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NIVERSIDAD\CICLO 5\MÉTODOS NUMÉRICOS\"/>
    </mc:Choice>
  </mc:AlternateContent>
  <xr:revisionPtr revIDLastSave="0" documentId="13_ncr:1_{0AA536F6-1983-4AF0-AB75-605266D0F6BE}" xr6:coauthVersionLast="47" xr6:coauthVersionMax="47" xr10:uidLastSave="{00000000-0000-0000-0000-000000000000}"/>
  <bookViews>
    <workbookView xWindow="28680" yWindow="-120" windowWidth="15600" windowHeight="11760" activeTab="10" xr2:uid="{00000000-000D-0000-FFFF-FFFF00000000}"/>
  </bookViews>
  <sheets>
    <sheet name="Serie_de_T1" sheetId="1" r:id="rId1"/>
    <sheet name="Serie_De_T2" sheetId="2" r:id="rId2"/>
    <sheet name="ST" sheetId="3" r:id="rId3"/>
    <sheet name="B1" sheetId="5" r:id="rId4"/>
    <sheet name="B2" sheetId="6" r:id="rId5"/>
    <sheet name="M F_S" sheetId="4" r:id="rId6"/>
    <sheet name="M F_P2" sheetId="7" r:id="rId7"/>
    <sheet name="M F_S1" sheetId="11" r:id="rId8"/>
    <sheet name="M N_R" sheetId="8" r:id="rId9"/>
    <sheet name="P.F" sheetId="9" r:id="rId10"/>
    <sheet name="M.S" sheetId="10" r:id="rId11"/>
    <sheet name="7.1" sheetId="12" r:id="rId12"/>
    <sheet name="7.2" sheetId="14" r:id="rId13"/>
    <sheet name="7.3" sheetId="15" r:id="rId14"/>
    <sheet name="7.4" sheetId="17" r:id="rId15"/>
    <sheet name="7.5" sheetId="16" r:id="rId16"/>
    <sheet name="8.1" sheetId="13" r:id="rId17"/>
    <sheet name="Hoja1" sheetId="18" r:id="rId18"/>
    <sheet name="11.3" sheetId="20" r:id="rId19"/>
    <sheet name="11.4" sheetId="19" r:id="rId20"/>
    <sheet name="12.1" sheetId="24" r:id="rId21"/>
    <sheet name="12.2" sheetId="23" r:id="rId22"/>
    <sheet name="12.3" sheetId="22" r:id="rId23"/>
    <sheet name="12.8" sheetId="21" r:id="rId24"/>
    <sheet name="12.13" sheetId="28" r:id="rId25"/>
    <sheet name="12.33" sheetId="30" r:id="rId26"/>
    <sheet name="12.34" sheetId="29" r:id="rId27"/>
    <sheet name="13.1" sheetId="27" r:id="rId28"/>
    <sheet name="13.2" sheetId="26" r:id="rId29"/>
    <sheet name="13.3" sheetId="25" r:id="rId30"/>
    <sheet name="Hoja9" sheetId="39" r:id="rId31"/>
    <sheet name="P13" sheetId="40" r:id="rId32"/>
    <sheet name="14" sheetId="41" r:id="rId33"/>
    <sheet name="15" sheetId="42" r:id="rId34"/>
  </sheets>
  <externalReferences>
    <externalReference r:id="rId35"/>
    <externalReference r:id="rId36"/>
    <externalReference r:id="rId37"/>
    <externalReference r:id="rId3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1" i="10" l="1"/>
  <c r="D31" i="10" s="1"/>
  <c r="E31" i="10"/>
  <c r="F31" i="10"/>
  <c r="C32" i="10"/>
  <c r="D32" i="10" s="1"/>
  <c r="L21" i="5"/>
  <c r="K21" i="5"/>
  <c r="J21" i="5"/>
  <c r="H21" i="5"/>
  <c r="F21" i="5"/>
  <c r="B21" i="5"/>
  <c r="J72" i="42"/>
  <c r="K72" i="42" s="1"/>
  <c r="J71" i="42"/>
  <c r="K71" i="42" s="1"/>
  <c r="J70" i="42"/>
  <c r="K70" i="42" s="1"/>
  <c r="J68" i="42"/>
  <c r="J69" i="42"/>
  <c r="K69" i="42" s="1"/>
  <c r="E51" i="42"/>
  <c r="E52" i="42"/>
  <c r="E53" i="42"/>
  <c r="E50" i="42"/>
  <c r="G31" i="10" l="1"/>
  <c r="E37" i="42"/>
  <c r="E38" i="42"/>
  <c r="E39" i="42"/>
  <c r="E40" i="42"/>
  <c r="E41" i="42"/>
  <c r="E42" i="42"/>
  <c r="E43" i="42"/>
  <c r="E44" i="42"/>
  <c r="E36" i="42"/>
  <c r="D39" i="42"/>
  <c r="D40" i="42"/>
  <c r="D41" i="42"/>
  <c r="D42" i="42"/>
  <c r="D43" i="42"/>
  <c r="D44" i="42"/>
  <c r="D45" i="42"/>
  <c r="D46" i="42"/>
  <c r="D47" i="42"/>
  <c r="D37" i="42"/>
  <c r="D38" i="42"/>
  <c r="D36" i="42"/>
  <c r="H31" i="10" l="1"/>
  <c r="I31" i="10" s="1"/>
  <c r="E32" i="10"/>
  <c r="C19" i="41"/>
  <c r="E19" i="41" s="1"/>
  <c r="C17" i="41"/>
  <c r="C18" i="41" s="1"/>
  <c r="E18" i="41" s="1"/>
  <c r="D17" i="41"/>
  <c r="E20" i="41"/>
  <c r="E21" i="41"/>
  <c r="E22" i="41"/>
  <c r="E23" i="41"/>
  <c r="E24" i="41"/>
  <c r="E25" i="41"/>
  <c r="E26" i="41"/>
  <c r="C33" i="10" l="1"/>
  <c r="D33" i="10" s="1"/>
  <c r="F32" i="10"/>
  <c r="G32" i="10" s="1"/>
  <c r="E17" i="41"/>
  <c r="E33" i="10" l="1"/>
  <c r="H32" i="10"/>
  <c r="I32" i="10" s="1"/>
  <c r="F212" i="40"/>
  <c r="E212" i="40"/>
  <c r="D212" i="40"/>
  <c r="H204" i="40"/>
  <c r="I204" i="40"/>
  <c r="G204" i="40"/>
  <c r="J189" i="40"/>
  <c r="D189" i="40"/>
  <c r="K189" i="40"/>
  <c r="G189" i="40"/>
  <c r="H189" i="40" s="1"/>
  <c r="K187" i="40"/>
  <c r="C172" i="40"/>
  <c r="C173" i="40"/>
  <c r="C174" i="40"/>
  <c r="C175" i="40"/>
  <c r="C176" i="40"/>
  <c r="C177" i="40"/>
  <c r="C178" i="40"/>
  <c r="C179" i="40"/>
  <c r="C180" i="40"/>
  <c r="C181" i="40"/>
  <c r="C171" i="40"/>
  <c r="F158" i="40"/>
  <c r="C159" i="40" s="1"/>
  <c r="E158" i="40"/>
  <c r="D158" i="40"/>
  <c r="H146" i="40"/>
  <c r="I146" i="40"/>
  <c r="F146" i="40" s="1"/>
  <c r="J146" i="40" s="1"/>
  <c r="G146" i="40"/>
  <c r="J129" i="40"/>
  <c r="D129" i="40"/>
  <c r="K129" i="40"/>
  <c r="K130" i="40" s="1"/>
  <c r="K131" i="40" s="1"/>
  <c r="K132" i="40" s="1"/>
  <c r="K133" i="40" s="1"/>
  <c r="K134" i="40" s="1"/>
  <c r="K135" i="40" s="1"/>
  <c r="K136" i="40" s="1"/>
  <c r="K137" i="40" s="1"/>
  <c r="K127" i="40"/>
  <c r="C102" i="40"/>
  <c r="F102" i="40" s="1"/>
  <c r="F101" i="40"/>
  <c r="E101" i="40"/>
  <c r="D101" i="40"/>
  <c r="I86" i="40"/>
  <c r="H86" i="40"/>
  <c r="F86" i="40" s="1"/>
  <c r="G86" i="40"/>
  <c r="K61" i="40"/>
  <c r="J61" i="40"/>
  <c r="D61" i="40"/>
  <c r="K59" i="40"/>
  <c r="E52" i="40"/>
  <c r="D52" i="40"/>
  <c r="C53" i="40" s="1"/>
  <c r="E53" i="40" s="1"/>
  <c r="F33" i="10" l="1"/>
  <c r="G33" i="10" s="1"/>
  <c r="C34" i="10"/>
  <c r="D34" i="10" s="1"/>
  <c r="D159" i="40"/>
  <c r="E159" i="40"/>
  <c r="G159" i="40"/>
  <c r="H159" i="40" s="1"/>
  <c r="C213" i="40"/>
  <c r="K190" i="40"/>
  <c r="K191" i="40" s="1"/>
  <c r="K192" i="40" s="1"/>
  <c r="K193" i="40" s="1"/>
  <c r="K194" i="40" s="1"/>
  <c r="K195" i="40" s="1"/>
  <c r="K196" i="40" s="1"/>
  <c r="K197" i="40" s="1"/>
  <c r="K62" i="40"/>
  <c r="K63" i="40" s="1"/>
  <c r="K64" i="40" s="1"/>
  <c r="K65" i="40" s="1"/>
  <c r="K66" i="40" s="1"/>
  <c r="K67" i="40" s="1"/>
  <c r="K68" i="40" s="1"/>
  <c r="K69" i="40" s="1"/>
  <c r="K70" i="40" s="1"/>
  <c r="K71" i="40" s="1"/>
  <c r="K72" i="40" s="1"/>
  <c r="K73" i="40" s="1"/>
  <c r="K74" i="40" s="1"/>
  <c r="K75" i="40" s="1"/>
  <c r="K76" i="40" s="1"/>
  <c r="K77" i="40" s="1"/>
  <c r="K78" i="40" s="1"/>
  <c r="K79" i="40" s="1"/>
  <c r="K80" i="40" s="1"/>
  <c r="K81" i="40" s="1"/>
  <c r="G213" i="40"/>
  <c r="H213" i="40" s="1"/>
  <c r="F204" i="40"/>
  <c r="J204" i="40" s="1"/>
  <c r="M204" i="40" s="1"/>
  <c r="E189" i="40"/>
  <c r="L189" i="40" s="1"/>
  <c r="M189" i="40" s="1"/>
  <c r="F159" i="40"/>
  <c r="C160" i="40" s="1"/>
  <c r="K138" i="40"/>
  <c r="K139" i="40" s="1"/>
  <c r="K140" i="40" s="1"/>
  <c r="K141" i="40" s="1"/>
  <c r="E129" i="40"/>
  <c r="F129" i="40" s="1"/>
  <c r="G129" i="40"/>
  <c r="H129" i="40" s="1"/>
  <c r="E102" i="40"/>
  <c r="C103" i="40"/>
  <c r="D102" i="40"/>
  <c r="J86" i="40"/>
  <c r="E61" i="40"/>
  <c r="F61" i="40" s="1"/>
  <c r="G61" i="40"/>
  <c r="H61" i="40" s="1"/>
  <c r="F52" i="40"/>
  <c r="D53" i="40"/>
  <c r="F53" i="40" s="1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H43" i="40"/>
  <c r="H44" i="40"/>
  <c r="H24" i="40"/>
  <c r="H33" i="10" l="1"/>
  <c r="I33" i="10" s="1"/>
  <c r="E34" i="10"/>
  <c r="C54" i="40"/>
  <c r="K198" i="40"/>
  <c r="K199" i="40" s="1"/>
  <c r="D213" i="40"/>
  <c r="E213" i="40"/>
  <c r="F213" i="40"/>
  <c r="F189" i="40"/>
  <c r="K204" i="40"/>
  <c r="C214" i="40"/>
  <c r="L204" i="40"/>
  <c r="N204" i="40" s="1"/>
  <c r="C205" i="40" s="1"/>
  <c r="G205" i="40" s="1"/>
  <c r="D160" i="40"/>
  <c r="F160" i="40"/>
  <c r="G160" i="40"/>
  <c r="H160" i="40" s="1"/>
  <c r="E160" i="40"/>
  <c r="C161" i="40" s="1"/>
  <c r="M146" i="40"/>
  <c r="K146" i="40"/>
  <c r="L146" i="40"/>
  <c r="L129" i="40"/>
  <c r="M129" i="40" s="1"/>
  <c r="I130" i="40"/>
  <c r="J130" i="40" s="1"/>
  <c r="C130" i="40"/>
  <c r="D130" i="40" s="1"/>
  <c r="F103" i="40"/>
  <c r="D103" i="40"/>
  <c r="C104" i="40"/>
  <c r="E103" i="40"/>
  <c r="L86" i="40"/>
  <c r="M86" i="40"/>
  <c r="K86" i="40"/>
  <c r="I62" i="40"/>
  <c r="J62" i="40" s="1"/>
  <c r="G62" i="40"/>
  <c r="H62" i="40" s="1"/>
  <c r="C62" i="40"/>
  <c r="D62" i="40" s="1"/>
  <c r="F19" i="40"/>
  <c r="G19" i="40"/>
  <c r="H19" i="40"/>
  <c r="C35" i="10" l="1"/>
  <c r="D35" i="10" s="1"/>
  <c r="F34" i="10"/>
  <c r="G34" i="10" s="1"/>
  <c r="E214" i="40"/>
  <c r="C215" i="40" s="1"/>
  <c r="D214" i="40"/>
  <c r="E19" i="40"/>
  <c r="I19" i="40" s="1"/>
  <c r="J19" i="40" s="1"/>
  <c r="E190" i="40"/>
  <c r="F190" i="40" s="1"/>
  <c r="C190" i="40"/>
  <c r="D190" i="40" s="1"/>
  <c r="I190" i="40"/>
  <c r="J190" i="40" s="1"/>
  <c r="E62" i="40"/>
  <c r="F62" i="40" s="1"/>
  <c r="I63" i="40" s="1"/>
  <c r="J63" i="40" s="1"/>
  <c r="G190" i="40"/>
  <c r="H190" i="40" s="1"/>
  <c r="G214" i="40"/>
  <c r="H214" i="40" s="1"/>
  <c r="F214" i="40"/>
  <c r="E205" i="40"/>
  <c r="I205" i="40" s="1"/>
  <c r="D205" i="40"/>
  <c r="H205" i="40" s="1"/>
  <c r="N146" i="40"/>
  <c r="C147" i="40" s="1"/>
  <c r="G147" i="40" s="1"/>
  <c r="E130" i="40"/>
  <c r="F130" i="40" s="1"/>
  <c r="G130" i="40"/>
  <c r="H130" i="40" s="1"/>
  <c r="F104" i="40"/>
  <c r="D104" i="40"/>
  <c r="C105" i="40"/>
  <c r="E104" i="40"/>
  <c r="N86" i="40"/>
  <c r="E87" i="40" s="1"/>
  <c r="I87" i="40" s="1"/>
  <c r="K19" i="40"/>
  <c r="H17" i="39"/>
  <c r="I17" i="39"/>
  <c r="G17" i="39"/>
  <c r="H7" i="39"/>
  <c r="I7" i="39"/>
  <c r="G7" i="39"/>
  <c r="H34" i="10" l="1"/>
  <c r="I34" i="10" s="1"/>
  <c r="E35" i="10"/>
  <c r="D215" i="40"/>
  <c r="E215" i="40"/>
  <c r="F215" i="40"/>
  <c r="G215" i="40"/>
  <c r="H215" i="40" s="1"/>
  <c r="L19" i="40"/>
  <c r="C63" i="40"/>
  <c r="D63" i="40" s="1"/>
  <c r="E63" i="40"/>
  <c r="F63" i="40" s="1"/>
  <c r="L190" i="40"/>
  <c r="M190" i="40" s="1"/>
  <c r="C191" i="40"/>
  <c r="D191" i="40" s="1"/>
  <c r="G191" i="40"/>
  <c r="I191" i="40"/>
  <c r="D87" i="40"/>
  <c r="H87" i="40" s="1"/>
  <c r="F205" i="40"/>
  <c r="J205" i="40" s="1"/>
  <c r="G161" i="40"/>
  <c r="H161" i="40" s="1"/>
  <c r="E161" i="40"/>
  <c r="F161" i="40"/>
  <c r="D161" i="40"/>
  <c r="E147" i="40"/>
  <c r="I147" i="40" s="1"/>
  <c r="D147" i="40"/>
  <c r="H147" i="40" s="1"/>
  <c r="L130" i="40"/>
  <c r="M130" i="40" s="1"/>
  <c r="I131" i="40"/>
  <c r="J131" i="40" s="1"/>
  <c r="E131" i="40"/>
  <c r="F131" i="40" s="1"/>
  <c r="C131" i="40"/>
  <c r="D131" i="40" s="1"/>
  <c r="F105" i="40"/>
  <c r="D105" i="40"/>
  <c r="C106" i="40"/>
  <c r="E105" i="40"/>
  <c r="C87" i="40"/>
  <c r="G87" i="40" s="1"/>
  <c r="F87" i="40" s="1"/>
  <c r="G63" i="40"/>
  <c r="H63" i="40" s="1"/>
  <c r="M19" i="40"/>
  <c r="F7" i="39"/>
  <c r="F17" i="39"/>
  <c r="J17" i="39" s="1"/>
  <c r="L17" i="39" s="1"/>
  <c r="F35" i="10" l="1"/>
  <c r="G35" i="10" s="1"/>
  <c r="C36" i="10"/>
  <c r="D36" i="10" s="1"/>
  <c r="H191" i="40"/>
  <c r="L191" i="40"/>
  <c r="M191" i="40" s="1"/>
  <c r="E191" i="40"/>
  <c r="F191" i="40" s="1"/>
  <c r="J191" i="40"/>
  <c r="C162" i="40"/>
  <c r="G162" i="40" s="1"/>
  <c r="H162" i="40" s="1"/>
  <c r="C64" i="40"/>
  <c r="D64" i="40" s="1"/>
  <c r="I64" i="40"/>
  <c r="J64" i="40" s="1"/>
  <c r="M205" i="40"/>
  <c r="K205" i="40"/>
  <c r="L205" i="40"/>
  <c r="F162" i="40"/>
  <c r="D162" i="40"/>
  <c r="F147" i="40"/>
  <c r="J147" i="40" s="1"/>
  <c r="G131" i="40"/>
  <c r="H131" i="40" s="1"/>
  <c r="F106" i="40"/>
  <c r="D106" i="40"/>
  <c r="C107" i="40"/>
  <c r="E106" i="40"/>
  <c r="J87" i="40"/>
  <c r="O86" i="40"/>
  <c r="Q86" i="40" s="1"/>
  <c r="E64" i="40"/>
  <c r="F64" i="40" s="1"/>
  <c r="B20" i="40"/>
  <c r="F20" i="40" s="1"/>
  <c r="M17" i="39"/>
  <c r="K17" i="39"/>
  <c r="G13" i="22"/>
  <c r="F21" i="24" a="1"/>
  <c r="F21" i="24" s="1"/>
  <c r="E36" i="10" l="1"/>
  <c r="H35" i="10"/>
  <c r="I35" i="10" s="1"/>
  <c r="E162" i="40"/>
  <c r="C163" i="40" s="1"/>
  <c r="G64" i="40"/>
  <c r="H64" i="40" s="1"/>
  <c r="C65" i="40" s="1"/>
  <c r="D65" i="40" s="1"/>
  <c r="C192" i="40"/>
  <c r="D192" i="40" s="1"/>
  <c r="G192" i="40"/>
  <c r="I192" i="40"/>
  <c r="J192" i="40" s="1"/>
  <c r="E192" i="40"/>
  <c r="F192" i="40" s="1"/>
  <c r="N205" i="40"/>
  <c r="C206" i="40" s="1"/>
  <c r="G206" i="40" s="1"/>
  <c r="O146" i="40"/>
  <c r="Q146" i="40" s="1"/>
  <c r="M147" i="40"/>
  <c r="K147" i="40"/>
  <c r="L147" i="40"/>
  <c r="I132" i="40"/>
  <c r="J132" i="40" s="1"/>
  <c r="L131" i="40"/>
  <c r="M131" i="40" s="1"/>
  <c r="E132" i="40"/>
  <c r="F132" i="40" s="1"/>
  <c r="F107" i="40"/>
  <c r="D107" i="40"/>
  <c r="C108" i="40"/>
  <c r="E107" i="40"/>
  <c r="L87" i="40"/>
  <c r="M87" i="40"/>
  <c r="K87" i="40"/>
  <c r="D54" i="40"/>
  <c r="E54" i="40"/>
  <c r="D20" i="40"/>
  <c r="H20" i="40" s="1"/>
  <c r="C20" i="40"/>
  <c r="G20" i="40" s="1"/>
  <c r="N17" i="39"/>
  <c r="I25" i="24"/>
  <c r="G25" i="24"/>
  <c r="J24" i="24"/>
  <c r="H24" i="24"/>
  <c r="F24" i="24"/>
  <c r="I23" i="24"/>
  <c r="G23" i="24"/>
  <c r="J22" i="24"/>
  <c r="H22" i="24"/>
  <c r="F22" i="24"/>
  <c r="I21" i="24"/>
  <c r="G21" i="24"/>
  <c r="J25" i="24"/>
  <c r="H25" i="24"/>
  <c r="F25" i="24"/>
  <c r="I24" i="24"/>
  <c r="G24" i="24"/>
  <c r="J23" i="24"/>
  <c r="H23" i="24"/>
  <c r="F23" i="24"/>
  <c r="I22" i="24"/>
  <c r="G22" i="24"/>
  <c r="J21" i="24"/>
  <c r="H21" i="24"/>
  <c r="F36" i="10" l="1"/>
  <c r="G36" i="10" s="1"/>
  <c r="C37" i="10"/>
  <c r="D37" i="10" s="1"/>
  <c r="E65" i="40"/>
  <c r="F65" i="40" s="1"/>
  <c r="I65" i="40"/>
  <c r="J65" i="40" s="1"/>
  <c r="C193" i="40"/>
  <c r="D193" i="40" s="1"/>
  <c r="H192" i="40"/>
  <c r="E193" i="40" s="1"/>
  <c r="F193" i="40" s="1"/>
  <c r="L192" i="40"/>
  <c r="M192" i="40" s="1"/>
  <c r="E206" i="40"/>
  <c r="I206" i="40" s="1"/>
  <c r="D206" i="40"/>
  <c r="H206" i="40" s="1"/>
  <c r="G163" i="40"/>
  <c r="H163" i="40" s="1"/>
  <c r="D163" i="40"/>
  <c r="E163" i="40"/>
  <c r="F163" i="40"/>
  <c r="N147" i="40"/>
  <c r="D148" i="40" s="1"/>
  <c r="H148" i="40" s="1"/>
  <c r="C132" i="40"/>
  <c r="D132" i="40" s="1"/>
  <c r="G132" i="40"/>
  <c r="H132" i="40" s="1"/>
  <c r="F108" i="40"/>
  <c r="D108" i="40"/>
  <c r="E108" i="40"/>
  <c r="N87" i="40"/>
  <c r="E88" i="40" s="1"/>
  <c r="I88" i="40" s="1"/>
  <c r="G65" i="40"/>
  <c r="H65" i="40" s="1"/>
  <c r="I66" i="40" s="1"/>
  <c r="J66" i="40" s="1"/>
  <c r="F54" i="40"/>
  <c r="C55" i="40"/>
  <c r="E20" i="40"/>
  <c r="D18" i="39"/>
  <c r="H18" i="39" s="1"/>
  <c r="E18" i="39"/>
  <c r="I18" i="39" s="1"/>
  <c r="C18" i="39"/>
  <c r="G18" i="39" s="1"/>
  <c r="L9" i="27"/>
  <c r="L11" i="27"/>
  <c r="L12" i="27" s="1"/>
  <c r="L13" i="27" s="1"/>
  <c r="L14" i="27" s="1"/>
  <c r="L15" i="27" s="1"/>
  <c r="L16" i="27" s="1"/>
  <c r="L17" i="27" s="1"/>
  <c r="L18" i="27" s="1"/>
  <c r="L19" i="27" s="1"/>
  <c r="E11" i="27"/>
  <c r="K11" i="27" s="1"/>
  <c r="H7" i="26"/>
  <c r="F7" i="26"/>
  <c r="D7" i="26"/>
  <c r="D12" i="25"/>
  <c r="D13" i="25" s="1"/>
  <c r="G11" i="25"/>
  <c r="F11" i="25"/>
  <c r="E11" i="25"/>
  <c r="C20" i="21" a="1"/>
  <c r="F23" i="21" s="1"/>
  <c r="G25" i="21"/>
  <c r="H36" i="10" l="1"/>
  <c r="I36" i="10" s="1"/>
  <c r="E37" i="10"/>
  <c r="E23" i="21"/>
  <c r="H11" i="27"/>
  <c r="F11" i="27"/>
  <c r="G11" i="27" s="1"/>
  <c r="E22" i="21"/>
  <c r="C23" i="21"/>
  <c r="I193" i="40"/>
  <c r="J193" i="40" s="1"/>
  <c r="G193" i="40"/>
  <c r="C20" i="21"/>
  <c r="E20" i="21"/>
  <c r="C21" i="21"/>
  <c r="E21" i="21"/>
  <c r="C66" i="40"/>
  <c r="D66" i="40" s="1"/>
  <c r="C22" i="21"/>
  <c r="G66" i="40"/>
  <c r="H66" i="40" s="1"/>
  <c r="F206" i="40"/>
  <c r="J206" i="40" s="1"/>
  <c r="E148" i="40"/>
  <c r="I148" i="40" s="1"/>
  <c r="C148" i="40"/>
  <c r="I133" i="40"/>
  <c r="J133" i="40" s="1"/>
  <c r="L132" i="40"/>
  <c r="M132" i="40" s="1"/>
  <c r="C133" i="40"/>
  <c r="D133" i="40" s="1"/>
  <c r="D88" i="40"/>
  <c r="H88" i="40" s="1"/>
  <c r="C88" i="40"/>
  <c r="G88" i="40" s="1"/>
  <c r="F88" i="40" s="1"/>
  <c r="E66" i="40"/>
  <c r="F66" i="40" s="1"/>
  <c r="D55" i="40"/>
  <c r="E55" i="40"/>
  <c r="I20" i="40"/>
  <c r="F18" i="39"/>
  <c r="I7" i="26"/>
  <c r="J7" i="26" s="1"/>
  <c r="F13" i="25"/>
  <c r="D14" i="25"/>
  <c r="E13" i="25"/>
  <c r="G13" i="25"/>
  <c r="F12" i="25"/>
  <c r="G12" i="25"/>
  <c r="E12" i="25"/>
  <c r="D20" i="21"/>
  <c r="F20" i="21"/>
  <c r="D21" i="21"/>
  <c r="F21" i="21"/>
  <c r="D22" i="21"/>
  <c r="F22" i="21"/>
  <c r="D23" i="21"/>
  <c r="C38" i="10" l="1"/>
  <c r="D38" i="10" s="1"/>
  <c r="F37" i="10"/>
  <c r="G37" i="10" s="1"/>
  <c r="H193" i="40"/>
  <c r="L193" i="40"/>
  <c r="M193" i="40" s="1"/>
  <c r="J20" i="21" a="1"/>
  <c r="J22" i="21" s="1"/>
  <c r="M206" i="40"/>
  <c r="K206" i="40"/>
  <c r="L206" i="40"/>
  <c r="G148" i="40"/>
  <c r="F148" i="40" s="1"/>
  <c r="G133" i="40"/>
  <c r="H133" i="40" s="1"/>
  <c r="E133" i="40"/>
  <c r="F133" i="40" s="1"/>
  <c r="J88" i="40"/>
  <c r="O87" i="40"/>
  <c r="Q87" i="40" s="1"/>
  <c r="I67" i="40"/>
  <c r="J67" i="40" s="1"/>
  <c r="C67" i="40"/>
  <c r="D67" i="40" s="1"/>
  <c r="F55" i="40"/>
  <c r="J20" i="40"/>
  <c r="L20" i="40"/>
  <c r="K20" i="40"/>
  <c r="J18" i="39"/>
  <c r="L18" i="39" s="1"/>
  <c r="O17" i="39"/>
  <c r="Q17" i="39" s="1"/>
  <c r="K18" i="39"/>
  <c r="O7" i="26"/>
  <c r="M7" i="26"/>
  <c r="L7" i="26"/>
  <c r="K7" i="26"/>
  <c r="F14" i="25"/>
  <c r="D15" i="25"/>
  <c r="D16" i="25" s="1"/>
  <c r="E14" i="25"/>
  <c r="G14" i="25"/>
  <c r="K11" i="20"/>
  <c r="K10" i="20"/>
  <c r="L10" i="20" s="1"/>
  <c r="K9" i="20"/>
  <c r="K8" i="20"/>
  <c r="N8" i="20" s="1"/>
  <c r="G8" i="20"/>
  <c r="G9" i="20" s="1"/>
  <c r="G10" i="20" s="1"/>
  <c r="G11" i="20" s="1"/>
  <c r="K7" i="20"/>
  <c r="E38" i="10" l="1"/>
  <c r="H37" i="10"/>
  <c r="I37" i="10" s="1"/>
  <c r="N9" i="20"/>
  <c r="E67" i="40"/>
  <c r="F67" i="40" s="1"/>
  <c r="I68" i="40" s="1"/>
  <c r="J68" i="40" s="1"/>
  <c r="N11" i="20"/>
  <c r="M18" i="39"/>
  <c r="N18" i="39" s="1"/>
  <c r="E19" i="39" s="1"/>
  <c r="I19" i="39" s="1"/>
  <c r="J21" i="21"/>
  <c r="J23" i="21"/>
  <c r="M10" i="20"/>
  <c r="L8" i="20"/>
  <c r="O8" i="20" s="1"/>
  <c r="C207" i="40"/>
  <c r="G207" i="40" s="1"/>
  <c r="J20" i="21"/>
  <c r="L7" i="20"/>
  <c r="M7" i="20" s="1"/>
  <c r="C194" i="40"/>
  <c r="D194" i="40" s="1"/>
  <c r="E194" i="40"/>
  <c r="F194" i="40" s="1"/>
  <c r="I194" i="40"/>
  <c r="J194" i="40" s="1"/>
  <c r="G194" i="40"/>
  <c r="N206" i="40"/>
  <c r="E207" i="40" s="1"/>
  <c r="I207" i="40" s="1"/>
  <c r="J148" i="40"/>
  <c r="K148" i="40" s="1"/>
  <c r="O147" i="40"/>
  <c r="Q147" i="40" s="1"/>
  <c r="M148" i="40"/>
  <c r="L133" i="40"/>
  <c r="M133" i="40" s="1"/>
  <c r="E134" i="40"/>
  <c r="F134" i="40" s="1"/>
  <c r="I134" i="40"/>
  <c r="J134" i="40" s="1"/>
  <c r="C134" i="40"/>
  <c r="D134" i="40" s="1"/>
  <c r="M88" i="40"/>
  <c r="K88" i="40"/>
  <c r="L88" i="40"/>
  <c r="G67" i="40"/>
  <c r="H67" i="40" s="1"/>
  <c r="G68" i="40" s="1"/>
  <c r="H68" i="40" s="1"/>
  <c r="C68" i="40"/>
  <c r="D68" i="40" s="1"/>
  <c r="M20" i="40"/>
  <c r="N7" i="26"/>
  <c r="C8" i="26" s="1"/>
  <c r="C9" i="26" s="1"/>
  <c r="E8" i="26"/>
  <c r="E16" i="25"/>
  <c r="F16" i="25"/>
  <c r="G16" i="25"/>
  <c r="F15" i="25"/>
  <c r="E15" i="25"/>
  <c r="G15" i="25"/>
  <c r="N10" i="20"/>
  <c r="L9" i="20"/>
  <c r="L11" i="20"/>
  <c r="O11" i="20" s="1"/>
  <c r="B10" i="19" a="1"/>
  <c r="D12" i="19" s="1"/>
  <c r="F38" i="10" l="1"/>
  <c r="G38" i="10" s="1"/>
  <c r="C39" i="10"/>
  <c r="D39" i="10" s="1"/>
  <c r="O9" i="20"/>
  <c r="L194" i="40"/>
  <c r="M194" i="40" s="1"/>
  <c r="H194" i="40"/>
  <c r="M8" i="20"/>
  <c r="P8" i="20" s="1"/>
  <c r="M9" i="20"/>
  <c r="P9" i="20" s="1"/>
  <c r="D207" i="40"/>
  <c r="H207" i="40" s="1"/>
  <c r="F207" i="40" s="1"/>
  <c r="J207" i="40" s="1"/>
  <c r="I195" i="40"/>
  <c r="J195" i="40" s="1"/>
  <c r="C195" i="40"/>
  <c r="D195" i="40" s="1"/>
  <c r="G195" i="40"/>
  <c r="E195" i="40"/>
  <c r="F195" i="40" s="1"/>
  <c r="G8" i="26"/>
  <c r="H8" i="26" s="1"/>
  <c r="L148" i="40"/>
  <c r="N148" i="40"/>
  <c r="C149" i="40" s="1"/>
  <c r="G149" i="40" s="1"/>
  <c r="G134" i="40"/>
  <c r="H134" i="40" s="1"/>
  <c r="N88" i="40"/>
  <c r="C89" i="40" s="1"/>
  <c r="G89" i="40" s="1"/>
  <c r="E89" i="40"/>
  <c r="I89" i="40" s="1"/>
  <c r="E68" i="40"/>
  <c r="F68" i="40" s="1"/>
  <c r="D19" i="39"/>
  <c r="H19" i="39" s="1"/>
  <c r="C19" i="39"/>
  <c r="G19" i="39" s="1"/>
  <c r="F19" i="39" s="1"/>
  <c r="G9" i="26"/>
  <c r="F8" i="26"/>
  <c r="D8" i="26"/>
  <c r="M11" i="20"/>
  <c r="P11" i="20" s="1"/>
  <c r="O10" i="20"/>
  <c r="C10" i="19"/>
  <c r="B11" i="19"/>
  <c r="D11" i="19"/>
  <c r="C12" i="19"/>
  <c r="B10" i="19"/>
  <c r="D10" i="19"/>
  <c r="C11" i="19"/>
  <c r="B12" i="19"/>
  <c r="H38" i="10" l="1"/>
  <c r="I38" i="10" s="1"/>
  <c r="E39" i="10"/>
  <c r="L195" i="40"/>
  <c r="M195" i="40" s="1"/>
  <c r="H195" i="40"/>
  <c r="L207" i="40"/>
  <c r="K207" i="40"/>
  <c r="M207" i="40"/>
  <c r="C196" i="40"/>
  <c r="D196" i="40" s="1"/>
  <c r="G196" i="40"/>
  <c r="I196" i="40"/>
  <c r="D89" i="40"/>
  <c r="H89" i="40" s="1"/>
  <c r="P10" i="20"/>
  <c r="D149" i="40"/>
  <c r="H149" i="40" s="1"/>
  <c r="E149" i="40"/>
  <c r="I149" i="40" s="1"/>
  <c r="L134" i="40"/>
  <c r="M134" i="40" s="1"/>
  <c r="I135" i="40"/>
  <c r="J135" i="40" s="1"/>
  <c r="C135" i="40"/>
  <c r="D135" i="40" s="1"/>
  <c r="I69" i="40"/>
  <c r="J69" i="40" s="1"/>
  <c r="E69" i="40"/>
  <c r="F69" i="40" s="1"/>
  <c r="C69" i="40"/>
  <c r="D69" i="40" s="1"/>
  <c r="J19" i="39"/>
  <c r="L19" i="39" s="1"/>
  <c r="O18" i="39"/>
  <c r="Q18" i="39" s="1"/>
  <c r="M19" i="39"/>
  <c r="K19" i="39"/>
  <c r="I8" i="26"/>
  <c r="J8" i="26" s="1"/>
  <c r="K8" i="26" s="1"/>
  <c r="G10" i="19" a="1"/>
  <c r="C40" i="10" l="1"/>
  <c r="D40" i="10" s="1"/>
  <c r="F39" i="10"/>
  <c r="G39" i="10" s="1"/>
  <c r="F89" i="40"/>
  <c r="E196" i="40"/>
  <c r="F196" i="40" s="1"/>
  <c r="J196" i="40"/>
  <c r="M8" i="26"/>
  <c r="L8" i="26"/>
  <c r="N207" i="40"/>
  <c r="H196" i="40"/>
  <c r="L196" i="40"/>
  <c r="M196" i="40" s="1"/>
  <c r="F149" i="40"/>
  <c r="G135" i="40"/>
  <c r="H135" i="40" s="1"/>
  <c r="E135" i="40"/>
  <c r="F135" i="40" s="1"/>
  <c r="G69" i="40"/>
  <c r="H69" i="40" s="1"/>
  <c r="I70" i="40" s="1"/>
  <c r="J70" i="40" s="1"/>
  <c r="N19" i="39"/>
  <c r="E20" i="39" s="1"/>
  <c r="I20" i="39" s="1"/>
  <c r="N8" i="26"/>
  <c r="E9" i="26" s="1"/>
  <c r="G12" i="19"/>
  <c r="G10" i="19"/>
  <c r="G11" i="19"/>
  <c r="H39" i="10" l="1"/>
  <c r="I39" i="10" s="1"/>
  <c r="E40" i="10"/>
  <c r="J149" i="40"/>
  <c r="O148" i="40"/>
  <c r="Q148" i="40" s="1"/>
  <c r="C70" i="40"/>
  <c r="D70" i="40" s="1"/>
  <c r="G70" i="40"/>
  <c r="H70" i="40" s="1"/>
  <c r="D20" i="39"/>
  <c r="H20" i="39" s="1"/>
  <c r="C197" i="40"/>
  <c r="D197" i="40" s="1"/>
  <c r="E197" i="40"/>
  <c r="F197" i="40" s="1"/>
  <c r="I197" i="40"/>
  <c r="J197" i="40" s="1"/>
  <c r="G197" i="40"/>
  <c r="O88" i="40"/>
  <c r="Q88" i="40" s="1"/>
  <c r="J89" i="40"/>
  <c r="I136" i="40"/>
  <c r="J136" i="40" s="1"/>
  <c r="L135" i="40"/>
  <c r="M135" i="40" s="1"/>
  <c r="C136" i="40"/>
  <c r="D136" i="40" s="1"/>
  <c r="E70" i="40"/>
  <c r="F70" i="40" s="1"/>
  <c r="C20" i="39"/>
  <c r="G20" i="39" s="1"/>
  <c r="F20" i="39" s="1"/>
  <c r="D9" i="26"/>
  <c r="F9" i="26"/>
  <c r="H9" i="26"/>
  <c r="F19" i="18"/>
  <c r="E19" i="18"/>
  <c r="E20" i="18" s="1"/>
  <c r="B19" i="18"/>
  <c r="B20" i="18" s="1"/>
  <c r="F18" i="18"/>
  <c r="C18" i="18"/>
  <c r="F17" i="18"/>
  <c r="C17" i="18"/>
  <c r="F40" i="10" l="1"/>
  <c r="G40" i="10" s="1"/>
  <c r="C41" i="10"/>
  <c r="D41" i="10" s="1"/>
  <c r="H197" i="40"/>
  <c r="C198" i="40" s="1"/>
  <c r="D198" i="40" s="1"/>
  <c r="L197" i="40"/>
  <c r="M197" i="40" s="1"/>
  <c r="C19" i="18"/>
  <c r="K89" i="40"/>
  <c r="L89" i="40"/>
  <c r="M89" i="40"/>
  <c r="K149" i="40"/>
  <c r="M149" i="40"/>
  <c r="L149" i="40"/>
  <c r="G136" i="40"/>
  <c r="H136" i="40" s="1"/>
  <c r="E136" i="40"/>
  <c r="F136" i="40" s="1"/>
  <c r="I71" i="40"/>
  <c r="J71" i="40" s="1"/>
  <c r="E71" i="40"/>
  <c r="F71" i="40" s="1"/>
  <c r="C71" i="40"/>
  <c r="D71" i="40" s="1"/>
  <c r="J20" i="39"/>
  <c r="K20" i="39" s="1"/>
  <c r="O19" i="39"/>
  <c r="Q19" i="39" s="1"/>
  <c r="L20" i="39"/>
  <c r="M20" i="39"/>
  <c r="N20" i="39" s="1"/>
  <c r="D21" i="39" s="1"/>
  <c r="H21" i="39" s="1"/>
  <c r="I9" i="26"/>
  <c r="J9" i="26" s="1"/>
  <c r="B21" i="18"/>
  <c r="C20" i="18"/>
  <c r="E21" i="18"/>
  <c r="F20" i="18"/>
  <c r="H40" i="10" l="1"/>
  <c r="I40" i="10" s="1"/>
  <c r="E41" i="10"/>
  <c r="N149" i="40"/>
  <c r="E150" i="40" s="1"/>
  <c r="I150" i="40" s="1"/>
  <c r="C150" i="40"/>
  <c r="G150" i="40" s="1"/>
  <c r="N89" i="40"/>
  <c r="C90" i="40" s="1"/>
  <c r="G90" i="40" s="1"/>
  <c r="I198" i="40"/>
  <c r="D150" i="40"/>
  <c r="H150" i="40" s="1"/>
  <c r="G198" i="40"/>
  <c r="L136" i="40"/>
  <c r="M136" i="40" s="1"/>
  <c r="C137" i="40"/>
  <c r="D137" i="40" s="1"/>
  <c r="I137" i="40"/>
  <c r="J137" i="40" s="1"/>
  <c r="G71" i="40"/>
  <c r="H71" i="40" s="1"/>
  <c r="G72" i="40" s="1"/>
  <c r="H72" i="40" s="1"/>
  <c r="C21" i="39"/>
  <c r="G21" i="39" s="1"/>
  <c r="E21" i="39"/>
  <c r="I21" i="39" s="1"/>
  <c r="M9" i="26"/>
  <c r="K9" i="26"/>
  <c r="L9" i="26"/>
  <c r="E22" i="18"/>
  <c r="F21" i="18"/>
  <c r="B22" i="18"/>
  <c r="C21" i="18"/>
  <c r="F41" i="10" l="1"/>
  <c r="G41" i="10" s="1"/>
  <c r="C42" i="10"/>
  <c r="D42" i="10" s="1"/>
  <c r="F150" i="40"/>
  <c r="I72" i="40"/>
  <c r="J72" i="40" s="1"/>
  <c r="C72" i="40"/>
  <c r="D72" i="40" s="1"/>
  <c r="D90" i="40"/>
  <c r="H90" i="40" s="1"/>
  <c r="E90" i="40"/>
  <c r="I90" i="40" s="1"/>
  <c r="H198" i="40"/>
  <c r="E198" i="40"/>
  <c r="F198" i="40" s="1"/>
  <c r="J198" i="40"/>
  <c r="E137" i="40"/>
  <c r="F137" i="40" s="1"/>
  <c r="G137" i="40"/>
  <c r="H137" i="40" s="1"/>
  <c r="E72" i="40"/>
  <c r="F72" i="40" s="1"/>
  <c r="F21" i="39"/>
  <c r="N9" i="26"/>
  <c r="G10" i="26" s="1"/>
  <c r="B23" i="18"/>
  <c r="C22" i="18"/>
  <c r="E23" i="18"/>
  <c r="F22" i="18"/>
  <c r="H41" i="10" l="1"/>
  <c r="I41" i="10" s="1"/>
  <c r="E42" i="10"/>
  <c r="E199" i="40"/>
  <c r="F199" i="40" s="1"/>
  <c r="I199" i="40"/>
  <c r="J199" i="40" s="1"/>
  <c r="C199" i="40"/>
  <c r="D199" i="40" s="1"/>
  <c r="G199" i="40"/>
  <c r="L198" i="40"/>
  <c r="M198" i="40" s="1"/>
  <c r="O150" i="40"/>
  <c r="Q150" i="40" s="1"/>
  <c r="J150" i="40"/>
  <c r="O149" i="40"/>
  <c r="Q149" i="40" s="1"/>
  <c r="F90" i="40"/>
  <c r="L137" i="40"/>
  <c r="M137" i="40" s="1"/>
  <c r="C138" i="40"/>
  <c r="D138" i="40" s="1"/>
  <c r="E138" i="40"/>
  <c r="F138" i="40" s="1"/>
  <c r="I138" i="40"/>
  <c r="J138" i="40" s="1"/>
  <c r="I73" i="40"/>
  <c r="J73" i="40" s="1"/>
  <c r="E73" i="40"/>
  <c r="F73" i="40" s="1"/>
  <c r="C73" i="40"/>
  <c r="D73" i="40" s="1"/>
  <c r="J21" i="39"/>
  <c r="O20" i="39"/>
  <c r="Q20" i="39" s="1"/>
  <c r="M21" i="39"/>
  <c r="K21" i="39"/>
  <c r="L21" i="39"/>
  <c r="H10" i="26"/>
  <c r="G11" i="26"/>
  <c r="E10" i="26"/>
  <c r="C11" i="26" s="1"/>
  <c r="C10" i="26"/>
  <c r="D10" i="26" s="1"/>
  <c r="F10" i="26"/>
  <c r="E24" i="18"/>
  <c r="F23" i="18"/>
  <c r="B24" i="18"/>
  <c r="C23" i="18"/>
  <c r="F42" i="10" l="1"/>
  <c r="G42" i="10" s="1"/>
  <c r="C43" i="10"/>
  <c r="D43" i="10" s="1"/>
  <c r="J90" i="40"/>
  <c r="O89" i="40"/>
  <c r="Q89" i="40" s="1"/>
  <c r="L150" i="40"/>
  <c r="K150" i="40"/>
  <c r="N150" i="40" s="1"/>
  <c r="M150" i="40"/>
  <c r="H199" i="40"/>
  <c r="L199" i="40"/>
  <c r="M199" i="40" s="1"/>
  <c r="G138" i="40"/>
  <c r="H138" i="40" s="1"/>
  <c r="I139" i="40" s="1"/>
  <c r="J139" i="40" s="1"/>
  <c r="G73" i="40"/>
  <c r="H73" i="40" s="1"/>
  <c r="I74" i="40" s="1"/>
  <c r="J74" i="40" s="1"/>
  <c r="N21" i="39"/>
  <c r="C22" i="39" s="1"/>
  <c r="G22" i="39" s="1"/>
  <c r="I10" i="26"/>
  <c r="J10" i="26" s="1"/>
  <c r="B25" i="18"/>
  <c r="C24" i="18"/>
  <c r="E25" i="18"/>
  <c r="F24" i="18"/>
  <c r="E43" i="10" l="1"/>
  <c r="H42" i="10"/>
  <c r="I42" i="10" s="1"/>
  <c r="L138" i="40"/>
  <c r="M138" i="40" s="1"/>
  <c r="L90" i="40"/>
  <c r="M90" i="40"/>
  <c r="K90" i="40"/>
  <c r="G74" i="40"/>
  <c r="H74" i="40" s="1"/>
  <c r="C74" i="40"/>
  <c r="D74" i="40" s="1"/>
  <c r="C139" i="40"/>
  <c r="D139" i="40" s="1"/>
  <c r="E139" i="40"/>
  <c r="F139" i="40" s="1"/>
  <c r="G139" i="40"/>
  <c r="H139" i="40" s="1"/>
  <c r="L139" i="40"/>
  <c r="M139" i="40" s="1"/>
  <c r="E74" i="40"/>
  <c r="F74" i="40" s="1"/>
  <c r="E22" i="39"/>
  <c r="I22" i="39" s="1"/>
  <c r="D22" i="39"/>
  <c r="H22" i="39" s="1"/>
  <c r="M10" i="26"/>
  <c r="K10" i="26"/>
  <c r="L10" i="26"/>
  <c r="E26" i="18"/>
  <c r="F25" i="18"/>
  <c r="B26" i="18"/>
  <c r="C25" i="18"/>
  <c r="F43" i="10" l="1"/>
  <c r="G43" i="10" s="1"/>
  <c r="C44" i="10"/>
  <c r="D44" i="10" s="1"/>
  <c r="N90" i="40"/>
  <c r="E91" i="40" s="1"/>
  <c r="I91" i="40" s="1"/>
  <c r="C140" i="40"/>
  <c r="D140" i="40" s="1"/>
  <c r="E140" i="40"/>
  <c r="F140" i="40" s="1"/>
  <c r="I140" i="40"/>
  <c r="J140" i="40" s="1"/>
  <c r="G140" i="40"/>
  <c r="I75" i="40"/>
  <c r="J75" i="40" s="1"/>
  <c r="E75" i="40"/>
  <c r="F75" i="40" s="1"/>
  <c r="C75" i="40"/>
  <c r="D75" i="40" s="1"/>
  <c r="F22" i="39"/>
  <c r="N10" i="26"/>
  <c r="H11" i="26" s="1"/>
  <c r="B27" i="18"/>
  <c r="C26" i="18"/>
  <c r="E27" i="18"/>
  <c r="F26" i="18"/>
  <c r="H43" i="10" l="1"/>
  <c r="I43" i="10" s="1"/>
  <c r="E44" i="10"/>
  <c r="D91" i="40"/>
  <c r="H91" i="40" s="1"/>
  <c r="C91" i="40"/>
  <c r="G91" i="40" s="1"/>
  <c r="F91" i="40" s="1"/>
  <c r="H140" i="40"/>
  <c r="C141" i="40" s="1"/>
  <c r="D141" i="40" s="1"/>
  <c r="L140" i="40"/>
  <c r="M140" i="40" s="1"/>
  <c r="G141" i="40"/>
  <c r="I141" i="40"/>
  <c r="G75" i="40"/>
  <c r="H75" i="40" s="1"/>
  <c r="C76" i="40" s="1"/>
  <c r="D76" i="40" s="1"/>
  <c r="J22" i="39"/>
  <c r="L22" i="39" s="1"/>
  <c r="O21" i="39"/>
  <c r="Q21" i="39" s="1"/>
  <c r="E11" i="26"/>
  <c r="F11" i="26"/>
  <c r="D11" i="26"/>
  <c r="E28" i="18"/>
  <c r="F27" i="18"/>
  <c r="B28" i="18"/>
  <c r="C27" i="18"/>
  <c r="C45" i="10" l="1"/>
  <c r="D45" i="10" s="1"/>
  <c r="F44" i="10"/>
  <c r="G44" i="10"/>
  <c r="K22" i="39"/>
  <c r="G76" i="40"/>
  <c r="H76" i="40" s="1"/>
  <c r="M22" i="39"/>
  <c r="J91" i="40"/>
  <c r="O90" i="40"/>
  <c r="Q90" i="40" s="1"/>
  <c r="I76" i="40"/>
  <c r="J76" i="40" s="1"/>
  <c r="H141" i="40"/>
  <c r="E141" i="40"/>
  <c r="F141" i="40" s="1"/>
  <c r="J141" i="40"/>
  <c r="E76" i="40"/>
  <c r="F76" i="40" s="1"/>
  <c r="N22" i="39"/>
  <c r="E23" i="39" s="1"/>
  <c r="I23" i="39" s="1"/>
  <c r="I11" i="26"/>
  <c r="J11" i="26" s="1"/>
  <c r="K11" i="26" s="1"/>
  <c r="B29" i="18"/>
  <c r="C28" i="18"/>
  <c r="E29" i="18"/>
  <c r="F28" i="18"/>
  <c r="E45" i="10" l="1"/>
  <c r="H44" i="10"/>
  <c r="I44" i="10" s="1"/>
  <c r="K91" i="40"/>
  <c r="M91" i="40"/>
  <c r="L91" i="40"/>
  <c r="L141" i="40"/>
  <c r="M141" i="40" s="1"/>
  <c r="I77" i="40"/>
  <c r="J77" i="40" s="1"/>
  <c r="C77" i="40"/>
  <c r="D77" i="40" s="1"/>
  <c r="D23" i="39"/>
  <c r="H23" i="39" s="1"/>
  <c r="C23" i="39"/>
  <c r="G23" i="39" s="1"/>
  <c r="F23" i="39" s="1"/>
  <c r="L11" i="26"/>
  <c r="M11" i="26"/>
  <c r="E30" i="18"/>
  <c r="F30" i="18" s="1"/>
  <c r="F29" i="18"/>
  <c r="B30" i="18"/>
  <c r="C30" i="18" s="1"/>
  <c r="C29" i="18"/>
  <c r="F45" i="10" l="1"/>
  <c r="G45" i="10"/>
  <c r="C46" i="10"/>
  <c r="D46" i="10" s="1"/>
  <c r="N91" i="40"/>
  <c r="E92" i="40" s="1"/>
  <c r="I92" i="40" s="1"/>
  <c r="E77" i="40"/>
  <c r="F77" i="40" s="1"/>
  <c r="G77" i="40"/>
  <c r="H77" i="40" s="1"/>
  <c r="I78" i="40" s="1"/>
  <c r="J78" i="40" s="1"/>
  <c r="J23" i="39"/>
  <c r="M23" i="39" s="1"/>
  <c r="O22" i="39"/>
  <c r="Q22" i="39" s="1"/>
  <c r="K23" i="39"/>
  <c r="L23" i="39"/>
  <c r="N11" i="26"/>
  <c r="N36" i="12"/>
  <c r="F36" i="12"/>
  <c r="E36" i="12"/>
  <c r="D36" i="12"/>
  <c r="B36" i="12"/>
  <c r="C35" i="12" s="1"/>
  <c r="G35" i="12"/>
  <c r="N35" i="12" s="1"/>
  <c r="G34" i="12"/>
  <c r="N34" i="12" s="1"/>
  <c r="F34" i="12"/>
  <c r="E35" i="12" s="1"/>
  <c r="E34" i="12"/>
  <c r="B34" i="12"/>
  <c r="C33" i="12" s="1"/>
  <c r="N33" i="12"/>
  <c r="F33" i="12"/>
  <c r="I33" i="12" s="1"/>
  <c r="E33" i="12"/>
  <c r="B33" i="12"/>
  <c r="I32" i="12"/>
  <c r="H32" i="12"/>
  <c r="G32" i="12"/>
  <c r="N32" i="12" s="1"/>
  <c r="F32" i="12"/>
  <c r="E32" i="12"/>
  <c r="D32" i="12"/>
  <c r="C32" i="12"/>
  <c r="B32" i="12"/>
  <c r="C20" i="12"/>
  <c r="C19" i="12"/>
  <c r="F18" i="12"/>
  <c r="C25" i="12" s="1"/>
  <c r="F17" i="12"/>
  <c r="F16" i="12"/>
  <c r="F12" i="12"/>
  <c r="H9" i="12"/>
  <c r="I9" i="12" s="1"/>
  <c r="I8" i="12"/>
  <c r="H45" i="10" l="1"/>
  <c r="I45" i="10" s="1"/>
  <c r="E46" i="10"/>
  <c r="H10" i="12"/>
  <c r="I10" i="12" s="1"/>
  <c r="G78" i="40"/>
  <c r="H78" i="40" s="1"/>
  <c r="H36" i="12"/>
  <c r="H33" i="12"/>
  <c r="C92" i="40"/>
  <c r="G92" i="40" s="1"/>
  <c r="F92" i="40" s="1"/>
  <c r="D92" i="40"/>
  <c r="H92" i="40" s="1"/>
  <c r="C78" i="40"/>
  <c r="D78" i="40" s="1"/>
  <c r="E78" i="40"/>
  <c r="F78" i="40" s="1"/>
  <c r="N23" i="39"/>
  <c r="D24" i="39" s="1"/>
  <c r="H24" i="39" s="1"/>
  <c r="H35" i="12"/>
  <c r="B35" i="12"/>
  <c r="C34" i="12" s="1"/>
  <c r="H11" i="12"/>
  <c r="J33" i="12"/>
  <c r="J32" i="12"/>
  <c r="K32" i="12"/>
  <c r="C21" i="12"/>
  <c r="D34" i="12"/>
  <c r="I34" i="12"/>
  <c r="I35" i="12"/>
  <c r="I36" i="12"/>
  <c r="C22" i="12"/>
  <c r="H34" i="12"/>
  <c r="C36" i="12"/>
  <c r="C47" i="10" l="1"/>
  <c r="D47" i="10" s="1"/>
  <c r="F46" i="10"/>
  <c r="G46" i="10" s="1"/>
  <c r="J35" i="12"/>
  <c r="O91" i="40"/>
  <c r="Q91" i="40" s="1"/>
  <c r="J92" i="40"/>
  <c r="I79" i="40"/>
  <c r="J79" i="40" s="1"/>
  <c r="E79" i="40"/>
  <c r="F79" i="40" s="1"/>
  <c r="C79" i="40"/>
  <c r="D79" i="40" s="1"/>
  <c r="E24" i="39"/>
  <c r="I24" i="39" s="1"/>
  <c r="C24" i="39"/>
  <c r="G24" i="39" s="1"/>
  <c r="F24" i="39" s="1"/>
  <c r="O32" i="12"/>
  <c r="Q32" i="12" s="1"/>
  <c r="R32" i="12" s="1"/>
  <c r="H12" i="12"/>
  <c r="I11" i="12"/>
  <c r="J34" i="12"/>
  <c r="D33" i="12"/>
  <c r="K33" i="12" s="1"/>
  <c r="L33" i="12" s="1"/>
  <c r="M33" i="12" s="1"/>
  <c r="J36" i="12"/>
  <c r="D35" i="12"/>
  <c r="K35" i="12" s="1"/>
  <c r="L35" i="12" s="1"/>
  <c r="M35" i="12" s="1"/>
  <c r="L32" i="12"/>
  <c r="C23" i="12"/>
  <c r="K34" i="12"/>
  <c r="L34" i="12" s="1"/>
  <c r="M34" i="12" s="1"/>
  <c r="O33" i="12"/>
  <c r="Q33" i="12" s="1"/>
  <c r="R33" i="12" s="1"/>
  <c r="K36" i="12"/>
  <c r="L36" i="12" s="1"/>
  <c r="M36" i="12" s="1"/>
  <c r="H46" i="10" l="1"/>
  <c r="I46" i="10" s="1"/>
  <c r="E47" i="10"/>
  <c r="K92" i="40"/>
  <c r="L92" i="40"/>
  <c r="M92" i="40"/>
  <c r="G79" i="40"/>
  <c r="H79" i="40" s="1"/>
  <c r="C80" i="40" s="1"/>
  <c r="D80" i="40" s="1"/>
  <c r="J24" i="39"/>
  <c r="K24" i="39" s="1"/>
  <c r="O23" i="39"/>
  <c r="Q23" i="39" s="1"/>
  <c r="M32" i="12"/>
  <c r="C24" i="12"/>
  <c r="P32" i="12"/>
  <c r="O35" i="12"/>
  <c r="Q35" i="12" s="1"/>
  <c r="R35" i="12" s="1"/>
  <c r="P33" i="12"/>
  <c r="P36" i="12"/>
  <c r="O36" i="12"/>
  <c r="Q36" i="12" s="1"/>
  <c r="R36" i="12" s="1"/>
  <c r="P34" i="12"/>
  <c r="O34" i="12"/>
  <c r="Q34" i="12" s="1"/>
  <c r="R34" i="12" s="1"/>
  <c r="H13" i="12"/>
  <c r="I12" i="12"/>
  <c r="C27" i="12"/>
  <c r="C26" i="12"/>
  <c r="C28" i="12" s="1"/>
  <c r="P35" i="12"/>
  <c r="F47" i="10" l="1"/>
  <c r="G47" i="10"/>
  <c r="C48" i="10"/>
  <c r="D48" i="10" s="1"/>
  <c r="L24" i="39"/>
  <c r="M24" i="39"/>
  <c r="G80" i="40"/>
  <c r="H80" i="40" s="1"/>
  <c r="N92" i="40"/>
  <c r="E93" i="40" s="1"/>
  <c r="I93" i="40" s="1"/>
  <c r="I80" i="40"/>
  <c r="J80" i="40" s="1"/>
  <c r="E80" i="40"/>
  <c r="F80" i="40" s="1"/>
  <c r="N24" i="39"/>
  <c r="E25" i="39" s="1"/>
  <c r="I25" i="39" s="1"/>
  <c r="H14" i="12"/>
  <c r="I13" i="12"/>
  <c r="E48" i="10" l="1"/>
  <c r="H47" i="10"/>
  <c r="I47" i="10" s="1"/>
  <c r="D93" i="40"/>
  <c r="H93" i="40" s="1"/>
  <c r="C93" i="40"/>
  <c r="G93" i="40" s="1"/>
  <c r="F93" i="40" s="1"/>
  <c r="I81" i="40"/>
  <c r="J81" i="40" s="1"/>
  <c r="C81" i="40"/>
  <c r="D81" i="40" s="1"/>
  <c r="D25" i="39"/>
  <c r="H25" i="39" s="1"/>
  <c r="C25" i="39"/>
  <c r="G25" i="39" s="1"/>
  <c r="F25" i="39" s="1"/>
  <c r="H15" i="12"/>
  <c r="I14" i="12"/>
  <c r="F48" i="10" l="1"/>
  <c r="G48" i="10" s="1"/>
  <c r="C49" i="10"/>
  <c r="D49" i="10" s="1"/>
  <c r="J93" i="40"/>
  <c r="O93" i="40"/>
  <c r="Q93" i="40" s="1"/>
  <c r="O92" i="40"/>
  <c r="Q92" i="40" s="1"/>
  <c r="E81" i="40"/>
  <c r="F81" i="40" s="1"/>
  <c r="G81" i="40"/>
  <c r="H81" i="40" s="1"/>
  <c r="J25" i="39"/>
  <c r="K25" i="39" s="1"/>
  <c r="O24" i="39"/>
  <c r="Q24" i="39" s="1"/>
  <c r="H16" i="12"/>
  <c r="I15" i="12"/>
  <c r="H48" i="10" l="1"/>
  <c r="I48" i="10" s="1"/>
  <c r="E49" i="10"/>
  <c r="L25" i="39"/>
  <c r="M25" i="39"/>
  <c r="K93" i="40"/>
  <c r="L93" i="40"/>
  <c r="M93" i="40"/>
  <c r="N25" i="39"/>
  <c r="D26" i="39" s="1"/>
  <c r="H26" i="39" s="1"/>
  <c r="H17" i="12"/>
  <c r="I16" i="12"/>
  <c r="C50" i="10" l="1"/>
  <c r="D50" i="10" s="1"/>
  <c r="F49" i="10"/>
  <c r="G49" i="10" s="1"/>
  <c r="N93" i="40"/>
  <c r="E26" i="39"/>
  <c r="I26" i="39" s="1"/>
  <c r="C26" i="39"/>
  <c r="G26" i="39" s="1"/>
  <c r="F26" i="39" s="1"/>
  <c r="H18" i="12"/>
  <c r="I17" i="12"/>
  <c r="E50" i="10" l="1"/>
  <c r="H49" i="10"/>
  <c r="I49" i="10" s="1"/>
  <c r="J26" i="39"/>
  <c r="M26" i="39" s="1"/>
  <c r="O25" i="39"/>
  <c r="Q25" i="39" s="1"/>
  <c r="L26" i="39"/>
  <c r="H19" i="12"/>
  <c r="I18" i="12"/>
  <c r="F50" i="10" l="1"/>
  <c r="G50" i="10"/>
  <c r="C51" i="10"/>
  <c r="D51" i="10" s="1"/>
  <c r="K26" i="39"/>
  <c r="N26" i="39"/>
  <c r="E27" i="39" s="1"/>
  <c r="I27" i="39" s="1"/>
  <c r="H20" i="12"/>
  <c r="I19" i="12"/>
  <c r="H50" i="10" l="1"/>
  <c r="I50" i="10" s="1"/>
  <c r="E51" i="10"/>
  <c r="D27" i="39"/>
  <c r="H27" i="39" s="1"/>
  <c r="C27" i="39"/>
  <c r="G27" i="39" s="1"/>
  <c r="H21" i="12"/>
  <c r="I20" i="12"/>
  <c r="C52" i="10" l="1"/>
  <c r="D52" i="10" s="1"/>
  <c r="F51" i="10"/>
  <c r="G51" i="10" s="1"/>
  <c r="F27" i="39"/>
  <c r="O27" i="39" s="1"/>
  <c r="Q27" i="39" s="1"/>
  <c r="H22" i="12"/>
  <c r="I21" i="12"/>
  <c r="H51" i="10" l="1"/>
  <c r="I51" i="10" s="1"/>
  <c r="E52" i="10"/>
  <c r="J27" i="39"/>
  <c r="L27" i="39" s="1"/>
  <c r="O26" i="39"/>
  <c r="Q26" i="39" s="1"/>
  <c r="M27" i="39"/>
  <c r="H23" i="12"/>
  <c r="I22" i="12"/>
  <c r="F52" i="10" l="1"/>
  <c r="G52" i="10" s="1"/>
  <c r="H52" i="10" s="1"/>
  <c r="I52" i="10" s="1"/>
  <c r="K27" i="39"/>
  <c r="N27" i="39" s="1"/>
  <c r="H24" i="12"/>
  <c r="I23" i="12"/>
  <c r="H25" i="12" l="1"/>
  <c r="I25" i="12" s="1"/>
  <c r="I24" i="12"/>
  <c r="E23" i="14" l="1"/>
  <c r="D23" i="14"/>
  <c r="E22" i="14"/>
  <c r="D22" i="14"/>
  <c r="D21" i="14"/>
  <c r="C16" i="14"/>
  <c r="C15" i="14"/>
  <c r="C14" i="14"/>
  <c r="C13" i="14"/>
  <c r="C12" i="14"/>
  <c r="C11" i="14"/>
  <c r="C10" i="14"/>
  <c r="C9" i="14"/>
  <c r="C8" i="14"/>
  <c r="C7" i="14"/>
  <c r="C6" i="14"/>
  <c r="H32" i="15"/>
  <c r="H34" i="15" s="1"/>
  <c r="H31" i="15"/>
  <c r="H33" i="15" s="1"/>
  <c r="F31" i="15"/>
  <c r="F33" i="15" s="1"/>
  <c r="D31" i="15"/>
  <c r="D33" i="15" s="1"/>
  <c r="H30" i="15"/>
  <c r="F30" i="15"/>
  <c r="F32" i="15" s="1"/>
  <c r="D30" i="15"/>
  <c r="D32" i="15" s="1"/>
  <c r="D34" i="15" s="1"/>
  <c r="I23" i="15"/>
  <c r="J23" i="15" s="1"/>
  <c r="H23" i="15"/>
  <c r="F7" i="15"/>
  <c r="F8" i="15" s="1"/>
  <c r="F9" i="15" s="1"/>
  <c r="F10" i="15" s="1"/>
  <c r="F11" i="15" s="1"/>
  <c r="F12" i="15" s="1"/>
  <c r="C17" i="17"/>
  <c r="C12" i="17"/>
  <c r="C11" i="17"/>
  <c r="C10" i="17"/>
  <c r="C9" i="17"/>
  <c r="C8" i="17"/>
  <c r="C7" i="17"/>
  <c r="C6" i="17"/>
  <c r="D12" i="16"/>
  <c r="C12" i="16"/>
  <c r="D11" i="16"/>
  <c r="C11" i="16"/>
  <c r="D10" i="16"/>
  <c r="C10" i="16"/>
  <c r="D9" i="16"/>
  <c r="C9" i="16"/>
  <c r="F9" i="16" s="1"/>
  <c r="D8" i="16"/>
  <c r="C8" i="16"/>
  <c r="G7" i="15" l="1"/>
  <c r="F23" i="14"/>
  <c r="I23" i="14"/>
  <c r="F22" i="14"/>
  <c r="G23" i="14"/>
  <c r="H23" i="14" s="1"/>
  <c r="J23" i="14" s="1"/>
  <c r="K23" i="14" s="1"/>
  <c r="F35" i="15"/>
  <c r="C36" i="15" s="1"/>
  <c r="G8" i="15"/>
  <c r="F34" i="15"/>
  <c r="H35" i="15"/>
  <c r="D36" i="15" s="1"/>
  <c r="G9" i="15"/>
  <c r="G10" i="15" s="1"/>
  <c r="G11" i="15" s="1"/>
  <c r="G12" i="15" s="1"/>
  <c r="O31" i="13"/>
  <c r="O25" i="13"/>
  <c r="Q25" i="13" s="1"/>
  <c r="O22" i="13"/>
  <c r="O9" i="13"/>
  <c r="Q9" i="13" s="1"/>
  <c r="C13" i="13"/>
  <c r="O12" i="13" s="1"/>
  <c r="C14" i="13"/>
  <c r="H23" i="13" s="1"/>
  <c r="C15" i="13"/>
  <c r="O19" i="13" s="1"/>
  <c r="C16" i="13"/>
  <c r="H29" i="13" s="1"/>
  <c r="C17" i="13"/>
  <c r="H33" i="13" s="1"/>
  <c r="C18" i="13"/>
  <c r="H36" i="13" s="1"/>
  <c r="C19" i="13"/>
  <c r="H39" i="13" s="1"/>
  <c r="C12" i="13"/>
  <c r="H9" i="13" s="1"/>
  <c r="C11" i="13"/>
  <c r="H6" i="13" s="1"/>
  <c r="P19" i="13" l="1"/>
  <c r="Q19" i="13"/>
  <c r="Q12" i="13"/>
  <c r="P12" i="13"/>
  <c r="R12" i="13" s="1"/>
  <c r="P25" i="13"/>
  <c r="R25" i="13" s="1"/>
  <c r="H26" i="13"/>
  <c r="J26" i="13" s="1"/>
  <c r="P31" i="13"/>
  <c r="O16" i="13"/>
  <c r="Q31" i="13"/>
  <c r="P22" i="13"/>
  <c r="H13" i="13"/>
  <c r="I13" i="13" s="1"/>
  <c r="Q22" i="13"/>
  <c r="R22" i="13" s="1"/>
  <c r="O28" i="13"/>
  <c r="P9" i="13"/>
  <c r="O6" i="13"/>
  <c r="L23" i="14"/>
  <c r="D37" i="15"/>
  <c r="D38" i="15" s="1"/>
  <c r="D39" i="15" s="1"/>
  <c r="D40" i="15" s="1"/>
  <c r="D41" i="15" s="1"/>
  <c r="I36" i="15"/>
  <c r="J36" i="15" s="1"/>
  <c r="H36" i="15"/>
  <c r="C37" i="15"/>
  <c r="R31" i="13"/>
  <c r="S31" i="13" s="1"/>
  <c r="R19" i="13"/>
  <c r="S19" i="13" s="1"/>
  <c r="R9" i="13"/>
  <c r="S9" i="13" s="1"/>
  <c r="J39" i="13"/>
  <c r="I39" i="13"/>
  <c r="K39" i="13" s="1"/>
  <c r="L39" i="13" s="1"/>
  <c r="J33" i="13"/>
  <c r="I33" i="13"/>
  <c r="I36" i="13"/>
  <c r="K36" i="13" s="1"/>
  <c r="L36" i="13" s="1"/>
  <c r="J36" i="13"/>
  <c r="J29" i="13"/>
  <c r="K29" i="13" s="1"/>
  <c r="I29" i="13"/>
  <c r="J23" i="13"/>
  <c r="I23" i="13"/>
  <c r="J13" i="13"/>
  <c r="J9" i="13"/>
  <c r="I9" i="13"/>
  <c r="J6" i="13"/>
  <c r="I6" i="13"/>
  <c r="K6" i="13" s="1"/>
  <c r="S12" i="13" l="1"/>
  <c r="O13" i="13"/>
  <c r="S22" i="13"/>
  <c r="O23" i="13"/>
  <c r="S25" i="13"/>
  <c r="O26" i="13"/>
  <c r="Q6" i="13"/>
  <c r="P6" i="13"/>
  <c r="R6" i="13" s="1"/>
  <c r="O10" i="13"/>
  <c r="Q28" i="13"/>
  <c r="P28" i="13"/>
  <c r="R28" i="13" s="1"/>
  <c r="S28" i="13" s="1"/>
  <c r="O20" i="13"/>
  <c r="I26" i="13"/>
  <c r="K26" i="13" s="1"/>
  <c r="H27" i="13" s="1"/>
  <c r="Q16" i="13"/>
  <c r="P16" i="13"/>
  <c r="R16" i="13" s="1"/>
  <c r="O32" i="13"/>
  <c r="C24" i="14"/>
  <c r="M23" i="14"/>
  <c r="C38" i="15"/>
  <c r="F37" i="15"/>
  <c r="G37" i="15" s="1"/>
  <c r="S16" i="13"/>
  <c r="O17" i="13"/>
  <c r="L26" i="13"/>
  <c r="H40" i="13"/>
  <c r="H37" i="13"/>
  <c r="K33" i="13"/>
  <c r="L29" i="13"/>
  <c r="H30" i="13"/>
  <c r="L6" i="13"/>
  <c r="H7" i="13"/>
  <c r="K9" i="13"/>
  <c r="K13" i="13"/>
  <c r="H14" i="13" s="1"/>
  <c r="J7" i="13"/>
  <c r="E17" i="4"/>
  <c r="D17" i="4"/>
  <c r="E12" i="13" l="1"/>
  <c r="Q10" i="13"/>
  <c r="P10" i="13"/>
  <c r="E17" i="13"/>
  <c r="P26" i="13"/>
  <c r="Q26" i="13"/>
  <c r="R26" i="13" s="1"/>
  <c r="S26" i="13" s="1"/>
  <c r="E19" i="13"/>
  <c r="P32" i="13"/>
  <c r="Q32" i="13"/>
  <c r="E14" i="13"/>
  <c r="P17" i="13"/>
  <c r="Q17" i="13"/>
  <c r="R17" i="13" s="1"/>
  <c r="S17" i="13" s="1"/>
  <c r="Q23" i="13"/>
  <c r="P23" i="13"/>
  <c r="E16" i="13"/>
  <c r="S6" i="13"/>
  <c r="O7" i="13"/>
  <c r="Q13" i="13"/>
  <c r="P13" i="13"/>
  <c r="O29" i="13"/>
  <c r="N23" i="14"/>
  <c r="O23" i="14"/>
  <c r="Q20" i="13"/>
  <c r="R20" i="13" s="1"/>
  <c r="S20" i="13" s="1"/>
  <c r="E15" i="13"/>
  <c r="P20" i="13"/>
  <c r="D24" i="14"/>
  <c r="E24" i="14"/>
  <c r="C39" i="15"/>
  <c r="F38" i="15"/>
  <c r="G38" i="15" s="1"/>
  <c r="F42" i="15" s="1"/>
  <c r="F44" i="15" s="1"/>
  <c r="I37" i="13"/>
  <c r="D18" i="13"/>
  <c r="J37" i="13"/>
  <c r="I27" i="13"/>
  <c r="J27" i="13"/>
  <c r="D15" i="13"/>
  <c r="I7" i="13"/>
  <c r="K7" i="13" s="1"/>
  <c r="L7" i="13" s="1"/>
  <c r="D11" i="13"/>
  <c r="I30" i="13"/>
  <c r="J30" i="13"/>
  <c r="L33" i="13"/>
  <c r="H34" i="13"/>
  <c r="J40" i="13"/>
  <c r="I40" i="13"/>
  <c r="K40" i="13" s="1"/>
  <c r="L40" i="13" s="1"/>
  <c r="K23" i="13"/>
  <c r="J14" i="13"/>
  <c r="I14" i="13"/>
  <c r="L13" i="13"/>
  <c r="L9" i="13"/>
  <c r="H10" i="13"/>
  <c r="B16" i="10"/>
  <c r="B15" i="10"/>
  <c r="B14" i="10"/>
  <c r="B13" i="10"/>
  <c r="B12" i="10"/>
  <c r="B11" i="10"/>
  <c r="B10" i="10"/>
  <c r="B9" i="10"/>
  <c r="B8" i="10"/>
  <c r="B7" i="10"/>
  <c r="B6" i="10"/>
  <c r="G23" i="9"/>
  <c r="G22" i="8"/>
  <c r="C14" i="8"/>
  <c r="C13" i="8"/>
  <c r="C12" i="8"/>
  <c r="C11" i="8"/>
  <c r="C10" i="8"/>
  <c r="C9" i="8"/>
  <c r="C8" i="8"/>
  <c r="C7" i="8"/>
  <c r="C6" i="8"/>
  <c r="C5" i="8"/>
  <c r="C4" i="8"/>
  <c r="E20" i="7"/>
  <c r="F20" i="7" s="1"/>
  <c r="G20" i="7" s="1"/>
  <c r="D20" i="7"/>
  <c r="L34" i="4"/>
  <c r="M47" i="5"/>
  <c r="M48" i="5"/>
  <c r="N40" i="6"/>
  <c r="I21" i="6"/>
  <c r="G21" i="6"/>
  <c r="F21" i="6"/>
  <c r="J21" i="6"/>
  <c r="D21" i="6"/>
  <c r="F32" i="11"/>
  <c r="G32" i="11" s="1"/>
  <c r="H32" i="11" s="1"/>
  <c r="I32" i="11" s="1"/>
  <c r="E32" i="11"/>
  <c r="C16" i="11"/>
  <c r="C15" i="11"/>
  <c r="C14" i="11"/>
  <c r="C13" i="11"/>
  <c r="C29" i="11" s="1"/>
  <c r="C12" i="11"/>
  <c r="C11" i="11"/>
  <c r="C10" i="11"/>
  <c r="C9" i="11"/>
  <c r="C8" i="11"/>
  <c r="C7" i="11"/>
  <c r="C6" i="11"/>
  <c r="C30" i="10"/>
  <c r="D30" i="10" s="1"/>
  <c r="F29" i="10"/>
  <c r="D29" i="10"/>
  <c r="B13" i="9"/>
  <c r="B12" i="9"/>
  <c r="B11" i="9"/>
  <c r="B10" i="9"/>
  <c r="B9" i="9"/>
  <c r="B8" i="9"/>
  <c r="B7" i="9"/>
  <c r="B6" i="9"/>
  <c r="D23" i="9"/>
  <c r="C24" i="9" s="1"/>
  <c r="D24" i="9" s="1"/>
  <c r="B5" i="9"/>
  <c r="B4" i="9"/>
  <c r="B3" i="9"/>
  <c r="E35" i="8"/>
  <c r="D35" i="8"/>
  <c r="E22" i="8"/>
  <c r="D22" i="8"/>
  <c r="F22" i="8" s="1"/>
  <c r="C23" i="8" s="1"/>
  <c r="E23" i="8" s="1"/>
  <c r="B14" i="7"/>
  <c r="B13" i="7"/>
  <c r="B12" i="7"/>
  <c r="B11" i="7"/>
  <c r="B10" i="7"/>
  <c r="B9" i="7"/>
  <c r="B8" i="7"/>
  <c r="B7" i="7"/>
  <c r="B6" i="7"/>
  <c r="B5" i="7"/>
  <c r="B4" i="7"/>
  <c r="R32" i="13" l="1"/>
  <c r="S32" i="13" s="1"/>
  <c r="R13" i="13"/>
  <c r="K27" i="13"/>
  <c r="L27" i="13" s="1"/>
  <c r="E11" i="13"/>
  <c r="P7" i="13"/>
  <c r="Q7" i="13"/>
  <c r="Q29" i="13"/>
  <c r="E18" i="13"/>
  <c r="P29" i="13"/>
  <c r="R10" i="13"/>
  <c r="S10" i="13" s="1"/>
  <c r="R23" i="13"/>
  <c r="S23" i="13" s="1"/>
  <c r="F24" i="14"/>
  <c r="I24" i="14"/>
  <c r="C40" i="15"/>
  <c r="F39" i="15"/>
  <c r="G39" i="15" s="1"/>
  <c r="L23" i="13"/>
  <c r="H24" i="13"/>
  <c r="H41" i="13"/>
  <c r="D17" i="13"/>
  <c r="J34" i="13"/>
  <c r="I34" i="13"/>
  <c r="K37" i="13"/>
  <c r="L37" i="13" s="1"/>
  <c r="K30" i="13"/>
  <c r="K14" i="13"/>
  <c r="H15" i="13" s="1"/>
  <c r="I10" i="13"/>
  <c r="J10" i="13"/>
  <c r="C33" i="11"/>
  <c r="E33" i="11" s="1"/>
  <c r="D33" i="11"/>
  <c r="G29" i="10"/>
  <c r="E30" i="10" s="1"/>
  <c r="H20" i="7"/>
  <c r="E22" i="6"/>
  <c r="G22" i="6" s="1"/>
  <c r="C22" i="6"/>
  <c r="F22" i="6" s="1"/>
  <c r="H21" i="6"/>
  <c r="F30" i="10"/>
  <c r="G30" i="10" s="1"/>
  <c r="C25" i="9"/>
  <c r="D25" i="9" s="1"/>
  <c r="E24" i="9"/>
  <c r="F24" i="9" s="1"/>
  <c r="G24" i="9" s="1"/>
  <c r="D23" i="8"/>
  <c r="F23" i="8" s="1"/>
  <c r="G23" i="8" s="1"/>
  <c r="F35" i="8"/>
  <c r="G35" i="8" s="1"/>
  <c r="K34" i="13" l="1"/>
  <c r="L34" i="13" s="1"/>
  <c r="R29" i="13"/>
  <c r="S29" i="13" s="1"/>
  <c r="S13" i="13"/>
  <c r="O14" i="13"/>
  <c r="R7" i="13"/>
  <c r="S7" i="13" s="1"/>
  <c r="G24" i="14"/>
  <c r="H24" i="14" s="1"/>
  <c r="J24" i="14" s="1"/>
  <c r="K24" i="14" s="1"/>
  <c r="C41" i="15"/>
  <c r="F40" i="15"/>
  <c r="F43" i="15"/>
  <c r="F45" i="15" s="1"/>
  <c r="F46" i="15" s="1"/>
  <c r="D42" i="15"/>
  <c r="D44" i="15" s="1"/>
  <c r="D19" i="13"/>
  <c r="I41" i="13"/>
  <c r="J41" i="13"/>
  <c r="L30" i="13"/>
  <c r="H31" i="13"/>
  <c r="D14" i="13"/>
  <c r="I24" i="13"/>
  <c r="J24" i="13"/>
  <c r="J15" i="13"/>
  <c r="I15" i="13"/>
  <c r="L14" i="13"/>
  <c r="K10" i="13"/>
  <c r="F33" i="11"/>
  <c r="G33" i="11" s="1"/>
  <c r="C21" i="7"/>
  <c r="E21" i="7" s="1"/>
  <c r="B21" i="7"/>
  <c r="D21" i="7" s="1"/>
  <c r="D22" i="6"/>
  <c r="I22" i="6" s="1"/>
  <c r="J22" i="6" s="1"/>
  <c r="H30" i="10"/>
  <c r="I30" i="10" s="1"/>
  <c r="C26" i="9"/>
  <c r="D26" i="9" s="1"/>
  <c r="E25" i="9"/>
  <c r="F25" i="9" s="1"/>
  <c r="G25" i="9" s="1"/>
  <c r="C36" i="8"/>
  <c r="C24" i="8"/>
  <c r="Q14" i="13" l="1"/>
  <c r="E13" i="13"/>
  <c r="P14" i="13"/>
  <c r="R14" i="13" s="1"/>
  <c r="S14" i="13" s="1"/>
  <c r="K41" i="13"/>
  <c r="L41" i="13" s="1"/>
  <c r="L24" i="14"/>
  <c r="G40" i="15"/>
  <c r="D43" i="15" s="1"/>
  <c r="D45" i="15" s="1"/>
  <c r="D46" i="15" s="1"/>
  <c r="H42" i="15"/>
  <c r="H44" i="15" s="1"/>
  <c r="F41" i="15"/>
  <c r="L10" i="13"/>
  <c r="H11" i="13"/>
  <c r="K24" i="13"/>
  <c r="L24" i="13" s="1"/>
  <c r="J31" i="13"/>
  <c r="D16" i="13"/>
  <c r="I31" i="13"/>
  <c r="K15" i="13"/>
  <c r="J33" i="11"/>
  <c r="K33" i="11" s="1"/>
  <c r="L33" i="11" s="1"/>
  <c r="M33" i="11" s="1"/>
  <c r="H33" i="11"/>
  <c r="I33" i="11" s="1"/>
  <c r="F21" i="7"/>
  <c r="G21" i="7" s="1"/>
  <c r="E23" i="6"/>
  <c r="G23" i="6" s="1"/>
  <c r="C23" i="6"/>
  <c r="F23" i="6" s="1"/>
  <c r="K22" i="6"/>
  <c r="L22" i="6" s="1"/>
  <c r="M22" i="6" s="1"/>
  <c r="N21" i="6" s="1"/>
  <c r="H22" i="6"/>
  <c r="C27" i="9"/>
  <c r="D27" i="9" s="1"/>
  <c r="E26" i="9"/>
  <c r="F26" i="9" s="1"/>
  <c r="G26" i="9" s="1"/>
  <c r="D24" i="8"/>
  <c r="F24" i="8" s="1"/>
  <c r="G24" i="8" s="1"/>
  <c r="E24" i="8"/>
  <c r="E36" i="8"/>
  <c r="D36" i="8"/>
  <c r="K31" i="13" l="1"/>
  <c r="L31" i="13" s="1"/>
  <c r="C25" i="14"/>
  <c r="M24" i="14"/>
  <c r="H43" i="15"/>
  <c r="H45" i="15" s="1"/>
  <c r="G41" i="15"/>
  <c r="H46" i="15"/>
  <c r="F47" i="15" s="1"/>
  <c r="C48" i="15" s="1"/>
  <c r="D12" i="13"/>
  <c r="I11" i="13"/>
  <c r="J11" i="13"/>
  <c r="L15" i="13"/>
  <c r="H16" i="13"/>
  <c r="D34" i="11"/>
  <c r="C34" i="11"/>
  <c r="E34" i="11" s="1"/>
  <c r="F36" i="8"/>
  <c r="G36" i="8" s="1"/>
  <c r="I21" i="7"/>
  <c r="J21" i="7" s="1"/>
  <c r="K21" i="7" s="1"/>
  <c r="L21" i="7" s="1"/>
  <c r="H21" i="7"/>
  <c r="D23" i="6"/>
  <c r="I23" i="6" s="1"/>
  <c r="J23" i="6" s="1"/>
  <c r="C28" i="9"/>
  <c r="D28" i="9" s="1"/>
  <c r="E27" i="9"/>
  <c r="F27" i="9" s="1"/>
  <c r="G27" i="9" s="1"/>
  <c r="C25" i="8"/>
  <c r="N24" i="14" l="1"/>
  <c r="O24" i="14"/>
  <c r="K11" i="13"/>
  <c r="L11" i="13" s="1"/>
  <c r="C37" i="8"/>
  <c r="D25" i="14"/>
  <c r="E25" i="14"/>
  <c r="H48" i="15"/>
  <c r="C49" i="15"/>
  <c r="H47" i="15"/>
  <c r="D48" i="15" s="1"/>
  <c r="J16" i="13"/>
  <c r="I16" i="13"/>
  <c r="G34" i="11"/>
  <c r="F34" i="11"/>
  <c r="B22" i="7"/>
  <c r="D22" i="7" s="1"/>
  <c r="C22" i="7"/>
  <c r="E22" i="7" s="1"/>
  <c r="E24" i="6"/>
  <c r="G24" i="6" s="1"/>
  <c r="C24" i="6"/>
  <c r="F24" i="6" s="1"/>
  <c r="K23" i="6"/>
  <c r="L23" i="6" s="1"/>
  <c r="M23" i="6" s="1"/>
  <c r="N22" i="6" s="1"/>
  <c r="H23" i="6"/>
  <c r="C29" i="9"/>
  <c r="D29" i="9" s="1"/>
  <c r="E28" i="9"/>
  <c r="F28" i="9" s="1"/>
  <c r="G28" i="9" s="1"/>
  <c r="D37" i="8"/>
  <c r="F37" i="8" s="1"/>
  <c r="G37" i="8" s="1"/>
  <c r="E37" i="8"/>
  <c r="E25" i="8"/>
  <c r="D25" i="8"/>
  <c r="F25" i="8" s="1"/>
  <c r="G25" i="8" s="1"/>
  <c r="F25" i="14" l="1"/>
  <c r="I25" i="14"/>
  <c r="F49" i="15"/>
  <c r="G49" i="15" s="1"/>
  <c r="C50" i="15"/>
  <c r="D49" i="15"/>
  <c r="D50" i="15" s="1"/>
  <c r="D51" i="15" s="1"/>
  <c r="D52" i="15" s="1"/>
  <c r="D53" i="15" s="1"/>
  <c r="I48" i="15"/>
  <c r="J48" i="15" s="1"/>
  <c r="K16" i="13"/>
  <c r="J34" i="11"/>
  <c r="K34" i="11" s="1"/>
  <c r="H34" i="11"/>
  <c r="I34" i="11" s="1"/>
  <c r="D35" i="11" s="1"/>
  <c r="F35" i="11" s="1"/>
  <c r="F22" i="7"/>
  <c r="G22" i="7" s="1"/>
  <c r="D24" i="6"/>
  <c r="I24" i="6" s="1"/>
  <c r="J24" i="6" s="1"/>
  <c r="C30" i="9"/>
  <c r="D30" i="9" s="1"/>
  <c r="E29" i="9"/>
  <c r="F29" i="9" s="1"/>
  <c r="G29" i="9" s="1"/>
  <c r="C26" i="8"/>
  <c r="C38" i="8"/>
  <c r="G25" i="14" l="1"/>
  <c r="H25" i="14" s="1"/>
  <c r="J25" i="14" s="1"/>
  <c r="K25" i="14" s="1"/>
  <c r="F50" i="15"/>
  <c r="G50" i="15" s="1"/>
  <c r="F54" i="15" s="1"/>
  <c r="F56" i="15" s="1"/>
  <c r="C51" i="15"/>
  <c r="L16" i="13"/>
  <c r="H17" i="13"/>
  <c r="C35" i="11"/>
  <c r="E35" i="11" s="1"/>
  <c r="L34" i="11"/>
  <c r="M34" i="11" s="1"/>
  <c r="I22" i="7"/>
  <c r="J22" i="7" s="1"/>
  <c r="K22" i="7" s="1"/>
  <c r="L22" i="7" s="1"/>
  <c r="H22" i="7"/>
  <c r="E25" i="6"/>
  <c r="G25" i="6" s="1"/>
  <c r="C25" i="6"/>
  <c r="F25" i="6" s="1"/>
  <c r="K24" i="6"/>
  <c r="L24" i="6" s="1"/>
  <c r="M24" i="6" s="1"/>
  <c r="N23" i="6" s="1"/>
  <c r="H24" i="6"/>
  <c r="C31" i="9"/>
  <c r="D31" i="9" s="1"/>
  <c r="E30" i="9"/>
  <c r="F30" i="9" s="1"/>
  <c r="G30" i="9" s="1"/>
  <c r="D26" i="8"/>
  <c r="E26" i="8"/>
  <c r="E38" i="8"/>
  <c r="D38" i="8"/>
  <c r="G35" i="11" l="1"/>
  <c r="L25" i="14"/>
  <c r="F51" i="15"/>
  <c r="G51" i="15" s="1"/>
  <c r="C52" i="15"/>
  <c r="J17" i="13"/>
  <c r="I17" i="13"/>
  <c r="J35" i="11"/>
  <c r="K35" i="11" s="1"/>
  <c r="L35" i="11" s="1"/>
  <c r="M35" i="11" s="1"/>
  <c r="H35" i="11"/>
  <c r="I35" i="11" s="1"/>
  <c r="F38" i="8"/>
  <c r="G38" i="8" s="1"/>
  <c r="F26" i="8"/>
  <c r="G26" i="8" s="1"/>
  <c r="C23" i="7"/>
  <c r="E23" i="7" s="1"/>
  <c r="B23" i="7"/>
  <c r="D23" i="7" s="1"/>
  <c r="D25" i="6"/>
  <c r="I25" i="6" s="1"/>
  <c r="J25" i="6" s="1"/>
  <c r="C32" i="9"/>
  <c r="D32" i="9" s="1"/>
  <c r="E31" i="9"/>
  <c r="F31" i="9" s="1"/>
  <c r="G31" i="9" s="1"/>
  <c r="C27" i="8" l="1"/>
  <c r="C39" i="8"/>
  <c r="C26" i="14"/>
  <c r="M25" i="14"/>
  <c r="F52" i="15"/>
  <c r="C53" i="15"/>
  <c r="F55" i="15"/>
  <c r="F57" i="15" s="1"/>
  <c r="F58" i="15" s="1"/>
  <c r="D54" i="15"/>
  <c r="D56" i="15" s="1"/>
  <c r="K17" i="13"/>
  <c r="D36" i="11"/>
  <c r="C36" i="11"/>
  <c r="E36" i="11" s="1"/>
  <c r="F23" i="7"/>
  <c r="G23" i="7" s="1"/>
  <c r="E26" i="6"/>
  <c r="G26" i="6" s="1"/>
  <c r="C26" i="6"/>
  <c r="F26" i="6" s="1"/>
  <c r="H25" i="6"/>
  <c r="K25" i="6"/>
  <c r="L25" i="6" s="1"/>
  <c r="M25" i="6" s="1"/>
  <c r="N24" i="6" s="1"/>
  <c r="E32" i="9"/>
  <c r="F32" i="9" s="1"/>
  <c r="G32" i="9" s="1"/>
  <c r="C33" i="9"/>
  <c r="D33" i="9" s="1"/>
  <c r="D39" i="8"/>
  <c r="E39" i="8"/>
  <c r="E27" i="8"/>
  <c r="D27" i="8"/>
  <c r="N25" i="14" l="1"/>
  <c r="O25" i="14"/>
  <c r="F39" i="8"/>
  <c r="G39" i="8" s="1"/>
  <c r="F27" i="8"/>
  <c r="G27" i="8" s="1"/>
  <c r="D26" i="14"/>
  <c r="E26" i="14"/>
  <c r="F53" i="15"/>
  <c r="G52" i="15"/>
  <c r="D55" i="15" s="1"/>
  <c r="D57" i="15" s="1"/>
  <c r="D58" i="15" s="1"/>
  <c r="H54" i="15"/>
  <c r="H56" i="15" s="1"/>
  <c r="L17" i="13"/>
  <c r="H18" i="13"/>
  <c r="F36" i="11"/>
  <c r="G36" i="11" s="1"/>
  <c r="I23" i="7"/>
  <c r="J23" i="7" s="1"/>
  <c r="K23" i="7" s="1"/>
  <c r="L23" i="7" s="1"/>
  <c r="H23" i="7"/>
  <c r="D26" i="6"/>
  <c r="I26" i="6" s="1"/>
  <c r="J26" i="6" s="1"/>
  <c r="C34" i="9"/>
  <c r="D34" i="9" s="1"/>
  <c r="E33" i="9"/>
  <c r="F33" i="9" s="1"/>
  <c r="G33" i="9" s="1"/>
  <c r="C40" i="8"/>
  <c r="C28" i="8"/>
  <c r="F26" i="14" l="1"/>
  <c r="I26" i="14"/>
  <c r="H55" i="15"/>
  <c r="H57" i="15" s="1"/>
  <c r="H58" i="15" s="1"/>
  <c r="F59" i="15" s="1"/>
  <c r="C60" i="15" s="1"/>
  <c r="G53" i="15"/>
  <c r="J18" i="13"/>
  <c r="I18" i="13"/>
  <c r="J36" i="11"/>
  <c r="K36" i="11" s="1"/>
  <c r="H36" i="11"/>
  <c r="I36" i="11" s="1"/>
  <c r="B24" i="7"/>
  <c r="D24" i="7" s="1"/>
  <c r="C24" i="7"/>
  <c r="E24" i="7" s="1"/>
  <c r="C27" i="6"/>
  <c r="F27" i="6" s="1"/>
  <c r="E27" i="6"/>
  <c r="G27" i="6" s="1"/>
  <c r="K26" i="6"/>
  <c r="L26" i="6" s="1"/>
  <c r="M26" i="6" s="1"/>
  <c r="N25" i="6" s="1"/>
  <c r="H26" i="6"/>
  <c r="E34" i="9"/>
  <c r="F34" i="9" s="1"/>
  <c r="G34" i="9" s="1"/>
  <c r="C35" i="9"/>
  <c r="D35" i="9" s="1"/>
  <c r="D28" i="8"/>
  <c r="E28" i="8"/>
  <c r="E40" i="8"/>
  <c r="D40" i="8"/>
  <c r="G26" i="14" l="1"/>
  <c r="H26" i="14" s="1"/>
  <c r="J26" i="14" s="1"/>
  <c r="K26" i="14" s="1"/>
  <c r="H60" i="15"/>
  <c r="C61" i="15"/>
  <c r="H59" i="15"/>
  <c r="D60" i="15" s="1"/>
  <c r="K18" i="13"/>
  <c r="M36" i="11"/>
  <c r="L36" i="11"/>
  <c r="D37" i="11"/>
  <c r="F37" i="11" s="1"/>
  <c r="C37" i="11"/>
  <c r="E37" i="11" s="1"/>
  <c r="F28" i="8"/>
  <c r="G28" i="8" s="1"/>
  <c r="F40" i="8"/>
  <c r="G40" i="8" s="1"/>
  <c r="F24" i="7"/>
  <c r="G24" i="7" s="1"/>
  <c r="D27" i="6"/>
  <c r="I27" i="6" s="1"/>
  <c r="J27" i="6" s="1"/>
  <c r="C36" i="9"/>
  <c r="D36" i="9" s="1"/>
  <c r="E35" i="9"/>
  <c r="F35" i="9" s="1"/>
  <c r="G35" i="9" s="1"/>
  <c r="G37" i="11" l="1"/>
  <c r="H37" i="11" s="1"/>
  <c r="I37" i="11" s="1"/>
  <c r="C29" i="8"/>
  <c r="C41" i="8"/>
  <c r="L26" i="14"/>
  <c r="D61" i="15"/>
  <c r="D62" i="15" s="1"/>
  <c r="D63" i="15" s="1"/>
  <c r="D64" i="15" s="1"/>
  <c r="D65" i="15" s="1"/>
  <c r="I60" i="15"/>
  <c r="J60" i="15" s="1"/>
  <c r="D67" i="15"/>
  <c r="D68" i="15"/>
  <c r="C62" i="15"/>
  <c r="F61" i="15"/>
  <c r="G61" i="15" s="1"/>
  <c r="L18" i="13"/>
  <c r="H19" i="13"/>
  <c r="J37" i="11"/>
  <c r="K37" i="11" s="1"/>
  <c r="H24" i="7"/>
  <c r="I24" i="7"/>
  <c r="J24" i="7" s="1"/>
  <c r="K24" i="7" s="1"/>
  <c r="L24" i="7" s="1"/>
  <c r="E28" i="6"/>
  <c r="G28" i="6" s="1"/>
  <c r="C28" i="6"/>
  <c r="F28" i="6" s="1"/>
  <c r="K27" i="6"/>
  <c r="L27" i="6" s="1"/>
  <c r="M27" i="6" s="1"/>
  <c r="N26" i="6" s="1"/>
  <c r="H27" i="6"/>
  <c r="E36" i="9"/>
  <c r="F36" i="9" s="1"/>
  <c r="G36" i="9" s="1"/>
  <c r="C37" i="9"/>
  <c r="D37" i="9" s="1"/>
  <c r="D41" i="8"/>
  <c r="E41" i="8"/>
  <c r="E29" i="8"/>
  <c r="D29" i="8"/>
  <c r="F29" i="8" s="1"/>
  <c r="G29" i="8" s="1"/>
  <c r="C27" i="14" l="1"/>
  <c r="M26" i="14"/>
  <c r="C63" i="15"/>
  <c r="F62" i="15"/>
  <c r="G62" i="15" s="1"/>
  <c r="J19" i="13"/>
  <c r="I19" i="13"/>
  <c r="L37" i="11"/>
  <c r="M37" i="11" s="1"/>
  <c r="D38" i="11"/>
  <c r="F38" i="11" s="1"/>
  <c r="C38" i="11"/>
  <c r="E38" i="11" s="1"/>
  <c r="F41" i="8"/>
  <c r="G41" i="8" s="1"/>
  <c r="C25" i="7"/>
  <c r="E25" i="7" s="1"/>
  <c r="B25" i="7"/>
  <c r="D25" i="7" s="1"/>
  <c r="D28" i="6"/>
  <c r="I28" i="6" s="1"/>
  <c r="J28" i="6" s="1"/>
  <c r="C38" i="9"/>
  <c r="D38" i="9" s="1"/>
  <c r="E37" i="9"/>
  <c r="F37" i="9" s="1"/>
  <c r="G37" i="9" s="1"/>
  <c r="C30" i="8"/>
  <c r="C42" i="8" l="1"/>
  <c r="G38" i="11"/>
  <c r="N26" i="14"/>
  <c r="O26" i="14"/>
  <c r="D27" i="14"/>
  <c r="E27" i="14"/>
  <c r="C64" i="15"/>
  <c r="F63" i="15"/>
  <c r="G63" i="15" s="1"/>
  <c r="K19" i="13"/>
  <c r="J38" i="11"/>
  <c r="K38" i="11" s="1"/>
  <c r="H38" i="11"/>
  <c r="I38" i="11" s="1"/>
  <c r="F25" i="7"/>
  <c r="G25" i="7" s="1"/>
  <c r="K28" i="6"/>
  <c r="L28" i="6" s="1"/>
  <c r="M28" i="6" s="1"/>
  <c r="N27" i="6" s="1"/>
  <c r="H28" i="6"/>
  <c r="E29" i="6"/>
  <c r="G29" i="6" s="1"/>
  <c r="C29" i="6"/>
  <c r="F29" i="6" s="1"/>
  <c r="E38" i="9"/>
  <c r="F38" i="9" s="1"/>
  <c r="G38" i="9" s="1"/>
  <c r="C39" i="9"/>
  <c r="D39" i="9" s="1"/>
  <c r="E39" i="9" s="1"/>
  <c r="F39" i="9" s="1"/>
  <c r="G39" i="9" s="1"/>
  <c r="D30" i="8"/>
  <c r="E30" i="8"/>
  <c r="E42" i="8"/>
  <c r="D42" i="8"/>
  <c r="F27" i="14" l="1"/>
  <c r="I27" i="14"/>
  <c r="F64" i="15"/>
  <c r="G64" i="15" s="1"/>
  <c r="C65" i="15"/>
  <c r="F65" i="15" s="1"/>
  <c r="G65" i="15" s="1"/>
  <c r="L19" i="13"/>
  <c r="H20" i="13"/>
  <c r="L38" i="11"/>
  <c r="M38" i="11" s="1"/>
  <c r="D39" i="11"/>
  <c r="C39" i="11"/>
  <c r="E39" i="11" s="1"/>
  <c r="F30" i="8"/>
  <c r="G30" i="8" s="1"/>
  <c r="F42" i="8"/>
  <c r="G42" i="8" s="1"/>
  <c r="I25" i="7"/>
  <c r="J25" i="7" s="1"/>
  <c r="K25" i="7" s="1"/>
  <c r="L25" i="7" s="1"/>
  <c r="H25" i="7"/>
  <c r="D29" i="6"/>
  <c r="I29" i="6" s="1"/>
  <c r="J29" i="6" s="1"/>
  <c r="C31" i="8" l="1"/>
  <c r="C43" i="8"/>
  <c r="G27" i="14"/>
  <c r="H27" i="14" s="1"/>
  <c r="J27" i="14" s="1"/>
  <c r="K27" i="14" s="1"/>
  <c r="J20" i="13"/>
  <c r="I20" i="13"/>
  <c r="F39" i="11"/>
  <c r="G39" i="11" s="1"/>
  <c r="B26" i="7"/>
  <c r="D26" i="7" s="1"/>
  <c r="C26" i="7"/>
  <c r="E26" i="7" s="1"/>
  <c r="E30" i="6"/>
  <c r="G30" i="6" s="1"/>
  <c r="C30" i="6"/>
  <c r="F30" i="6" s="1"/>
  <c r="K29" i="6"/>
  <c r="L29" i="6" s="1"/>
  <c r="M29" i="6" s="1"/>
  <c r="N28" i="6" s="1"/>
  <c r="H29" i="6"/>
  <c r="D43" i="8"/>
  <c r="F43" i="8" s="1"/>
  <c r="G43" i="8" s="1"/>
  <c r="E43" i="8"/>
  <c r="E31" i="8"/>
  <c r="D31" i="8"/>
  <c r="F31" i="8" s="1"/>
  <c r="G31" i="8" s="1"/>
  <c r="L27" i="14" l="1"/>
  <c r="K20" i="13"/>
  <c r="J39" i="11"/>
  <c r="K39" i="11" s="1"/>
  <c r="L39" i="11" s="1"/>
  <c r="M39" i="11" s="1"/>
  <c r="H39" i="11"/>
  <c r="I39" i="11" s="1"/>
  <c r="F26" i="7"/>
  <c r="G26" i="7" s="1"/>
  <c r="D30" i="6"/>
  <c r="I30" i="6" s="1"/>
  <c r="J30" i="6" s="1"/>
  <c r="C44" i="8"/>
  <c r="C32" i="8"/>
  <c r="C28" i="14" l="1"/>
  <c r="M27" i="14"/>
  <c r="L20" i="13"/>
  <c r="H21" i="13"/>
  <c r="D13" i="13" s="1"/>
  <c r="D40" i="11"/>
  <c r="C40" i="11"/>
  <c r="E40" i="11" s="1"/>
  <c r="I26" i="7"/>
  <c r="J26" i="7" s="1"/>
  <c r="K26" i="7" s="1"/>
  <c r="L26" i="7" s="1"/>
  <c r="H26" i="7"/>
  <c r="C31" i="6"/>
  <c r="F31" i="6" s="1"/>
  <c r="E31" i="6"/>
  <c r="G31" i="6" s="1"/>
  <c r="K30" i="6"/>
  <c r="L30" i="6" s="1"/>
  <c r="M30" i="6" s="1"/>
  <c r="N29" i="6" s="1"/>
  <c r="H30" i="6"/>
  <c r="D32" i="8"/>
  <c r="F32" i="8" s="1"/>
  <c r="G32" i="8" s="1"/>
  <c r="E32" i="8"/>
  <c r="E44" i="8"/>
  <c r="D44" i="8"/>
  <c r="N27" i="14" l="1"/>
  <c r="O27" i="14"/>
  <c r="D28" i="14"/>
  <c r="E28" i="14"/>
  <c r="J21" i="13"/>
  <c r="I21" i="13"/>
  <c r="F40" i="11"/>
  <c r="G40" i="11" s="1"/>
  <c r="F44" i="8"/>
  <c r="G44" i="8" s="1"/>
  <c r="C27" i="7"/>
  <c r="E27" i="7" s="1"/>
  <c r="B27" i="7"/>
  <c r="D27" i="7" s="1"/>
  <c r="D31" i="6"/>
  <c r="I31" i="6" s="1"/>
  <c r="J31" i="6" s="1"/>
  <c r="C33" i="8"/>
  <c r="K21" i="13" l="1"/>
  <c r="L21" i="13" s="1"/>
  <c r="C45" i="8"/>
  <c r="F28" i="14"/>
  <c r="I28" i="14"/>
  <c r="J40" i="11"/>
  <c r="K40" i="11" s="1"/>
  <c r="H40" i="11"/>
  <c r="I40" i="11" s="1"/>
  <c r="F27" i="7"/>
  <c r="G27" i="7" s="1"/>
  <c r="E32" i="6"/>
  <c r="G32" i="6" s="1"/>
  <c r="C32" i="6"/>
  <c r="F32" i="6" s="1"/>
  <c r="K31" i="6"/>
  <c r="L31" i="6" s="1"/>
  <c r="M31" i="6" s="1"/>
  <c r="N30" i="6" s="1"/>
  <c r="H31" i="6"/>
  <c r="D45" i="8"/>
  <c r="F45" i="8" s="1"/>
  <c r="G45" i="8" s="1"/>
  <c r="E45" i="8"/>
  <c r="E33" i="8"/>
  <c r="D33" i="8"/>
  <c r="G28" i="14" l="1"/>
  <c r="H28" i="14" s="1"/>
  <c r="J28" i="14" s="1"/>
  <c r="K28" i="14" s="1"/>
  <c r="L40" i="11"/>
  <c r="M40" i="11" s="1"/>
  <c r="D41" i="11"/>
  <c r="C41" i="11"/>
  <c r="E41" i="11" s="1"/>
  <c r="F33" i="8"/>
  <c r="G33" i="8" s="1"/>
  <c r="I27" i="7"/>
  <c r="J27" i="7" s="1"/>
  <c r="K27" i="7" s="1"/>
  <c r="L27" i="7" s="1"/>
  <c r="H27" i="7"/>
  <c r="D32" i="6"/>
  <c r="I32" i="6" s="1"/>
  <c r="J32" i="6" s="1"/>
  <c r="C46" i="8"/>
  <c r="C34" i="8" l="1"/>
  <c r="L28" i="14"/>
  <c r="M28" i="14" s="1"/>
  <c r="F41" i="11"/>
  <c r="G41" i="11" s="1"/>
  <c r="B28" i="7"/>
  <c r="D28" i="7" s="1"/>
  <c r="C28" i="7"/>
  <c r="E28" i="7" s="1"/>
  <c r="K32" i="6"/>
  <c r="L32" i="6" s="1"/>
  <c r="M32" i="6" s="1"/>
  <c r="N31" i="6" s="1"/>
  <c r="H32" i="6"/>
  <c r="E33" i="6"/>
  <c r="G33" i="6" s="1"/>
  <c r="C33" i="6"/>
  <c r="F33" i="6" s="1"/>
  <c r="D34" i="8"/>
  <c r="E34" i="8"/>
  <c r="E46" i="8"/>
  <c r="D46" i="8"/>
  <c r="N28" i="14" l="1"/>
  <c r="O28" i="14"/>
  <c r="J41" i="11"/>
  <c r="K41" i="11" s="1"/>
  <c r="H41" i="11"/>
  <c r="I41" i="11" s="1"/>
  <c r="F46" i="8"/>
  <c r="G46" i="8" s="1"/>
  <c r="F34" i="8"/>
  <c r="G34" i="8" s="1"/>
  <c r="F28" i="7"/>
  <c r="G28" i="7" s="1"/>
  <c r="D33" i="6"/>
  <c r="I33" i="6" s="1"/>
  <c r="J33" i="6" s="1"/>
  <c r="D42" i="11" l="1"/>
  <c r="F42" i="11" s="1"/>
  <c r="G42" i="11" s="1"/>
  <c r="C42" i="11"/>
  <c r="E42" i="11" s="1"/>
  <c r="L41" i="11"/>
  <c r="M41" i="11" s="1"/>
  <c r="H28" i="7"/>
  <c r="I28" i="7"/>
  <c r="J28" i="7" s="1"/>
  <c r="K28" i="7" s="1"/>
  <c r="L28" i="7" s="1"/>
  <c r="E34" i="6"/>
  <c r="G34" i="6" s="1"/>
  <c r="C34" i="6"/>
  <c r="F34" i="6" s="1"/>
  <c r="K33" i="6"/>
  <c r="L33" i="6" s="1"/>
  <c r="M33" i="6" s="1"/>
  <c r="N32" i="6" s="1"/>
  <c r="H33" i="6"/>
  <c r="H42" i="11" l="1"/>
  <c r="J42" i="11"/>
  <c r="K42" i="11" s="1"/>
  <c r="I42" i="11"/>
  <c r="C29" i="7"/>
  <c r="E29" i="7" s="1"/>
  <c r="B29" i="7"/>
  <c r="D29" i="7" s="1"/>
  <c r="D34" i="6"/>
  <c r="I34" i="6" s="1"/>
  <c r="J34" i="6" s="1"/>
  <c r="L42" i="11" l="1"/>
  <c r="M42" i="11" s="1"/>
  <c r="D43" i="11"/>
  <c r="C43" i="11"/>
  <c r="E43" i="11" s="1"/>
  <c r="F29" i="7"/>
  <c r="G29" i="7" s="1"/>
  <c r="C35" i="6"/>
  <c r="F35" i="6" s="1"/>
  <c r="E35" i="6"/>
  <c r="G35" i="6" s="1"/>
  <c r="K34" i="6"/>
  <c r="L34" i="6" s="1"/>
  <c r="M34" i="6" s="1"/>
  <c r="N33" i="6" s="1"/>
  <c r="H34" i="6"/>
  <c r="F43" i="11" l="1"/>
  <c r="G43" i="11" s="1"/>
  <c r="I29" i="7"/>
  <c r="J29" i="7" s="1"/>
  <c r="K29" i="7" s="1"/>
  <c r="L29" i="7" s="1"/>
  <c r="H29" i="7"/>
  <c r="D35" i="6"/>
  <c r="I35" i="6" s="1"/>
  <c r="J35" i="6" s="1"/>
  <c r="H43" i="11" l="1"/>
  <c r="I43" i="11" s="1"/>
  <c r="J43" i="11"/>
  <c r="K43" i="11" s="1"/>
  <c r="L43" i="11" s="1"/>
  <c r="M43" i="11" s="1"/>
  <c r="B30" i="7"/>
  <c r="D30" i="7" s="1"/>
  <c r="C30" i="7"/>
  <c r="E30" i="7" s="1"/>
  <c r="E36" i="6"/>
  <c r="G36" i="6" s="1"/>
  <c r="C36" i="6"/>
  <c r="F36" i="6" s="1"/>
  <c r="K35" i="6"/>
  <c r="L35" i="6" s="1"/>
  <c r="M35" i="6" s="1"/>
  <c r="N34" i="6" s="1"/>
  <c r="H35" i="6"/>
  <c r="D44" i="11" l="1"/>
  <c r="F44" i="11" s="1"/>
  <c r="G44" i="11" s="1"/>
  <c r="C44" i="11"/>
  <c r="E44" i="11" s="1"/>
  <c r="F30" i="7"/>
  <c r="G30" i="7" s="1"/>
  <c r="D36" i="6"/>
  <c r="I36" i="6" s="1"/>
  <c r="J36" i="6" s="1"/>
  <c r="J44" i="11" l="1"/>
  <c r="K44" i="11" s="1"/>
  <c r="H44" i="11"/>
  <c r="I44" i="11" s="1"/>
  <c r="I30" i="7"/>
  <c r="J30" i="7" s="1"/>
  <c r="K30" i="7" s="1"/>
  <c r="L30" i="7" s="1"/>
  <c r="H30" i="7"/>
  <c r="K36" i="6"/>
  <c r="L36" i="6" s="1"/>
  <c r="M36" i="6" s="1"/>
  <c r="N35" i="6" s="1"/>
  <c r="H36" i="6"/>
  <c r="E37" i="6"/>
  <c r="G37" i="6" s="1"/>
  <c r="C37" i="6"/>
  <c r="F37" i="6" s="1"/>
  <c r="D45" i="11" l="1"/>
  <c r="F45" i="11" s="1"/>
  <c r="G45" i="11" s="1"/>
  <c r="C45" i="11"/>
  <c r="E45" i="11" s="1"/>
  <c r="L44" i="11"/>
  <c r="M44" i="11" s="1"/>
  <c r="C31" i="7"/>
  <c r="E31" i="7" s="1"/>
  <c r="B31" i="7"/>
  <c r="D31" i="7" s="1"/>
  <c r="D37" i="6"/>
  <c r="I37" i="6" s="1"/>
  <c r="J37" i="6" s="1"/>
  <c r="J45" i="11" l="1"/>
  <c r="K45" i="11" s="1"/>
  <c r="H45" i="11"/>
  <c r="I45" i="11" s="1"/>
  <c r="F31" i="7"/>
  <c r="G31" i="7" s="1"/>
  <c r="E38" i="6"/>
  <c r="G38" i="6" s="1"/>
  <c r="C38" i="6"/>
  <c r="F38" i="6" s="1"/>
  <c r="K37" i="6"/>
  <c r="L37" i="6" s="1"/>
  <c r="M37" i="6" s="1"/>
  <c r="N36" i="6" s="1"/>
  <c r="H37" i="6"/>
  <c r="C46" i="11" l="1"/>
  <c r="E46" i="11" s="1"/>
  <c r="D46" i="11"/>
  <c r="F46" i="11" s="1"/>
  <c r="L45" i="11"/>
  <c r="M45" i="11" s="1"/>
  <c r="I31" i="7"/>
  <c r="J31" i="7" s="1"/>
  <c r="K31" i="7" s="1"/>
  <c r="L31" i="7" s="1"/>
  <c r="H31" i="7"/>
  <c r="D38" i="6"/>
  <c r="I38" i="6" s="1"/>
  <c r="J38" i="6" s="1"/>
  <c r="G46" i="11" l="1"/>
  <c r="B32" i="7"/>
  <c r="D32" i="7" s="1"/>
  <c r="C32" i="7"/>
  <c r="E32" i="7" s="1"/>
  <c r="C39" i="6"/>
  <c r="F39" i="6" s="1"/>
  <c r="E39" i="6"/>
  <c r="G39" i="6" s="1"/>
  <c r="K38" i="6"/>
  <c r="L38" i="6" s="1"/>
  <c r="M38" i="6" s="1"/>
  <c r="N37" i="6" s="1"/>
  <c r="H38" i="6"/>
  <c r="J46" i="11" l="1"/>
  <c r="K46" i="11" s="1"/>
  <c r="H46" i="11"/>
  <c r="I46" i="11" s="1"/>
  <c r="F32" i="7"/>
  <c r="G32" i="7" s="1"/>
  <c r="D39" i="6"/>
  <c r="I39" i="6" s="1"/>
  <c r="J39" i="6" s="1"/>
  <c r="L46" i="11" l="1"/>
  <c r="M46" i="11" s="1"/>
  <c r="D47" i="11"/>
  <c r="C47" i="11"/>
  <c r="E47" i="11" s="1"/>
  <c r="H32" i="7"/>
  <c r="I32" i="7"/>
  <c r="J32" i="7" s="1"/>
  <c r="K32" i="7" s="1"/>
  <c r="L32" i="7" s="1"/>
  <c r="E40" i="6"/>
  <c r="G40" i="6" s="1"/>
  <c r="C40" i="6"/>
  <c r="F40" i="6" s="1"/>
  <c r="K39" i="6"/>
  <c r="L39" i="6" s="1"/>
  <c r="M39" i="6" s="1"/>
  <c r="N38" i="6" s="1"/>
  <c r="H39" i="6"/>
  <c r="F47" i="11" l="1"/>
  <c r="G47" i="11" s="1"/>
  <c r="C33" i="7"/>
  <c r="E33" i="7" s="1"/>
  <c r="B33" i="7"/>
  <c r="D33" i="7" s="1"/>
  <c r="D40" i="6"/>
  <c r="I40" i="6" s="1"/>
  <c r="J40" i="6" s="1"/>
  <c r="H47" i="11" l="1"/>
  <c r="I47" i="11" s="1"/>
  <c r="J47" i="11"/>
  <c r="K47" i="11" s="1"/>
  <c r="L47" i="11" s="1"/>
  <c r="M47" i="11" s="1"/>
  <c r="F33" i="7"/>
  <c r="G33" i="7" s="1"/>
  <c r="K40" i="6"/>
  <c r="L40" i="6" s="1"/>
  <c r="M40" i="6" s="1"/>
  <c r="N39" i="6" s="1"/>
  <c r="H40" i="6"/>
  <c r="I33" i="7" l="1"/>
  <c r="J33" i="7" s="1"/>
  <c r="K33" i="7" s="1"/>
  <c r="L33" i="7" s="1"/>
  <c r="H33" i="7"/>
  <c r="B34" i="7" l="1"/>
  <c r="D34" i="7" s="1"/>
  <c r="C34" i="7"/>
  <c r="E34" i="7" s="1"/>
  <c r="F34" i="7" l="1"/>
  <c r="G34" i="7" s="1"/>
  <c r="I34" i="7" l="1"/>
  <c r="J34" i="7" s="1"/>
  <c r="K34" i="7" s="1"/>
  <c r="L34" i="7" s="1"/>
  <c r="H34" i="7"/>
  <c r="C35" i="7" l="1"/>
  <c r="E35" i="7" s="1"/>
  <c r="B35" i="7"/>
  <c r="D35" i="7" s="1"/>
  <c r="F35" i="7" l="1"/>
  <c r="G35" i="7" s="1"/>
  <c r="I35" i="7" l="1"/>
  <c r="J35" i="7" s="1"/>
  <c r="K35" i="7" s="1"/>
  <c r="L35" i="7" s="1"/>
  <c r="H35" i="7"/>
  <c r="B36" i="7" l="1"/>
  <c r="D36" i="7" s="1"/>
  <c r="C36" i="7"/>
  <c r="E36" i="7" l="1"/>
  <c r="F36" i="7" s="1"/>
  <c r="I36" i="7" l="1"/>
  <c r="J36" i="7" s="1"/>
  <c r="K36" i="7" s="1"/>
  <c r="L36" i="7" s="1"/>
  <c r="G36" i="7"/>
  <c r="H36" i="7" s="1"/>
  <c r="B37" i="7" l="1"/>
  <c r="D37" i="7" s="1"/>
  <c r="C37" i="7"/>
  <c r="E37" i="7" s="1"/>
  <c r="F37" i="7" s="1"/>
  <c r="I37" i="7" l="1"/>
  <c r="J37" i="7" s="1"/>
  <c r="K37" i="7" s="1"/>
  <c r="L37" i="7" s="1"/>
  <c r="G37" i="7"/>
  <c r="H37" i="7" s="1"/>
  <c r="B38" i="7" l="1"/>
  <c r="D38" i="7" s="1"/>
  <c r="C38" i="7"/>
  <c r="E38" i="7" l="1"/>
  <c r="F38" i="7"/>
  <c r="G38" i="7" l="1"/>
  <c r="H38" i="7" s="1"/>
  <c r="I38" i="7"/>
  <c r="J38" i="7" s="1"/>
  <c r="K38" i="7" s="1"/>
  <c r="L38" i="7" s="1"/>
  <c r="C39" i="7" l="1"/>
  <c r="E39" i="7" s="1"/>
  <c r="B39" i="7"/>
  <c r="D39" i="7" s="1"/>
  <c r="F39" i="7" l="1"/>
  <c r="I39" i="7" l="1"/>
  <c r="J39" i="7" s="1"/>
  <c r="K39" i="7" s="1"/>
  <c r="L39" i="7" s="1"/>
  <c r="G39" i="7"/>
  <c r="H39" i="7" s="1"/>
  <c r="B40" i="7" l="1"/>
  <c r="D40" i="7" s="1"/>
  <c r="C40" i="7"/>
  <c r="E40" i="7" s="1"/>
  <c r="F40" i="7" s="1"/>
  <c r="I40" i="7" l="1"/>
  <c r="J40" i="7" s="1"/>
  <c r="K40" i="7" s="1"/>
  <c r="L40" i="7" s="1"/>
  <c r="G40" i="7"/>
  <c r="H40" i="7" s="1"/>
  <c r="C41" i="7" l="1"/>
  <c r="E41" i="7" s="1"/>
  <c r="B41" i="7"/>
  <c r="D41" i="7" s="1"/>
  <c r="F41" i="7" l="1"/>
  <c r="F17" i="4"/>
  <c r="G17" i="4" l="1"/>
  <c r="H17" i="4" s="1"/>
  <c r="I41" i="7"/>
  <c r="J41" i="7" s="1"/>
  <c r="K41" i="7" s="1"/>
  <c r="L41" i="7" s="1"/>
  <c r="G41" i="7"/>
  <c r="H41" i="7" s="1"/>
  <c r="C18" i="4" l="1"/>
  <c r="E18" i="4" s="1"/>
  <c r="B18" i="4"/>
  <c r="D18" i="4" s="1"/>
  <c r="B42" i="7"/>
  <c r="D42" i="7" s="1"/>
  <c r="C42" i="7"/>
  <c r="E42" i="7" s="1"/>
  <c r="F42" i="7" s="1"/>
  <c r="F18" i="4"/>
  <c r="G18" i="4" s="1"/>
  <c r="G42" i="7" l="1"/>
  <c r="H42" i="7" s="1"/>
  <c r="I42" i="7"/>
  <c r="J42" i="7" s="1"/>
  <c r="K42" i="7" s="1"/>
  <c r="L42" i="7" s="1"/>
  <c r="I18" i="4"/>
  <c r="J18" i="4" s="1"/>
  <c r="K18" i="4" s="1"/>
  <c r="L17" i="4" s="1"/>
  <c r="H18" i="4"/>
  <c r="C43" i="7" l="1"/>
  <c r="E43" i="7" s="1"/>
  <c r="B43" i="7"/>
  <c r="D43" i="7" s="1"/>
  <c r="C19" i="4"/>
  <c r="E19" i="4" s="1"/>
  <c r="B19" i="4"/>
  <c r="D19" i="4" s="1"/>
  <c r="F43" i="7" l="1"/>
  <c r="F19" i="4"/>
  <c r="G19" i="4" s="1"/>
  <c r="I43" i="7" l="1"/>
  <c r="J43" i="7" s="1"/>
  <c r="K43" i="7" s="1"/>
  <c r="L43" i="7" s="1"/>
  <c r="G43" i="7"/>
  <c r="H43" i="7" s="1"/>
  <c r="I19" i="4"/>
  <c r="J19" i="4" s="1"/>
  <c r="K19" i="4" s="1"/>
  <c r="L18" i="4" s="1"/>
  <c r="H19" i="4"/>
  <c r="C44" i="7" l="1"/>
  <c r="E44" i="7" s="1"/>
  <c r="F44" i="7" s="1"/>
  <c r="B44" i="7"/>
  <c r="D44" i="7" s="1"/>
  <c r="C20" i="4"/>
  <c r="E20" i="4" s="1"/>
  <c r="B20" i="4"/>
  <c r="D20" i="4" s="1"/>
  <c r="G44" i="7" l="1"/>
  <c r="H44" i="7" s="1"/>
  <c r="I44" i="7"/>
  <c r="J44" i="7" s="1"/>
  <c r="K44" i="7" s="1"/>
  <c r="L44" i="7" s="1"/>
  <c r="F20" i="4"/>
  <c r="G20" i="4" s="1"/>
  <c r="C45" i="7" l="1"/>
  <c r="E45" i="7" s="1"/>
  <c r="B45" i="7"/>
  <c r="D45" i="7" s="1"/>
  <c r="I20" i="4"/>
  <c r="J20" i="4" s="1"/>
  <c r="K20" i="4" s="1"/>
  <c r="L19" i="4" s="1"/>
  <c r="H20" i="4"/>
  <c r="F45" i="7" l="1"/>
  <c r="C21" i="4"/>
  <c r="E21" i="4" s="1"/>
  <c r="B21" i="4"/>
  <c r="D21" i="4" s="1"/>
  <c r="G45" i="7" l="1"/>
  <c r="H45" i="7" s="1"/>
  <c r="I45" i="7"/>
  <c r="J45" i="7" s="1"/>
  <c r="K45" i="7" s="1"/>
  <c r="L45" i="7" s="1"/>
  <c r="F21" i="4"/>
  <c r="G21" i="4" s="1"/>
  <c r="B46" i="7" l="1"/>
  <c r="D46" i="7" s="1"/>
  <c r="C46" i="7"/>
  <c r="E46" i="7" s="1"/>
  <c r="F46" i="7" s="1"/>
  <c r="I21" i="4"/>
  <c r="J21" i="4" s="1"/>
  <c r="K21" i="4" s="1"/>
  <c r="L20" i="4" s="1"/>
  <c r="H21" i="4"/>
  <c r="G46" i="7" l="1"/>
  <c r="H46" i="7" s="1"/>
  <c r="I46" i="7"/>
  <c r="J46" i="7" s="1"/>
  <c r="K46" i="7" s="1"/>
  <c r="L46" i="7" s="1"/>
  <c r="C22" i="4"/>
  <c r="E22" i="4" s="1"/>
  <c r="B22" i="4"/>
  <c r="D22" i="4" s="1"/>
  <c r="C47" i="7" l="1"/>
  <c r="E47" i="7" s="1"/>
  <c r="B47" i="7"/>
  <c r="D47" i="7" s="1"/>
  <c r="F22" i="4"/>
  <c r="G22" i="4" s="1"/>
  <c r="F47" i="7" l="1"/>
  <c r="I22" i="4"/>
  <c r="J22" i="4" s="1"/>
  <c r="K22" i="4" s="1"/>
  <c r="L21" i="4" s="1"/>
  <c r="H22" i="4"/>
  <c r="I47" i="7" l="1"/>
  <c r="J47" i="7" s="1"/>
  <c r="K47" i="7" s="1"/>
  <c r="L47" i="7" s="1"/>
  <c r="G47" i="7"/>
  <c r="H47" i="7" s="1"/>
  <c r="C23" i="4"/>
  <c r="E23" i="4" s="1"/>
  <c r="B23" i="4"/>
  <c r="D23" i="4" s="1"/>
  <c r="B48" i="7" l="1"/>
  <c r="D48" i="7" s="1"/>
  <c r="C48" i="7"/>
  <c r="E48" i="7" s="1"/>
  <c r="F48" i="7" s="1"/>
  <c r="F23" i="4"/>
  <c r="G23" i="4" s="1"/>
  <c r="I48" i="7" l="1"/>
  <c r="J48" i="7" s="1"/>
  <c r="K48" i="7" s="1"/>
  <c r="L48" i="7" s="1"/>
  <c r="G48" i="7"/>
  <c r="H48" i="7" s="1"/>
  <c r="I23" i="4"/>
  <c r="J23" i="4" s="1"/>
  <c r="K23" i="4" s="1"/>
  <c r="L22" i="4" s="1"/>
  <c r="H23" i="4"/>
  <c r="C49" i="7" l="1"/>
  <c r="E49" i="7" s="1"/>
  <c r="B49" i="7"/>
  <c r="D49" i="7" s="1"/>
  <c r="C24" i="4"/>
  <c r="E24" i="4" s="1"/>
  <c r="B24" i="4"/>
  <c r="D24" i="4" s="1"/>
  <c r="F49" i="7" l="1"/>
  <c r="F24" i="4"/>
  <c r="G24" i="4" s="1"/>
  <c r="G49" i="7" l="1"/>
  <c r="H49" i="7" s="1"/>
  <c r="I49" i="7"/>
  <c r="J49" i="7" s="1"/>
  <c r="K49" i="7" s="1"/>
  <c r="L49" i="7" s="1"/>
  <c r="I24" i="4"/>
  <c r="J24" i="4" s="1"/>
  <c r="K24" i="4" s="1"/>
  <c r="L23" i="4" s="1"/>
  <c r="H24" i="4"/>
  <c r="B50" i="7" l="1"/>
  <c r="D50" i="7" s="1"/>
  <c r="C50" i="7"/>
  <c r="E50" i="7" s="1"/>
  <c r="F50" i="7" s="1"/>
  <c r="C25" i="4"/>
  <c r="E25" i="4" s="1"/>
  <c r="B25" i="4"/>
  <c r="D25" i="4" s="1"/>
  <c r="G50" i="7" l="1"/>
  <c r="H50" i="7" s="1"/>
  <c r="I50" i="7"/>
  <c r="J50" i="7" s="1"/>
  <c r="K50" i="7" s="1"/>
  <c r="L50" i="7" s="1"/>
  <c r="F25" i="4"/>
  <c r="G25" i="4" s="1"/>
  <c r="C51" i="7" l="1"/>
  <c r="E51" i="7" s="1"/>
  <c r="F51" i="7" s="1"/>
  <c r="B51" i="7"/>
  <c r="D51" i="7" s="1"/>
  <c r="I25" i="4"/>
  <c r="J25" i="4" s="1"/>
  <c r="K25" i="4" s="1"/>
  <c r="L24" i="4" s="1"/>
  <c r="H25" i="4"/>
  <c r="G51" i="7" l="1"/>
  <c r="H51" i="7" s="1"/>
  <c r="I51" i="7"/>
  <c r="J51" i="7" s="1"/>
  <c r="K51" i="7" s="1"/>
  <c r="L51" i="7" s="1"/>
  <c r="C26" i="4"/>
  <c r="E26" i="4" s="1"/>
  <c r="B26" i="4"/>
  <c r="D26" i="4" s="1"/>
  <c r="B52" i="7" l="1"/>
  <c r="D52" i="7" s="1"/>
  <c r="C52" i="7"/>
  <c r="E52" i="7" s="1"/>
  <c r="F52" i="7" s="1"/>
  <c r="F26" i="4"/>
  <c r="G26" i="4" s="1"/>
  <c r="I52" i="7" l="1"/>
  <c r="J52" i="7" s="1"/>
  <c r="K52" i="7" s="1"/>
  <c r="L52" i="7" s="1"/>
  <c r="G52" i="7"/>
  <c r="H52" i="7" s="1"/>
  <c r="I26" i="4"/>
  <c r="J26" i="4" s="1"/>
  <c r="K26" i="4" s="1"/>
  <c r="L25" i="4" s="1"/>
  <c r="H26" i="4"/>
  <c r="C53" i="7" l="1"/>
  <c r="E53" i="7" s="1"/>
  <c r="F53" i="7" s="1"/>
  <c r="B53" i="7"/>
  <c r="D53" i="7" s="1"/>
  <c r="C27" i="4"/>
  <c r="E27" i="4" s="1"/>
  <c r="B27" i="4"/>
  <c r="D27" i="4" s="1"/>
  <c r="G53" i="7" l="1"/>
  <c r="H53" i="7" s="1"/>
  <c r="I53" i="7"/>
  <c r="J53" i="7" s="1"/>
  <c r="K53" i="7" s="1"/>
  <c r="L53" i="7" s="1"/>
  <c r="F27" i="4"/>
  <c r="G27" i="4" s="1"/>
  <c r="B54" i="7" l="1"/>
  <c r="D54" i="7" s="1"/>
  <c r="C54" i="7"/>
  <c r="E54" i="7" s="1"/>
  <c r="F54" i="7" s="1"/>
  <c r="I27" i="4"/>
  <c r="J27" i="4" s="1"/>
  <c r="K27" i="4" s="1"/>
  <c r="L26" i="4" s="1"/>
  <c r="H27" i="4"/>
  <c r="G54" i="7" l="1"/>
  <c r="H54" i="7" s="1"/>
  <c r="I54" i="7"/>
  <c r="J54" i="7" s="1"/>
  <c r="K54" i="7" s="1"/>
  <c r="L54" i="7" s="1"/>
  <c r="C28" i="4"/>
  <c r="E28" i="4" s="1"/>
  <c r="B28" i="4"/>
  <c r="D28" i="4" s="1"/>
  <c r="B55" i="7" l="1"/>
  <c r="D55" i="7" s="1"/>
  <c r="C55" i="7"/>
  <c r="E55" i="7" s="1"/>
  <c r="F55" i="7" s="1"/>
  <c r="F28" i="4"/>
  <c r="G28" i="4" s="1"/>
  <c r="I55" i="7" l="1"/>
  <c r="J55" i="7" s="1"/>
  <c r="K55" i="7" s="1"/>
  <c r="L55" i="7" s="1"/>
  <c r="G55" i="7"/>
  <c r="H55" i="7" s="1"/>
  <c r="I28" i="4"/>
  <c r="J28" i="4" s="1"/>
  <c r="K28" i="4" s="1"/>
  <c r="L27" i="4" s="1"/>
  <c r="H28" i="4"/>
  <c r="B56" i="7" l="1"/>
  <c r="D56" i="7" s="1"/>
  <c r="C56" i="7"/>
  <c r="E56" i="7" s="1"/>
  <c r="F56" i="7" s="1"/>
  <c r="C29" i="4"/>
  <c r="E29" i="4" s="1"/>
  <c r="B29" i="4"/>
  <c r="D29" i="4" s="1"/>
  <c r="G56" i="7" l="1"/>
  <c r="H56" i="7" s="1"/>
  <c r="I56" i="7"/>
  <c r="J56" i="7" s="1"/>
  <c r="K56" i="7" s="1"/>
  <c r="L56" i="7" s="1"/>
  <c r="F29" i="4"/>
  <c r="G29" i="4" s="1"/>
  <c r="B57" i="7" l="1"/>
  <c r="D57" i="7" s="1"/>
  <c r="C57" i="7"/>
  <c r="E57" i="7" s="1"/>
  <c r="F57" i="7" s="1"/>
  <c r="I29" i="4"/>
  <c r="J29" i="4" s="1"/>
  <c r="K29" i="4" s="1"/>
  <c r="L28" i="4" s="1"/>
  <c r="H29" i="4"/>
  <c r="G57" i="7" l="1"/>
  <c r="H57" i="7" s="1"/>
  <c r="I57" i="7"/>
  <c r="J57" i="7" s="1"/>
  <c r="K57" i="7" s="1"/>
  <c r="L57" i="7" s="1"/>
  <c r="C30" i="4"/>
  <c r="E30" i="4" s="1"/>
  <c r="B30" i="4"/>
  <c r="D30" i="4" s="1"/>
  <c r="C58" i="7" l="1"/>
  <c r="E58" i="7" s="1"/>
  <c r="F58" i="7" s="1"/>
  <c r="B58" i="7"/>
  <c r="D58" i="7" s="1"/>
  <c r="F30" i="4"/>
  <c r="G30" i="4" s="1"/>
  <c r="G58" i="7" l="1"/>
  <c r="H58" i="7" s="1"/>
  <c r="I58" i="7"/>
  <c r="J58" i="7" s="1"/>
  <c r="K58" i="7" s="1"/>
  <c r="L58" i="7" s="1"/>
  <c r="I30" i="4"/>
  <c r="J30" i="4" s="1"/>
  <c r="K30" i="4" s="1"/>
  <c r="L29" i="4" s="1"/>
  <c r="H30" i="4"/>
  <c r="C59" i="7" l="1"/>
  <c r="B59" i="7"/>
  <c r="D59" i="7" s="1"/>
  <c r="C31" i="4"/>
  <c r="E31" i="4" s="1"/>
  <c r="B31" i="4"/>
  <c r="D31" i="4" s="1"/>
  <c r="E59" i="7" l="1"/>
  <c r="F59" i="7" s="1"/>
  <c r="F31" i="4"/>
  <c r="G31" i="4" s="1"/>
  <c r="I59" i="7" l="1"/>
  <c r="J59" i="7" s="1"/>
  <c r="K59" i="7" s="1"/>
  <c r="L59" i="7" s="1"/>
  <c r="G59" i="7"/>
  <c r="H59" i="7" s="1"/>
  <c r="I31" i="4"/>
  <c r="J31" i="4" s="1"/>
  <c r="K31" i="4" s="1"/>
  <c r="L30" i="4" s="1"/>
  <c r="H31" i="4"/>
  <c r="C60" i="7" l="1"/>
  <c r="E60" i="7" s="1"/>
  <c r="B60" i="7"/>
  <c r="D60" i="7" s="1"/>
  <c r="C32" i="4"/>
  <c r="E32" i="4" s="1"/>
  <c r="B32" i="4"/>
  <c r="D32" i="4" s="1"/>
  <c r="F60" i="7" l="1"/>
  <c r="F32" i="4"/>
  <c r="G32" i="4" s="1"/>
  <c r="G60" i="7" l="1"/>
  <c r="H60" i="7" s="1"/>
  <c r="I60" i="7"/>
  <c r="J60" i="7" s="1"/>
  <c r="K60" i="7" s="1"/>
  <c r="L60" i="7" s="1"/>
  <c r="I32" i="4"/>
  <c r="J32" i="4" s="1"/>
  <c r="K32" i="4" s="1"/>
  <c r="L31" i="4" s="1"/>
  <c r="H32" i="4"/>
  <c r="B61" i="7" l="1"/>
  <c r="D61" i="7" s="1"/>
  <c r="C61" i="7"/>
  <c r="E61" i="7" s="1"/>
  <c r="F61" i="7" s="1"/>
  <c r="C33" i="4"/>
  <c r="E33" i="4" s="1"/>
  <c r="B33" i="4"/>
  <c r="D33" i="4" s="1"/>
  <c r="I61" i="7" l="1"/>
  <c r="J61" i="7" s="1"/>
  <c r="K61" i="7" s="1"/>
  <c r="L61" i="7" s="1"/>
  <c r="G61" i="7"/>
  <c r="H61" i="7" s="1"/>
  <c r="F33" i="4"/>
  <c r="G33" i="4" s="1"/>
  <c r="C62" i="7" l="1"/>
  <c r="E62" i="7" s="1"/>
  <c r="F62" i="7" s="1"/>
  <c r="B62" i="7"/>
  <c r="D62" i="7" s="1"/>
  <c r="I33" i="4"/>
  <c r="J33" i="4" s="1"/>
  <c r="K33" i="4" s="1"/>
  <c r="L32" i="4" s="1"/>
  <c r="H33" i="4"/>
  <c r="I62" i="7" l="1"/>
  <c r="J62" i="7" s="1"/>
  <c r="K62" i="7" s="1"/>
  <c r="L62" i="7" s="1"/>
  <c r="G62" i="7"/>
  <c r="H62" i="7" s="1"/>
  <c r="C34" i="4"/>
  <c r="E34" i="4" s="1"/>
  <c r="B34" i="4"/>
  <c r="D34" i="4" s="1"/>
  <c r="B63" i="7" l="1"/>
  <c r="D63" i="7" s="1"/>
  <c r="C63" i="7"/>
  <c r="E63" i="7" s="1"/>
  <c r="F63" i="7" s="1"/>
  <c r="F34" i="4"/>
  <c r="G34" i="4" s="1"/>
  <c r="G63" i="7" l="1"/>
  <c r="H63" i="7" s="1"/>
  <c r="I63" i="7"/>
  <c r="J63" i="7" s="1"/>
  <c r="K63" i="7" s="1"/>
  <c r="L63" i="7" s="1"/>
  <c r="I34" i="4"/>
  <c r="J34" i="4" s="1"/>
  <c r="K34" i="4" s="1"/>
  <c r="L33" i="4" s="1"/>
  <c r="H34" i="4"/>
  <c r="B64" i="7" l="1"/>
  <c r="D64" i="7" s="1"/>
  <c r="C64" i="7"/>
  <c r="E64" i="7" s="1"/>
  <c r="F64" i="7" s="1"/>
  <c r="B7" i="6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C6" i="6"/>
  <c r="C7" i="6" s="1"/>
  <c r="E5" i="6"/>
  <c r="D5" i="6"/>
  <c r="G64" i="7" l="1"/>
  <c r="H64" i="7" s="1"/>
  <c r="I64" i="7"/>
  <c r="J64" i="7" s="1"/>
  <c r="K64" i="7" s="1"/>
  <c r="L64" i="7" s="1"/>
  <c r="D6" i="6"/>
  <c r="C8" i="6"/>
  <c r="E7" i="6"/>
  <c r="D7" i="6"/>
  <c r="E6" i="6"/>
  <c r="C65" i="7" l="1"/>
  <c r="E65" i="7" s="1"/>
  <c r="B65" i="7"/>
  <c r="D65" i="7" s="1"/>
  <c r="C9" i="6"/>
  <c r="E8" i="6"/>
  <c r="D8" i="6"/>
  <c r="F65" i="7" l="1"/>
  <c r="C10" i="6"/>
  <c r="E9" i="6"/>
  <c r="D9" i="6"/>
  <c r="G65" i="7" l="1"/>
  <c r="H65" i="7" s="1"/>
  <c r="I65" i="7"/>
  <c r="J65" i="7" s="1"/>
  <c r="K65" i="7" s="1"/>
  <c r="L65" i="7" s="1"/>
  <c r="C11" i="6"/>
  <c r="E10" i="6"/>
  <c r="D10" i="6"/>
  <c r="C66" i="7" l="1"/>
  <c r="E66" i="7" s="1"/>
  <c r="F66" i="7" s="1"/>
  <c r="B66" i="7"/>
  <c r="D66" i="7" s="1"/>
  <c r="C12" i="6"/>
  <c r="E11" i="6"/>
  <c r="D11" i="6"/>
  <c r="G66" i="7" l="1"/>
  <c r="H66" i="7" s="1"/>
  <c r="I66" i="7"/>
  <c r="J66" i="7" s="1"/>
  <c r="K66" i="7" s="1"/>
  <c r="L66" i="7" s="1"/>
  <c r="C13" i="6"/>
  <c r="E12" i="6"/>
  <c r="D12" i="6"/>
  <c r="B67" i="7" l="1"/>
  <c r="D67" i="7" s="1"/>
  <c r="C67" i="7"/>
  <c r="E67" i="7" s="1"/>
  <c r="F67" i="7" s="1"/>
  <c r="C14" i="6"/>
  <c r="E13" i="6"/>
  <c r="D13" i="6"/>
  <c r="G67" i="7" l="1"/>
  <c r="H67" i="7" s="1"/>
  <c r="I67" i="7"/>
  <c r="J67" i="7" s="1"/>
  <c r="K67" i="7" s="1"/>
  <c r="L67" i="7" s="1"/>
  <c r="C15" i="6"/>
  <c r="E14" i="6"/>
  <c r="D14" i="6"/>
  <c r="C16" i="6" l="1"/>
  <c r="E15" i="6"/>
  <c r="D15" i="6"/>
  <c r="C17" i="6" l="1"/>
  <c r="E16" i="6"/>
  <c r="D16" i="6"/>
  <c r="E17" i="6" l="1"/>
  <c r="D17" i="6"/>
  <c r="H20" i="5" l="1"/>
  <c r="F20" i="5"/>
  <c r="E20" i="5"/>
  <c r="G20" i="5" s="1"/>
  <c r="C20" i="5"/>
  <c r="M16" i="5"/>
  <c r="L16" i="5"/>
  <c r="B16" i="5"/>
  <c r="M15" i="5"/>
  <c r="L15" i="5"/>
  <c r="B15" i="5"/>
  <c r="M14" i="5"/>
  <c r="L14" i="5"/>
  <c r="B14" i="5"/>
  <c r="M13" i="5"/>
  <c r="L13" i="5"/>
  <c r="B13" i="5"/>
  <c r="M12" i="5"/>
  <c r="L12" i="5"/>
  <c r="B12" i="5"/>
  <c r="M11" i="5"/>
  <c r="L11" i="5"/>
  <c r="B11" i="5"/>
  <c r="M10" i="5"/>
  <c r="L10" i="5"/>
  <c r="B10" i="5"/>
  <c r="M9" i="5"/>
  <c r="L9" i="5"/>
  <c r="B9" i="5"/>
  <c r="M8" i="5"/>
  <c r="L8" i="5"/>
  <c r="B8" i="5"/>
  <c r="M7" i="5"/>
  <c r="L7" i="5"/>
  <c r="B7" i="5"/>
  <c r="M6" i="5"/>
  <c r="L6" i="5"/>
  <c r="B6" i="5"/>
  <c r="I20" i="5" l="1"/>
  <c r="D21" i="5" l="1"/>
  <c r="C5" i="4"/>
  <c r="C6" i="4"/>
  <c r="C7" i="4"/>
  <c r="C8" i="4"/>
  <c r="C9" i="4"/>
  <c r="C10" i="4"/>
  <c r="C11" i="4"/>
  <c r="C12" i="4"/>
  <c r="C13" i="4"/>
  <c r="C14" i="4"/>
  <c r="C4" i="4"/>
  <c r="C2" i="3"/>
  <c r="B3" i="3"/>
  <c r="C3" i="3" s="1"/>
  <c r="A4" i="3"/>
  <c r="A5" i="3"/>
  <c r="A6" i="3" s="1"/>
  <c r="A7" i="3" s="1"/>
  <c r="A8" i="3" s="1"/>
  <c r="A9" i="3" s="1"/>
  <c r="A10" i="3" s="1"/>
  <c r="A11" i="3" s="1"/>
  <c r="A12" i="3" s="1"/>
  <c r="A13" i="3" s="1"/>
  <c r="A14" i="3" s="1"/>
  <c r="A3" i="3"/>
  <c r="F6" i="2"/>
  <c r="F7" i="2"/>
  <c r="F8" i="2"/>
  <c r="F9" i="2"/>
  <c r="F10" i="2"/>
  <c r="F5" i="2"/>
  <c r="F4" i="2"/>
  <c r="E5" i="2"/>
  <c r="E6" i="2"/>
  <c r="E7" i="2"/>
  <c r="E8" i="2"/>
  <c r="E9" i="2"/>
  <c r="E10" i="2"/>
  <c r="D5" i="2"/>
  <c r="D6" i="2"/>
  <c r="D7" i="2"/>
  <c r="D8" i="2"/>
  <c r="D9" i="2"/>
  <c r="D10" i="2"/>
  <c r="E4" i="2"/>
  <c r="D4" i="2"/>
  <c r="B4" i="3" l="1"/>
  <c r="C21" i="5"/>
  <c r="A5" i="1"/>
  <c r="A7" i="1"/>
  <c r="D7" i="1" s="1"/>
  <c r="B5" i="3" l="1"/>
  <c r="C4" i="3"/>
  <c r="E7" i="1"/>
  <c r="D8" i="1"/>
  <c r="E8" i="1" s="1"/>
  <c r="B6" i="3" l="1"/>
  <c r="C5" i="3"/>
  <c r="D9" i="1"/>
  <c r="E9" i="1" s="1"/>
  <c r="D10" i="1" l="1"/>
  <c r="E10" i="1" s="1"/>
  <c r="B7" i="3"/>
  <c r="C6" i="3"/>
  <c r="D11" i="1" l="1"/>
  <c r="E11" i="1" s="1"/>
  <c r="B8" i="3"/>
  <c r="C7" i="3"/>
  <c r="D12" i="1"/>
  <c r="E12" i="1" s="1"/>
  <c r="B9" i="3" l="1"/>
  <c r="C8" i="3"/>
  <c r="D13" i="1"/>
  <c r="E13" i="1" s="1"/>
  <c r="B10" i="3" l="1"/>
  <c r="C9" i="3"/>
  <c r="E21" i="5"/>
  <c r="B11" i="3" l="1"/>
  <c r="C10" i="3"/>
  <c r="I21" i="5"/>
  <c r="M20" i="5"/>
  <c r="G21" i="5"/>
  <c r="B22" i="5" l="1"/>
  <c r="D22" i="5"/>
  <c r="B12" i="3"/>
  <c r="C11" i="3"/>
  <c r="C22" i="5" l="1"/>
  <c r="J22" i="5" s="1"/>
  <c r="K22" i="5" s="1"/>
  <c r="B13" i="3"/>
  <c r="C12" i="3"/>
  <c r="H22" i="5"/>
  <c r="E22" i="5"/>
  <c r="F22" i="5" l="1"/>
  <c r="G22" i="5" s="1"/>
  <c r="B14" i="3"/>
  <c r="C14" i="3" s="1"/>
  <c r="C13" i="3"/>
  <c r="I22" i="5"/>
  <c r="B23" i="5" s="1"/>
  <c r="L22" i="5"/>
  <c r="M21" i="5" s="1"/>
  <c r="D23" i="5" l="1"/>
  <c r="C23" i="5" s="1"/>
  <c r="F23" i="5" l="1"/>
  <c r="J23" i="5"/>
  <c r="K23" i="5" s="1"/>
  <c r="E23" i="5"/>
  <c r="H23" i="5"/>
  <c r="G23" i="5" l="1"/>
  <c r="I23" i="5"/>
  <c r="B24" i="5" s="1"/>
  <c r="L23" i="5"/>
  <c r="M22" i="5" s="1"/>
  <c r="D24" i="5" l="1"/>
  <c r="C24" i="5" l="1"/>
  <c r="H24" i="5"/>
  <c r="E24" i="5"/>
  <c r="F24" i="5" l="1"/>
  <c r="G24" i="5" s="1"/>
  <c r="J24" i="5"/>
  <c r="K24" i="5" s="1"/>
  <c r="L24" i="5" s="1"/>
  <c r="M23" i="5" s="1"/>
  <c r="I24" i="5"/>
  <c r="B25" i="5" s="1"/>
  <c r="D25" i="5" l="1"/>
  <c r="C25" i="5" l="1"/>
  <c r="E25" i="5"/>
  <c r="H25" i="5"/>
  <c r="F25" i="5" l="1"/>
  <c r="G25" i="5" s="1"/>
  <c r="J25" i="5"/>
  <c r="K25" i="5" s="1"/>
  <c r="L25" i="5" s="1"/>
  <c r="M24" i="5" s="1"/>
  <c r="I25" i="5"/>
  <c r="B26" i="5" s="1"/>
  <c r="D26" i="5" l="1"/>
  <c r="C26" i="5" l="1"/>
  <c r="H26" i="5"/>
  <c r="E26" i="5"/>
  <c r="F26" i="5" l="1"/>
  <c r="J26" i="5"/>
  <c r="K26" i="5" s="1"/>
  <c r="L26" i="5" s="1"/>
  <c r="M25" i="5" s="1"/>
  <c r="G26" i="5"/>
  <c r="I26" i="5"/>
  <c r="B27" i="5" s="1"/>
  <c r="D27" i="5" l="1"/>
  <c r="C27" i="5" l="1"/>
  <c r="H27" i="5"/>
  <c r="E27" i="5"/>
  <c r="F27" i="5" l="1"/>
  <c r="G27" i="5" s="1"/>
  <c r="J27" i="5"/>
  <c r="K27" i="5" s="1"/>
  <c r="L27" i="5" s="1"/>
  <c r="M26" i="5" s="1"/>
  <c r="I27" i="5"/>
  <c r="B28" i="5" s="1"/>
  <c r="D28" i="5" l="1"/>
  <c r="C28" i="5" l="1"/>
  <c r="E28" i="5"/>
  <c r="H28" i="5"/>
  <c r="F28" i="5" l="1"/>
  <c r="G28" i="5" s="1"/>
  <c r="J28" i="5"/>
  <c r="K28" i="5" s="1"/>
  <c r="I28" i="5"/>
  <c r="B29" i="5" s="1"/>
  <c r="L28" i="5"/>
  <c r="M27" i="5" s="1"/>
  <c r="D29" i="5" l="1"/>
  <c r="C29" i="5" l="1"/>
  <c r="H29" i="5"/>
  <c r="E29" i="5"/>
  <c r="F29" i="5" l="1"/>
  <c r="J29" i="5"/>
  <c r="K29" i="5" s="1"/>
  <c r="L29" i="5" s="1"/>
  <c r="M28" i="5" s="1"/>
  <c r="G29" i="5"/>
  <c r="I29" i="5"/>
  <c r="B30" i="5" s="1"/>
  <c r="D30" i="5" l="1"/>
  <c r="C30" i="5" l="1"/>
  <c r="E30" i="5"/>
  <c r="F30" i="5" l="1"/>
  <c r="J30" i="5"/>
  <c r="K30" i="5" s="1"/>
  <c r="L30" i="5" s="1"/>
  <c r="M29" i="5" s="1"/>
  <c r="H30" i="5"/>
  <c r="I30" i="5" s="1"/>
  <c r="B31" i="5" s="1"/>
  <c r="G30" i="5"/>
  <c r="D31" i="5" l="1"/>
  <c r="C31" i="5" l="1"/>
  <c r="E31" i="5"/>
  <c r="F31" i="5" l="1"/>
  <c r="J31" i="5"/>
  <c r="K31" i="5" s="1"/>
  <c r="L31" i="5" s="1"/>
  <c r="M30" i="5" s="1"/>
  <c r="H31" i="5"/>
  <c r="I31" i="5" s="1"/>
  <c r="B32" i="5" s="1"/>
  <c r="G31" i="5"/>
  <c r="D32" i="5" l="1"/>
  <c r="C32" i="5" l="1"/>
  <c r="E32" i="5"/>
  <c r="F32" i="5" l="1"/>
  <c r="G32" i="5" s="1"/>
  <c r="J32" i="5"/>
  <c r="K32" i="5" s="1"/>
  <c r="L32" i="5" s="1"/>
  <c r="M31" i="5" s="1"/>
  <c r="H32" i="5"/>
  <c r="I32" i="5" s="1"/>
  <c r="B33" i="5" s="1"/>
  <c r="D33" i="5" l="1"/>
  <c r="C33" i="5" l="1"/>
  <c r="E33" i="5"/>
  <c r="F33" i="5" l="1"/>
  <c r="G33" i="5" s="1"/>
  <c r="J33" i="5"/>
  <c r="K33" i="5" s="1"/>
  <c r="L33" i="5" s="1"/>
  <c r="M32" i="5" s="1"/>
  <c r="H33" i="5"/>
  <c r="I33" i="5" s="1"/>
  <c r="B34" i="5" s="1"/>
  <c r="D34" i="5" l="1"/>
  <c r="C34" i="5" s="1"/>
  <c r="F34" i="5" l="1"/>
  <c r="J34" i="5"/>
  <c r="K34" i="5" s="1"/>
  <c r="E34" i="5"/>
  <c r="G34" i="5" l="1"/>
  <c r="H34" i="5"/>
  <c r="I34" i="5" s="1"/>
  <c r="B35" i="5" s="1"/>
  <c r="L34" i="5"/>
  <c r="M33" i="5" s="1"/>
  <c r="D35" i="5" l="1"/>
  <c r="C35" i="5" l="1"/>
  <c r="E35" i="5"/>
  <c r="F35" i="5" l="1"/>
  <c r="J35" i="5"/>
  <c r="K35" i="5" s="1"/>
  <c r="L35" i="5" s="1"/>
  <c r="M34" i="5" s="1"/>
  <c r="H35" i="5"/>
  <c r="I35" i="5" s="1"/>
  <c r="B36" i="5" s="1"/>
  <c r="G35" i="5"/>
  <c r="D36" i="5" l="1"/>
  <c r="C36" i="5" s="1"/>
  <c r="F36" i="5" l="1"/>
  <c r="J36" i="5"/>
  <c r="K36" i="5" s="1"/>
  <c r="E36" i="5"/>
  <c r="G36" i="5" l="1"/>
  <c r="H36" i="5"/>
  <c r="I36" i="5" s="1"/>
  <c r="B37" i="5" s="1"/>
  <c r="L36" i="5"/>
  <c r="M35" i="5" s="1"/>
  <c r="D37" i="5" l="1"/>
  <c r="C37" i="5" s="1"/>
  <c r="F37" i="5" l="1"/>
  <c r="J37" i="5"/>
  <c r="K37" i="5" s="1"/>
  <c r="E37" i="5"/>
  <c r="H37" i="5" l="1"/>
  <c r="G37" i="5"/>
  <c r="I37" i="5"/>
  <c r="B38" i="5" s="1"/>
  <c r="L37" i="5"/>
  <c r="M36" i="5" s="1"/>
  <c r="D38" i="5" l="1"/>
  <c r="C38" i="5" s="1"/>
  <c r="F38" i="5" l="1"/>
  <c r="J38" i="5"/>
  <c r="K38" i="5" s="1"/>
  <c r="E38" i="5"/>
  <c r="G38" i="5" l="1"/>
  <c r="H38" i="5"/>
  <c r="I38" i="5" s="1"/>
  <c r="B39" i="5" s="1"/>
  <c r="L38" i="5"/>
  <c r="M37" i="5" s="1"/>
  <c r="D39" i="5" l="1"/>
  <c r="C39" i="5" s="1"/>
  <c r="F39" i="5" l="1"/>
  <c r="J39" i="5"/>
  <c r="K39" i="5" s="1"/>
  <c r="E39" i="5"/>
  <c r="H39" i="5" l="1"/>
  <c r="L39" i="5"/>
  <c r="M38" i="5" s="1"/>
  <c r="I39" i="5"/>
  <c r="G39" i="5"/>
  <c r="B40" i="5" l="1"/>
  <c r="E40" i="5" s="1"/>
  <c r="D40" i="5"/>
  <c r="I11" i="27"/>
  <c r="H12" i="27" l="1"/>
  <c r="I12" i="27" s="1"/>
  <c r="D12" i="27"/>
  <c r="E12" i="27" s="1"/>
  <c r="J12" i="27"/>
  <c r="C40" i="5"/>
  <c r="H40" i="5"/>
  <c r="I40" i="5" s="1"/>
  <c r="J7" i="39"/>
  <c r="M7" i="39" s="1"/>
  <c r="D41" i="5" l="1"/>
  <c r="B41" i="5"/>
  <c r="E41" i="5" s="1"/>
  <c r="J40" i="5"/>
  <c r="K40" i="5" s="1"/>
  <c r="L40" i="5" s="1"/>
  <c r="M39" i="5" s="1"/>
  <c r="F40" i="5"/>
  <c r="G40" i="5" s="1"/>
  <c r="K12" i="27"/>
  <c r="H8" i="27"/>
  <c r="F12" i="27"/>
  <c r="G12" i="27" s="1"/>
  <c r="L7" i="39"/>
  <c r="K7" i="39"/>
  <c r="F13" i="27" l="1"/>
  <c r="G13" i="27" s="1"/>
  <c r="J13" i="27"/>
  <c r="K13" i="27" s="1"/>
  <c r="D13" i="27"/>
  <c r="E13" i="27" s="1"/>
  <c r="H41" i="5"/>
  <c r="I41" i="5" s="1"/>
  <c r="C41" i="5"/>
  <c r="N7" i="39"/>
  <c r="E8" i="39" s="1"/>
  <c r="I8" i="39" s="1"/>
  <c r="D42" i="5" l="1"/>
  <c r="B42" i="5"/>
  <c r="E42" i="5" s="1"/>
  <c r="H13" i="27"/>
  <c r="I13" i="27" s="1"/>
  <c r="F41" i="5"/>
  <c r="G41" i="5" s="1"/>
  <c r="J41" i="5"/>
  <c r="K41" i="5" s="1"/>
  <c r="L41" i="5" s="1"/>
  <c r="M40" i="5" s="1"/>
  <c r="D14" i="27"/>
  <c r="E14" i="27" s="1"/>
  <c r="H14" i="27"/>
  <c r="I14" i="27" s="1"/>
  <c r="J14" i="27"/>
  <c r="C8" i="39"/>
  <c r="G8" i="39" s="1"/>
  <c r="D8" i="39"/>
  <c r="H8" i="39" s="1"/>
  <c r="H42" i="5" l="1"/>
  <c r="C42" i="5"/>
  <c r="F14" i="27"/>
  <c r="G14" i="27" s="1"/>
  <c r="K14" i="27"/>
  <c r="I42" i="5"/>
  <c r="F8" i="39"/>
  <c r="B43" i="5" l="1"/>
  <c r="E43" i="5" s="1"/>
  <c r="D43" i="5"/>
  <c r="J8" i="39"/>
  <c r="M8" i="39" s="1"/>
  <c r="O7" i="39"/>
  <c r="Q7" i="39" s="1"/>
  <c r="F42" i="5"/>
  <c r="G42" i="5" s="1"/>
  <c r="J42" i="5"/>
  <c r="K42" i="5" s="1"/>
  <c r="L42" i="5" s="1"/>
  <c r="M41" i="5" s="1"/>
  <c r="F15" i="27"/>
  <c r="G15" i="27" s="1"/>
  <c r="D15" i="27"/>
  <c r="E15" i="27" s="1"/>
  <c r="H15" i="27"/>
  <c r="I15" i="27" s="1"/>
  <c r="J15" i="27"/>
  <c r="K15" i="27" s="1"/>
  <c r="L8" i="39"/>
  <c r="K8" i="39"/>
  <c r="D16" i="27" l="1"/>
  <c r="E16" i="27" s="1"/>
  <c r="H16" i="27"/>
  <c r="I16" i="27" s="1"/>
  <c r="J16" i="27"/>
  <c r="K16" i="27" s="1"/>
  <c r="F16" i="27"/>
  <c r="G16" i="27" s="1"/>
  <c r="C43" i="5"/>
  <c r="H43" i="5"/>
  <c r="I43" i="5" s="1"/>
  <c r="N8" i="39"/>
  <c r="E9" i="39" s="1"/>
  <c r="I9" i="39" s="1"/>
  <c r="B44" i="5" l="1"/>
  <c r="E44" i="5" s="1"/>
  <c r="D44" i="5"/>
  <c r="F43" i="5"/>
  <c r="G43" i="5" s="1"/>
  <c r="J43" i="5"/>
  <c r="K43" i="5" s="1"/>
  <c r="L43" i="5" s="1"/>
  <c r="M42" i="5" s="1"/>
  <c r="J17" i="27"/>
  <c r="D17" i="27"/>
  <c r="E17" i="27" s="1"/>
  <c r="H17" i="27"/>
  <c r="I17" i="27" s="1"/>
  <c r="D9" i="39"/>
  <c r="H9" i="39" s="1"/>
  <c r="C9" i="39"/>
  <c r="G9" i="39" s="1"/>
  <c r="F17" i="27" l="1"/>
  <c r="G17" i="27" s="1"/>
  <c r="K17" i="27"/>
  <c r="C44" i="5"/>
  <c r="H44" i="5"/>
  <c r="I44" i="5" s="1"/>
  <c r="F9" i="39"/>
  <c r="D45" i="5" l="1"/>
  <c r="B45" i="5"/>
  <c r="E45" i="5" s="1"/>
  <c r="J9" i="39"/>
  <c r="M9" i="39" s="1"/>
  <c r="O8" i="39"/>
  <c r="Q8" i="39" s="1"/>
  <c r="F44" i="5"/>
  <c r="G44" i="5" s="1"/>
  <c r="J44" i="5"/>
  <c r="K44" i="5" s="1"/>
  <c r="L44" i="5" s="1"/>
  <c r="M43" i="5" s="1"/>
  <c r="J18" i="27"/>
  <c r="K18" i="27" s="1"/>
  <c r="F18" i="27"/>
  <c r="G18" i="27" s="1"/>
  <c r="D18" i="27"/>
  <c r="E18" i="27" s="1"/>
  <c r="K9" i="39"/>
  <c r="H18" i="27" l="1"/>
  <c r="I18" i="27" s="1"/>
  <c r="J19" i="27" s="1"/>
  <c r="K19" i="27" s="1"/>
  <c r="L9" i="39"/>
  <c r="N9" i="39" s="1"/>
  <c r="E10" i="39" s="1"/>
  <c r="I10" i="39" s="1"/>
  <c r="C45" i="5"/>
  <c r="H45" i="5"/>
  <c r="I45" i="5" s="1"/>
  <c r="B46" i="5" l="1"/>
  <c r="E46" i="5" s="1"/>
  <c r="D46" i="5"/>
  <c r="C10" i="39"/>
  <c r="G10" i="39" s="1"/>
  <c r="H19" i="27"/>
  <c r="I19" i="27" s="1"/>
  <c r="F45" i="5"/>
  <c r="G45" i="5" s="1"/>
  <c r="J45" i="5"/>
  <c r="K45" i="5" s="1"/>
  <c r="L45" i="5" s="1"/>
  <c r="M44" i="5" s="1"/>
  <c r="F19" i="27"/>
  <c r="G19" i="27" s="1"/>
  <c r="D19" i="27"/>
  <c r="E19" i="27" s="1"/>
  <c r="D10" i="39"/>
  <c r="H10" i="39" s="1"/>
  <c r="F10" i="39" l="1"/>
  <c r="H46" i="5"/>
  <c r="I46" i="5" s="1"/>
  <c r="C46" i="5"/>
  <c r="D47" i="5" l="1"/>
  <c r="B47" i="5"/>
  <c r="E47" i="5" s="1"/>
  <c r="F46" i="5"/>
  <c r="G46" i="5" s="1"/>
  <c r="J46" i="5"/>
  <c r="K46" i="5" s="1"/>
  <c r="L46" i="5" s="1"/>
  <c r="M45" i="5" s="1"/>
  <c r="J10" i="39"/>
  <c r="O9" i="39"/>
  <c r="Q9" i="39" s="1"/>
  <c r="M10" i="39" l="1"/>
  <c r="L10" i="39"/>
  <c r="K10" i="39"/>
  <c r="C47" i="5"/>
  <c r="H47" i="5"/>
  <c r="I47" i="5" s="1"/>
  <c r="N10" i="39" l="1"/>
  <c r="D11" i="39" s="1"/>
  <c r="H11" i="39" s="1"/>
  <c r="F47" i="5"/>
  <c r="G47" i="5" s="1"/>
  <c r="J47" i="5"/>
  <c r="K47" i="5" s="1"/>
  <c r="L47" i="5" s="1"/>
  <c r="M46" i="5" s="1"/>
  <c r="E11" i="39"/>
  <c r="I11" i="39" s="1"/>
  <c r="C11" i="39" l="1"/>
  <c r="G11" i="39" s="1"/>
  <c r="F11" i="39" s="1"/>
  <c r="J11" i="39" l="1"/>
  <c r="O10" i="39"/>
  <c r="Q10" i="39" s="1"/>
  <c r="K11" i="39" l="1"/>
  <c r="L11" i="39"/>
  <c r="M11" i="39"/>
  <c r="N11" i="39" l="1"/>
  <c r="D12" i="39" s="1"/>
  <c r="H12" i="39" s="1"/>
  <c r="C12" i="39"/>
  <c r="G12" i="39" s="1"/>
  <c r="E12" i="39" l="1"/>
  <c r="I12" i="39" s="1"/>
  <c r="F12" i="39" l="1"/>
  <c r="J12" i="39" l="1"/>
  <c r="O11" i="39"/>
  <c r="Q11" i="39" s="1"/>
  <c r="K12" i="39" l="1"/>
  <c r="L12" i="39"/>
  <c r="M12" i="39"/>
  <c r="N12" i="39" l="1"/>
  <c r="D13" i="39" s="1"/>
  <c r="H13" i="39" s="1"/>
  <c r="C13" i="39" l="1"/>
  <c r="G13" i="39" s="1"/>
  <c r="E13" i="39"/>
  <c r="I13" i="39" s="1"/>
  <c r="F13" i="39" l="1"/>
  <c r="J13" i="39" l="1"/>
  <c r="O12" i="39"/>
  <c r="Q12" i="39" s="1"/>
  <c r="K13" i="39" l="1"/>
  <c r="M13" i="39"/>
  <c r="L13" i="39"/>
  <c r="N13" i="39" l="1"/>
  <c r="D14" i="39" s="1"/>
  <c r="H14" i="39" s="1"/>
  <c r="C14" i="39" l="1"/>
  <c r="G14" i="39" s="1"/>
  <c r="E14" i="39"/>
  <c r="I14" i="39" s="1"/>
  <c r="F14" i="39" l="1"/>
  <c r="J14" i="39" l="1"/>
  <c r="O14" i="39"/>
  <c r="Q14" i="39" s="1"/>
  <c r="O13" i="39"/>
  <c r="Q13" i="39" s="1"/>
  <c r="K14" i="39" l="1"/>
  <c r="M14" i="39"/>
  <c r="L14" i="39"/>
  <c r="N14" i="39" l="1"/>
</calcChain>
</file>

<file path=xl/sharedStrings.xml><?xml version="1.0" encoding="utf-8"?>
<sst xmlns="http://schemas.openxmlformats.org/spreadsheetml/2006/main" count="860" uniqueCount="437">
  <si>
    <t>F(x) = cos(x)</t>
  </si>
  <si>
    <t>F'(x)= -sen(x)</t>
  </si>
  <si>
    <t>F''(x) = -cos(x)</t>
  </si>
  <si>
    <t>F'''(x)= sen(x)</t>
  </si>
  <si>
    <t>F'''''(x) = cos(x)</t>
  </si>
  <si>
    <t>Orden n</t>
  </si>
  <si>
    <t>e</t>
  </si>
  <si>
    <t>cos(x)</t>
  </si>
  <si>
    <t>-sen(x)</t>
  </si>
  <si>
    <t>-cos(x)</t>
  </si>
  <si>
    <t>sen(x)</t>
  </si>
  <si>
    <t>F(x)=f(a)+f'(a)(x-a)+f''(a)(x-a)^2/2!+….</t>
  </si>
  <si>
    <t>F(pi/3)</t>
  </si>
  <si>
    <t>∏/4</t>
  </si>
  <si>
    <t>∏/12</t>
  </si>
  <si>
    <r>
      <t>F</t>
    </r>
    <r>
      <rPr>
        <b/>
        <vertAlign val="superscript"/>
        <sz val="11"/>
        <color theme="1"/>
        <rFont val="Calibri"/>
        <family val="2"/>
        <scheme val="minor"/>
      </rPr>
      <t>(n)</t>
    </r>
    <r>
      <rPr>
        <b/>
        <sz val="11"/>
        <color theme="1"/>
        <rFont val="Calibri"/>
        <family val="2"/>
        <scheme val="minor"/>
      </rPr>
      <t>(x)</t>
    </r>
  </si>
  <si>
    <t>SERIE DE TAYLOS PARA COS(X)</t>
  </si>
  <si>
    <t>h</t>
  </si>
  <si>
    <t>Exacto</t>
  </si>
  <si>
    <t>Aproximación de 1° orden</t>
  </si>
  <si>
    <t>R1</t>
  </si>
  <si>
    <t>GRADOS</t>
  </si>
  <si>
    <t>X</t>
  </si>
  <si>
    <t>F(X)=COS(X)</t>
  </si>
  <si>
    <t>DERIVADAS</t>
  </si>
  <si>
    <t>F(X)=X^2+3X-12</t>
  </si>
  <si>
    <t>Xi</t>
  </si>
  <si>
    <t>Xu</t>
  </si>
  <si>
    <t>Metodo de Biseccion</t>
  </si>
  <si>
    <t>f(x)=e^-x -x</t>
  </si>
  <si>
    <t>x</t>
  </si>
  <si>
    <t>g(x)=e^-x</t>
  </si>
  <si>
    <t>h(x)</t>
  </si>
  <si>
    <t>it</t>
  </si>
  <si>
    <t>xi</t>
  </si>
  <si>
    <t>xu</t>
  </si>
  <si>
    <t>xr</t>
  </si>
  <si>
    <t>f(xi)</t>
  </si>
  <si>
    <t>f(xu)</t>
  </si>
  <si>
    <t>f(xi)*f(xu)</t>
  </si>
  <si>
    <t>f(xr)</t>
  </si>
  <si>
    <t>f(xi)*f(xr)</t>
  </si>
  <si>
    <t>Ea</t>
  </si>
  <si>
    <t>Er</t>
  </si>
  <si>
    <t>Er%</t>
  </si>
  <si>
    <t>Grados</t>
  </si>
  <si>
    <t>f(x)=cos(x)</t>
  </si>
  <si>
    <t>g(x)=sen(x)</t>
  </si>
  <si>
    <t>IT</t>
  </si>
  <si>
    <t>f(Xi)</t>
  </si>
  <si>
    <t>f(Xu)</t>
  </si>
  <si>
    <t>f(Xr)</t>
  </si>
  <si>
    <t>f(Xi)*f(Xr)</t>
  </si>
  <si>
    <t>f(x)=e^(-x) -x</t>
  </si>
  <si>
    <t>f(x)=x^10-1</t>
  </si>
  <si>
    <t>x0=0.5</t>
  </si>
  <si>
    <t>It</t>
  </si>
  <si>
    <t>X0</t>
  </si>
  <si>
    <t>f(x0)</t>
  </si>
  <si>
    <t>f'(x)</t>
  </si>
  <si>
    <t>Respuesta</t>
  </si>
  <si>
    <t>Metodo de NEWTON RAPSON</t>
  </si>
  <si>
    <t>f(x)=2x^3-11-7x^2+17.7x-59</t>
  </si>
  <si>
    <t>f(x)</t>
  </si>
  <si>
    <t>g(x)=(-2x^3+11.7x^2+5)17</t>
  </si>
  <si>
    <t>g(x)</t>
  </si>
  <si>
    <t>er</t>
  </si>
  <si>
    <t>er%</t>
  </si>
  <si>
    <t>METODO DEL PUNTO FIJO</t>
  </si>
  <si>
    <t>X-1=0</t>
  </si>
  <si>
    <t>X0=1.0</t>
  </si>
  <si>
    <t>Xi-1</t>
  </si>
  <si>
    <t>f(Xi-1)</t>
  </si>
  <si>
    <t>Xi+1</t>
  </si>
  <si>
    <t>METODO DE LA SECANTE</t>
  </si>
  <si>
    <t>PASO 1</t>
  </si>
  <si>
    <t>Elegir valores iniciales de Xa y Xb que encierran la raiz, de tal forma que la función cambie de signo en el intervalo</t>
  </si>
  <si>
    <t>Esto se verifica comprobando que f(xa)*f(xb)&lt;0</t>
  </si>
  <si>
    <t>PASO 3</t>
  </si>
  <si>
    <t>Una aproximacion de la raiz se determina mediante</t>
  </si>
  <si>
    <t>Realizamos las siguientes evaluaciones para determinar en subintervalo está la raiz</t>
  </si>
  <si>
    <t>f(xa)*f(xb)&lt;0</t>
  </si>
  <si>
    <t>f(xa)*f(xb)&gt;0</t>
  </si>
  <si>
    <t>f(xa)*f(xb)=0</t>
  </si>
  <si>
    <t>Raíz está en el subintervalo superior. Hacer xa = xr &amp; xb = xb y volver al paso 2</t>
  </si>
  <si>
    <t>Raíz es xr y termina el cálculo.</t>
  </si>
  <si>
    <t>Raíz está en el subintervalo inferior. Hacer xb = xr &amp; xa = xa y volver al paso 2</t>
  </si>
  <si>
    <t>f(xa)*f(xb)</t>
  </si>
  <si>
    <t>xa</t>
  </si>
  <si>
    <t>xb</t>
  </si>
  <si>
    <t>f(xa)</t>
  </si>
  <si>
    <t>f(xb)</t>
  </si>
  <si>
    <t>f(xa)f(xr)</t>
  </si>
  <si>
    <t>Metodo de la falsa posición</t>
  </si>
  <si>
    <t>Valores iniciales aceptables</t>
  </si>
  <si>
    <t>ALERTA</t>
  </si>
  <si>
    <t>Eb</t>
  </si>
  <si>
    <t>f(x)=-SENX-COSX</t>
  </si>
  <si>
    <t>Metodo de la Bisección</t>
  </si>
  <si>
    <t>f(xi)f(xr)</t>
  </si>
  <si>
    <t>f'(x)=10x^9</t>
  </si>
  <si>
    <t>CAPITULO 7</t>
  </si>
  <si>
    <t>f(x)=x^3-13x-12</t>
  </si>
  <si>
    <t>CAPITULO 8</t>
  </si>
  <si>
    <t>Ley de los gases ideales</t>
  </si>
  <si>
    <t>Van Der Wals CO2</t>
  </si>
  <si>
    <t>VOLUMEN MOLAR (L/mol)</t>
  </si>
  <si>
    <t>Van Der Wals O2</t>
  </si>
  <si>
    <t>R</t>
  </si>
  <si>
    <t>a</t>
  </si>
  <si>
    <t>b</t>
  </si>
  <si>
    <t>TEMPERATURA</t>
  </si>
  <si>
    <t>K</t>
  </si>
  <si>
    <t>atm</t>
  </si>
  <si>
    <t>PRESIÓN</t>
  </si>
  <si>
    <t>MÉTODO DE NEWTON RAPSON</t>
  </si>
  <si>
    <t>F(Xi)</t>
  </si>
  <si>
    <t>F'(Xi)</t>
  </si>
  <si>
    <t>F(Xi)/F'(Xi)</t>
  </si>
  <si>
    <t>DIÓXIDO DE CARBONO</t>
  </si>
  <si>
    <t>OXÍGENO</t>
  </si>
  <si>
    <t xml:space="preserve">SISTEMA NO LINEAL </t>
  </si>
  <si>
    <t>U(x,y)</t>
  </si>
  <si>
    <t>x3+xy-10</t>
  </si>
  <si>
    <t>V(x,y)</t>
  </si>
  <si>
    <t>y+3xy2-57</t>
  </si>
  <si>
    <t>y</t>
  </si>
  <si>
    <t>SUMA DE CUADRADOS</t>
  </si>
  <si>
    <t>BUSCAR OBJETIVO</t>
  </si>
  <si>
    <t>f(x)=x-cos(x)</t>
  </si>
  <si>
    <t>VALORES PARA PRUEBA DE ERROR</t>
  </si>
  <si>
    <t>F(x)</t>
  </si>
  <si>
    <t>MÉTODO BAIRSTOW</t>
  </si>
  <si>
    <t>= x5 – 3.5x4 + 2.75x3 + 2.125x2 – 3.875x + 1.25</t>
  </si>
  <si>
    <t>N</t>
  </si>
  <si>
    <t>r</t>
  </si>
  <si>
    <t>s</t>
  </si>
  <si>
    <t>An</t>
  </si>
  <si>
    <t>Bn</t>
  </si>
  <si>
    <t>Cn</t>
  </si>
  <si>
    <t>Es%</t>
  </si>
  <si>
    <t>vr</t>
  </si>
  <si>
    <t>vs</t>
  </si>
  <si>
    <t>Evr%</t>
  </si>
  <si>
    <t>Evs%</t>
  </si>
  <si>
    <t>+x</t>
  </si>
  <si>
    <t>-x</t>
  </si>
  <si>
    <t>MÉTODO MULLER</t>
  </si>
  <si>
    <t>F(X)=x3-13x-12</t>
  </si>
  <si>
    <t>n</t>
  </si>
  <si>
    <t>Xn</t>
  </si>
  <si>
    <t>fX)</t>
  </si>
  <si>
    <t>g(x-1)</t>
  </si>
  <si>
    <t>c</t>
  </si>
  <si>
    <t>ʌ</t>
  </si>
  <si>
    <t xml:space="preserve">Decision </t>
  </si>
  <si>
    <t>Xn+1</t>
  </si>
  <si>
    <t>Aviso</t>
  </si>
  <si>
    <t>X1</t>
  </si>
  <si>
    <t>X2</t>
  </si>
  <si>
    <t>Utilice el metodo de Müller con valores iniciales x0,x1 y x2=4.5,5.5 y 5,respectivamente para determinar la raiz de la ecuacion</t>
  </si>
  <si>
    <t>Datos iniciales</t>
  </si>
  <si>
    <t>Interacion</t>
  </si>
  <si>
    <t>FUNCION</t>
  </si>
  <si>
    <t>Interacciones 1</t>
  </si>
  <si>
    <t>Funciones</t>
  </si>
  <si>
    <t>f(X0)</t>
  </si>
  <si>
    <t>f(X1)</t>
  </si>
  <si>
    <t>f(X2)</t>
  </si>
  <si>
    <t>h0</t>
  </si>
  <si>
    <t>h1</t>
  </si>
  <si>
    <t>d0</t>
  </si>
  <si>
    <t>d1</t>
  </si>
  <si>
    <t>Raiz +</t>
  </si>
  <si>
    <t>Raiz -</t>
  </si>
  <si>
    <t>X3</t>
  </si>
  <si>
    <t>e%</t>
  </si>
  <si>
    <t>Ejercicio 9.1</t>
  </si>
  <si>
    <t xml:space="preserve">El metodo grafico para dos ecuaciones </t>
  </si>
  <si>
    <t>Planteamiento del problema.Con el metodo grafico resuelva</t>
  </si>
  <si>
    <t>Solucion:</t>
  </si>
  <si>
    <t>Sea x1 la abscisa.Despejando x2 de la ecuacion</t>
  </si>
  <si>
    <t>f(x)=3x+2x-18=0</t>
  </si>
  <si>
    <t>f(x)=-x+2x-2=0</t>
  </si>
  <si>
    <t xml:space="preserve">La solucion es la interseccion de las dos lienas en x1=4 y x2=3.Este resultado se verifica al sustituir </t>
  </si>
  <si>
    <t>los valores en las ecuaciones originales para obtener</t>
  </si>
  <si>
    <t>CAPITULO 9</t>
  </si>
  <si>
    <t>[A]=</t>
  </si>
  <si>
    <t>{B}=</t>
  </si>
  <si>
    <t>[A]-1 =</t>
  </si>
  <si>
    <t>{X}=</t>
  </si>
  <si>
    <t>Valores iniciales</t>
  </si>
  <si>
    <t>Valores Nuevos</t>
  </si>
  <si>
    <t>Error porcentual</t>
  </si>
  <si>
    <t>Matriz de coeficientes A</t>
  </si>
  <si>
    <t>Vector B</t>
  </si>
  <si>
    <t>Iteraciones</t>
  </si>
  <si>
    <t>x1</t>
  </si>
  <si>
    <t>x2</t>
  </si>
  <si>
    <t>x3</t>
  </si>
  <si>
    <t>CAPITULO 11</t>
  </si>
  <si>
    <t>TAREA 12.8</t>
  </si>
  <si>
    <t>La parte baja del río Colorado consiste en una serie de</t>
  </si>
  <si>
    <t>cuatro almacenamientos como se ilustra en la figura P12.8.</t>
  </si>
  <si>
    <t>Puede escribirse los balances de masa para cada uno de ellos,lo que da por resultado el conjunto siguiente de ecuaciones a</t>
  </si>
  <si>
    <t>algebraicas lineales simultaneas</t>
  </si>
  <si>
    <t xml:space="preserve">a) Use la matriz inversa para resolver cuáles son las concentraciones en cada uno de los </t>
  </si>
  <si>
    <t>cuatro lagos</t>
  </si>
  <si>
    <t>b) ¿En cuánto debe reducirse la carga del lago Powell para que la concentración</t>
  </si>
  <si>
    <t>de cloruro en el lago Havasu sea de 75?</t>
  </si>
  <si>
    <t>A=</t>
  </si>
  <si>
    <t>B=</t>
  </si>
  <si>
    <t>despues (B) =</t>
  </si>
  <si>
    <t>REDUCIRSE =</t>
  </si>
  <si>
    <t>CONCENTRACIONES =</t>
  </si>
  <si>
    <t>Powell</t>
  </si>
  <si>
    <t>Mead</t>
  </si>
  <si>
    <t>Mohave</t>
  </si>
  <si>
    <t>Havasu</t>
  </si>
  <si>
    <t>CAPITULO 12</t>
  </si>
  <si>
    <t xml:space="preserve">TAREA 12.4 </t>
  </si>
  <si>
    <t>Vuelva a calcular las concentraciones para los cinco</t>
  </si>
  <si>
    <t>reactores que se muestran en la firgura 12.3 , si los flujos cambian como sigue :</t>
  </si>
  <si>
    <t>Q01 = 5 , Q15 = 4 , Q12 = 4 , Q31 = 3 , Q55 = 3 , Q03 = 8</t>
  </si>
  <si>
    <t>Q25 = 2 , Q54 = 3 , Q24 = 0 , Q23 = 2 , Q34 = 7 , Q44 = 10</t>
  </si>
  <si>
    <t>Entrada de la velocidad de la masa</t>
  </si>
  <si>
    <t>Salida de la velocidad de la masa</t>
  </si>
  <si>
    <t xml:space="preserve">ENTRADA </t>
  </si>
  <si>
    <t>SALIDA</t>
  </si>
  <si>
    <t>REACTOR 1</t>
  </si>
  <si>
    <t>Q 01*C01+Q31*C3=Q15*C1+Q12*C1</t>
  </si>
  <si>
    <t>5*10+3*C3=4*C1+4*C1</t>
  </si>
  <si>
    <t>8 C1-3*C3=50</t>
  </si>
  <si>
    <t>REACTOR 2</t>
  </si>
  <si>
    <t>Q12*C1=Q25*C2+Q24*C2+Q23*C2</t>
  </si>
  <si>
    <t xml:space="preserve">   </t>
  </si>
  <si>
    <t>4*C1=2*C2+0*C2+2*C2</t>
  </si>
  <si>
    <t xml:space="preserve"> -4*C1+4*C2=0</t>
  </si>
  <si>
    <t>REACTOR 3</t>
  </si>
  <si>
    <t>Q23*C2+Q03*C03=Q31*C3+Q34*C3</t>
  </si>
  <si>
    <t>2*C2+8*20=3*C3+7*C3</t>
  </si>
  <si>
    <t xml:space="preserve"> -2*C2+10C3=160</t>
  </si>
  <si>
    <t>REACTOR 4</t>
  </si>
  <si>
    <t>Q24*C2+Q54*C5+Q34*C3=Q44*C4</t>
  </si>
  <si>
    <t>0*C2+3*C5+7*C3=10*C4</t>
  </si>
  <si>
    <t xml:space="preserve"> -7*C3+10*C4-3*C5=0</t>
  </si>
  <si>
    <t>REACTOR 5</t>
  </si>
  <si>
    <t>Q25*C2+Q15*C1=Q54*C5+Q55*C5</t>
  </si>
  <si>
    <t>2*C2+4*C1=3*C5+3*C5</t>
  </si>
  <si>
    <t xml:space="preserve"> -4*C1-2*C2+6*C5=0</t>
  </si>
  <si>
    <t xml:space="preserve">TAREA 12.1 </t>
  </si>
  <si>
    <t>Lleve a cabo el mismo cálculo que en la sección 12.1</t>
  </si>
  <si>
    <t>, pero cambie c01 a 40 y c03 a 10.</t>
  </si>
  <si>
    <t>También cambie los flujos siguientes: Q01 = 6, Q12 = 4, Q24 = 2 y Q44 = 12.</t>
  </si>
  <si>
    <t>6*40+1*C3=3*C1+4*C1</t>
  </si>
  <si>
    <t>7 C1-C3=240</t>
  </si>
  <si>
    <t>4*C1=1*C2+2*C2+1*C2</t>
  </si>
  <si>
    <t>4C2-4*C1=0</t>
  </si>
  <si>
    <t>1*C2+8*10=1*C3+8*C3</t>
  </si>
  <si>
    <t>9C3-C2=80</t>
  </si>
  <si>
    <t>2*C2+2*C5+8*C3=12*C4</t>
  </si>
  <si>
    <t>0=-2*C2-8*C3+12*C4-2*C5</t>
  </si>
  <si>
    <t>1*C2+3*C1=2*C5+2*C5</t>
  </si>
  <si>
    <t>0=-3*C1-1*C2+4*C5</t>
  </si>
  <si>
    <t xml:space="preserve"> Ejercicio 12.1 </t>
  </si>
  <si>
    <t>ANALISIS EN ESTADO ESTACIONARIO DE UN SISTEMA DE REACTORES</t>
  </si>
  <si>
    <t>50+C3=3C1+3C1</t>
  </si>
  <si>
    <t>6C1-C3=50</t>
  </si>
  <si>
    <t xml:space="preserve">     Ecuaciones similares se obtienen para los otros reactores:</t>
  </si>
  <si>
    <t>F(X)</t>
  </si>
  <si>
    <t>F'(X)</t>
  </si>
  <si>
    <t>F''(X)</t>
  </si>
  <si>
    <t>Con el método de Newton encuentre el máximo de la función F(X)</t>
  </si>
  <si>
    <t>CAPITULO 13.2 INTERPOLACIÓN CUADRÁTICA</t>
  </si>
  <si>
    <t>F(X1)</t>
  </si>
  <si>
    <t>F(X2)</t>
  </si>
  <si>
    <t>F(X3)</t>
  </si>
  <si>
    <t>Use la interpolación cuadrática para aproximar el máximo de</t>
  </si>
  <si>
    <t>F(X0)</t>
  </si>
  <si>
    <t>CAPITULO 13.1 BÚSQUEDA DE LA SECCIÓN DORADA</t>
  </si>
  <si>
    <t>Use la búsqueda de la sección dorada para encontrar el máximo de</t>
  </si>
  <si>
    <t>Xl</t>
  </si>
  <si>
    <t>F(Xl)</t>
  </si>
  <si>
    <t>F(Xu)</t>
  </si>
  <si>
    <t>d</t>
  </si>
  <si>
    <t>aurea distancia</t>
  </si>
  <si>
    <t>F(X3)-F(X2)</t>
  </si>
  <si>
    <t>F(X3)-F(X0)</t>
  </si>
  <si>
    <t>F(X3)-F(X1)</t>
  </si>
  <si>
    <t>MAX</t>
  </si>
  <si>
    <t>CAPITULO 13.3 MÉTODO DE NEWTON</t>
  </si>
  <si>
    <t>X0=X1</t>
  </si>
  <si>
    <t>X1=X3</t>
  </si>
  <si>
    <t>X2=X2</t>
  </si>
  <si>
    <t>F(X3)&gt;F(X1)</t>
  </si>
  <si>
    <t>DESCARTAMOS X0</t>
  </si>
  <si>
    <t>MAX_F</t>
  </si>
  <si>
    <t>MIN_F</t>
  </si>
  <si>
    <t>A-1=</t>
  </si>
  <si>
    <t>CONCENTRACIONES=</t>
  </si>
  <si>
    <t>ESTUDIO DE CASOS</t>
  </si>
  <si>
    <t>Ejercicio 12.13</t>
  </si>
  <si>
    <t xml:space="preserve">Un ingeniero civil que trabaja en la construcción requiere 4 800, 5 800 y 5 700 m3 de arena, grava fina, y grava gruesa
 de arena, grava fina, y grava gruesa, </t>
  </si>
  <si>
    <t>respectivamente, para cierto proyecto constructivo. Hay tres canteras de las que puede obtenerse dichos materiales
canteras de las que puede obtenerse dichos materiales</t>
  </si>
  <si>
    <t>La composicion  de dichas canteras es la que sigue:</t>
  </si>
  <si>
    <t>MATRIZ A</t>
  </si>
  <si>
    <t>CANTERA 1</t>
  </si>
  <si>
    <t>CANTERA 2</t>
  </si>
  <si>
    <t>CANTERA 3</t>
  </si>
  <si>
    <t>TOTAL ARENA</t>
  </si>
  <si>
    <t>ARENA</t>
  </si>
  <si>
    <t>GRAVA FINA</t>
  </si>
  <si>
    <t>GRAVA GRUESA</t>
  </si>
  <si>
    <t>¿Cuánto metros cubicos deben extraerse de cada cantera a fin de satisfacer las necesidades del ingeniero?</t>
  </si>
  <si>
    <t>Arena:</t>
  </si>
  <si>
    <t>Grava Fina :</t>
  </si>
  <si>
    <t>Grava Gruesa :</t>
  </si>
  <si>
    <t>Ejercicio 12.34</t>
  </si>
  <si>
    <t>Se conectan tres bloques por medio de cuerdas carentes de peso y se dejan en reposo en un plano inclinado (véase</t>
  </si>
  <si>
    <t xml:space="preserve">la figura P12.34a). Con el empleo de un procedimiento similar al que se usó en el análisis del paracaidista en descenso </t>
  </si>
  <si>
    <t xml:space="preserve">del ejemplo 9.11 se llega al conjunto siguiente de ecuaciones simultáneas (en la figura P12.34b se muestran </t>
  </si>
  <si>
    <t>los diagramas de cuerpo libre):</t>
  </si>
  <si>
    <t>100*a+T=519.72</t>
  </si>
  <si>
    <t>50*a-T+R=216.55</t>
  </si>
  <si>
    <t>25*a-R=108.27</t>
  </si>
  <si>
    <t>Resuelva para la aceleración a y las tensiones T y R en las dos cuerdas.</t>
  </si>
  <si>
    <t>Ejercicio 12.33</t>
  </si>
  <si>
    <t>Los sistemas idealizados de masa-resorte tienen aplicaciones numerosas en la ingeniería. La figura P12.33 muestra un</t>
  </si>
  <si>
    <t>arreglo de cuatro resortes en serie comprimidos por una fuerza de 1500 kg. En el equilibrio, es posible desarrollar ecuaciones de</t>
  </si>
  <si>
    <t>balance de fuerza si se definen las relaciones entre los resortes.</t>
  </si>
  <si>
    <t xml:space="preserve">donde las k son constantes de los resortes. Si de k1 a k4 son 100, </t>
  </si>
  <si>
    <t>50, 80 y 200 N/m, respectivamente, calcule el valor de las x.</t>
  </si>
  <si>
    <t>RESORTE 1</t>
  </si>
  <si>
    <t>K2*(X2-X1)=K1*X1</t>
  </si>
  <si>
    <t>50*X2-50*X1=100*X1</t>
  </si>
  <si>
    <t>150*X1-50*X2=0</t>
  </si>
  <si>
    <t>RESORTE 2</t>
  </si>
  <si>
    <t>K3*(X3-X2)=K2*(X2-X)</t>
  </si>
  <si>
    <t>80*X3-80*X2=50*X2-50*X1</t>
  </si>
  <si>
    <t xml:space="preserve"> -50*X1+130*X2-80*X3=0</t>
  </si>
  <si>
    <t>RESORTE 3</t>
  </si>
  <si>
    <t>K4*(X4-X3)=K3*(X3-X2)</t>
  </si>
  <si>
    <t>200*X4-200*X3=80*X3-80*X2</t>
  </si>
  <si>
    <t xml:space="preserve"> -80*X2+280*X3-200*X4=0</t>
  </si>
  <si>
    <t>RESORTE 4</t>
  </si>
  <si>
    <t>F=K4*(X4-X3)</t>
  </si>
  <si>
    <t>14715=200*X4-200*X3</t>
  </si>
  <si>
    <t xml:space="preserve"> -200*X3+200*X4=14715</t>
  </si>
  <si>
    <t>a) Grafique la función.</t>
  </si>
  <si>
    <t>b) Utilice métodos analíticos para probar que la función es cóncava para todos los valores de x.</t>
  </si>
  <si>
    <t>c) Derive la función y después use algún método de localización de raíces para resolver cuál es el máximo f(x) y el valor correspondiente de x.</t>
  </si>
  <si>
    <t>Repita el problema 13.3 pero use el método de Newton. Utilice un valor inicial de x0 = 2 y lleve a cabo tres iteraciones.</t>
  </si>
  <si>
    <t>Encuentre el valor de x que maximiza f(x) en el problema 13.2 con el uso de la búsqueda de la sección dorada. Emplee valores iniciales de xl= 0 y xu = 2 y realice tres iteraciones.</t>
  </si>
  <si>
    <t>MAXIMO</t>
  </si>
  <si>
    <t>TOLERANCIA</t>
  </si>
  <si>
    <t>Tol</t>
  </si>
  <si>
    <t>Crit Paro</t>
  </si>
  <si>
    <t>CAPITULO 13 EJERCICIOS PROPUESTOS</t>
  </si>
  <si>
    <t>Dada la fórmula</t>
  </si>
  <si>
    <t>a) Determine en forma analítica (esto es, por medio de derivación) el valor máximo y el correspondiente de x para esta función.</t>
  </si>
  <si>
    <t>b) Verifique que la ecuación (13.7) produce los mismos resultados con base en los valores iniciales de x0 = 0, x1 = 2 y x2 = 6.</t>
  </si>
  <si>
    <t>Máximo</t>
  </si>
  <si>
    <t>Dada la función</t>
  </si>
  <si>
    <t>X=0</t>
  </si>
  <si>
    <t>F(X)=0</t>
  </si>
  <si>
    <t>PUNTO DE INFLECCIÓN</t>
  </si>
  <si>
    <t>f(x)/f'(x)</t>
  </si>
  <si>
    <t>Repita el problema 13.3, pero utilice interpolación cuadrática. Emplee valores iniciales de x0 = 0, x1 = 1 y x2 = 2 y ejecute tres iteraciones.</t>
  </si>
  <si>
    <t>Analice las ventajas y desventajas de la búsqueda de la sección dorada, interpolación cuadrática y el método de Newton, para localizar un valor óptimo en una dimensión.</t>
  </si>
  <si>
    <t>BÚSQUEDA DE LA SECCIÓN DORADA</t>
  </si>
  <si>
    <t>INTERPOLACIÓN CUADRÁTICA</t>
  </si>
  <si>
    <t>MÉTODO DE NEWTON</t>
  </si>
  <si>
    <t>VENTAJAS</t>
  </si>
  <si>
    <t>DESVENTAJAS</t>
  </si>
  <si>
    <t>a) Búsqueda de la sección dorada (xl= –2, xu = 4, e = 1%).</t>
  </si>
  <si>
    <t>Emplee los métodos siguientes para encontrar el máximo de</t>
  </si>
  <si>
    <t>b) Interpolación cuadrática (x0 = 1.75, x1 = 2, x2 = 2.5, iteraciones = 4)</t>
  </si>
  <si>
    <t>c) Método de Newton (x0 = 3, e = 1%).</t>
  </si>
  <si>
    <t>Considere la función siguiente:</t>
  </si>
  <si>
    <t>Use los métodos analítico y gráfico para demostrar que la función tiene un máximo para algún valor de x en el rango –2 ≤ x ≤ 1.</t>
  </si>
  <si>
    <t>Emplee los métodos siguientes para encontrar el máximo de la función del problema 13.8:</t>
  </si>
  <si>
    <t>a) Búsqueda de la sección dorada (xl = –2, xu = 1, es = 1%).</t>
  </si>
  <si>
    <t>b) Interpolación cuadrática (x0 = –2, x1 = –1, x2 = 1, iteraciones = 4).</t>
  </si>
  <si>
    <t>c) Método de Newton (x0 = –1, es = 1%).</t>
  </si>
  <si>
    <t xml:space="preserve">EJEMPLO 14.1 </t>
  </si>
  <si>
    <t>Método de la búsqueda aleatoria</t>
  </si>
  <si>
    <t>Planteamiento del problema. Utilice un generador de números aleatorios para localizar el máximo de</t>
  </si>
  <si>
    <t>en el dominio acotado por x = –2 a 2, y y = 1 a 3. El dominio se muestra en la figura 14.2. Observe que un solo máximo de 1.5 se encuentra en x = –1 y y = 1.5.</t>
  </si>
  <si>
    <t>X=-2+4r</t>
  </si>
  <si>
    <t>Y</t>
  </si>
  <si>
    <t>F(X,Y)</t>
  </si>
  <si>
    <t xml:space="preserve">CAPITULO 14 </t>
  </si>
  <si>
    <t>Yl</t>
  </si>
  <si>
    <t>Yu</t>
  </si>
  <si>
    <t>Y=1+2r</t>
  </si>
  <si>
    <t>CAPITULO 15</t>
  </si>
  <si>
    <t>Recurso</t>
  </si>
  <si>
    <t>Materia prima</t>
  </si>
  <si>
    <t>Tiempo de producción</t>
  </si>
  <si>
    <t>Almacenamiento</t>
  </si>
  <si>
    <t>Aprovecchamiento</t>
  </si>
  <si>
    <t>Regular</t>
  </si>
  <si>
    <t>Prémium</t>
  </si>
  <si>
    <t>Producto</t>
  </si>
  <si>
    <t>Disponibilidad
del recurso</t>
  </si>
  <si>
    <t>EJEMPLO 15.1</t>
  </si>
  <si>
    <r>
      <t>7m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/ton</t>
    </r>
  </si>
  <si>
    <r>
      <t>11m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/ton</t>
    </r>
  </si>
  <si>
    <r>
      <t>77m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/semana</t>
    </r>
  </si>
  <si>
    <t>10hr/ton</t>
  </si>
  <si>
    <t>80hr/ton</t>
  </si>
  <si>
    <t>8hr/ton</t>
  </si>
  <si>
    <t>9ton</t>
  </si>
  <si>
    <t>6ton</t>
  </si>
  <si>
    <t>150/ton</t>
  </si>
  <si>
    <t>175/ton</t>
  </si>
  <si>
    <t>EJEMPLO 15.2</t>
  </si>
  <si>
    <t>Z</t>
  </si>
  <si>
    <t>Básica</t>
  </si>
  <si>
    <t>S1</t>
  </si>
  <si>
    <t>S2</t>
  </si>
  <si>
    <t>S3</t>
  </si>
  <si>
    <t>S4</t>
  </si>
  <si>
    <t>Solución</t>
  </si>
  <si>
    <t>Intersección</t>
  </si>
  <si>
    <t xml:space="preserve">Implementación del método simplex. </t>
  </si>
  <si>
    <t>EJEMPLO 15.3</t>
  </si>
  <si>
    <t>(restricciones positivas)</t>
  </si>
  <si>
    <t>(restricción de almacenaje de gas “prémium”)</t>
  </si>
  <si>
    <t>(restricción de almacenaje de gas “regular”)</t>
  </si>
  <si>
    <t>(restricción de tiempo)</t>
  </si>
  <si>
    <t>(restricciones de material)</t>
  </si>
  <si>
    <t>(maximizar la ganancia)</t>
  </si>
  <si>
    <t>Solución gráfica</t>
  </si>
  <si>
    <t>Variables de holgura(S)</t>
  </si>
  <si>
    <t>Error absoluto</t>
  </si>
  <si>
    <t>Error relativo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</si>
</sst>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0.00000000"/>
    <numFmt numFmtId="165" formatCode="0.000000"/>
    <numFmt numFmtId="166" formatCode="0.00000"/>
    <numFmt numFmtId="167" formatCode="0.000%"/>
    <numFmt numFmtId="168" formatCode="0.0000"/>
    <numFmt numFmtId="169" formatCode="0.00000E+00"/>
    <numFmt numFmtId="171" formatCode="0.000000000"/>
    <numFmt numFmtId="172" formatCode="0.000000000000000"/>
    <numFmt numFmtId="173" formatCode="0.00000000000000"/>
    <numFmt numFmtId="174" formatCode="0.000000000000"/>
    <numFmt numFmtId="175" formatCode="0.00000%"/>
    <numFmt numFmtId="176" formatCode="0.000"/>
    <numFmt numFmtId="177" formatCode="0.0000000"/>
    <numFmt numFmtId="185" formatCode="0.000000000000%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2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rgb="FF00FFFF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07CDB"/>
        <bgColor indexed="64"/>
      </patternFill>
    </fill>
    <fill>
      <patternFill patternType="solid">
        <fgColor rgb="FFFFAB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6BFBA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auto="1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rgb="FFFF66CC"/>
      </left>
      <right style="double">
        <color rgb="FFFF66CC"/>
      </right>
      <top style="double">
        <color rgb="FFFF66CC"/>
      </top>
      <bottom style="double">
        <color rgb="FFFF66CC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ck">
        <color rgb="FF00B0F0"/>
      </top>
      <bottom/>
      <diagonal/>
    </border>
    <border>
      <left/>
      <right/>
      <top/>
      <bottom style="thick">
        <color rgb="FF00B0F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74">
    <xf numFmtId="0" fontId="0" fillId="0" borderId="0" xfId="0"/>
    <xf numFmtId="0" fontId="0" fillId="0" borderId="1" xfId="0" applyBorder="1"/>
    <xf numFmtId="0" fontId="0" fillId="3" borderId="0" xfId="0" applyFill="1"/>
    <xf numFmtId="0" fontId="1" fillId="2" borderId="1" xfId="0" applyFont="1" applyFill="1" applyBorder="1" applyAlignment="1">
      <alignment horizontal="center"/>
    </xf>
    <xf numFmtId="0" fontId="0" fillId="4" borderId="0" xfId="0" applyFill="1"/>
    <xf numFmtId="0" fontId="0" fillId="5" borderId="1" xfId="0" applyFill="1" applyBorder="1"/>
    <xf numFmtId="0" fontId="0" fillId="5" borderId="1" xfId="0" quotePrefix="1" applyFill="1" applyBorder="1"/>
    <xf numFmtId="164" fontId="0" fillId="5" borderId="1" xfId="0" applyNumberFormat="1" applyFill="1" applyBorder="1"/>
    <xf numFmtId="0" fontId="0" fillId="6" borderId="0" xfId="0" applyFill="1"/>
    <xf numFmtId="0" fontId="0" fillId="7" borderId="1" xfId="0" applyFill="1" applyBorder="1"/>
    <xf numFmtId="0" fontId="1" fillId="7" borderId="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4" fontId="0" fillId="0" borderId="0" xfId="0" applyNumberFormat="1"/>
    <xf numFmtId="0" fontId="4" fillId="8" borderId="5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 vertical="center"/>
    </xf>
    <xf numFmtId="165" fontId="0" fillId="10" borderId="6" xfId="0" applyNumberFormat="1" applyFill="1" applyBorder="1" applyAlignment="1">
      <alignment horizontal="center" vertical="center"/>
    </xf>
    <xf numFmtId="165" fontId="0" fillId="10" borderId="15" xfId="0" applyNumberFormat="1" applyFill="1" applyBorder="1" applyAlignment="1">
      <alignment horizontal="center" vertical="center"/>
    </xf>
    <xf numFmtId="165" fontId="0" fillId="10" borderId="9" xfId="0" applyNumberFormat="1" applyFill="1" applyBorder="1" applyAlignment="1">
      <alignment horizontal="center" vertical="center"/>
    </xf>
    <xf numFmtId="165" fontId="0" fillId="10" borderId="16" xfId="0" applyNumberFormat="1" applyFill="1" applyBorder="1" applyAlignment="1">
      <alignment horizontal="center" vertical="center"/>
    </xf>
    <xf numFmtId="166" fontId="0" fillId="10" borderId="16" xfId="0" applyNumberFormat="1" applyFill="1" applyBorder="1" applyAlignment="1">
      <alignment horizontal="center" vertical="center"/>
    </xf>
    <xf numFmtId="167" fontId="0" fillId="10" borderId="9" xfId="1" applyNumberFormat="1" applyFont="1" applyFill="1" applyBorder="1" applyAlignment="1">
      <alignment horizontal="center" vertical="center"/>
    </xf>
    <xf numFmtId="165" fontId="1" fillId="10" borderId="9" xfId="0" applyNumberFormat="1" applyFont="1" applyFill="1" applyBorder="1" applyAlignment="1">
      <alignment horizontal="center" vertical="center"/>
    </xf>
    <xf numFmtId="165" fontId="0" fillId="10" borderId="15" xfId="0" applyNumberFormat="1" applyFont="1" applyFill="1" applyBorder="1" applyAlignment="1">
      <alignment horizontal="center" vertical="center"/>
    </xf>
    <xf numFmtId="165" fontId="0" fillId="10" borderId="6" xfId="0" applyNumberFormat="1" applyFont="1" applyFill="1" applyBorder="1" applyAlignment="1">
      <alignment horizontal="center" vertical="center"/>
    </xf>
    <xf numFmtId="165" fontId="1" fillId="10" borderId="6" xfId="0" applyNumberFormat="1" applyFont="1" applyFill="1" applyBorder="1" applyAlignment="1">
      <alignment horizontal="center" vertical="center"/>
    </xf>
    <xf numFmtId="166" fontId="1" fillId="10" borderId="16" xfId="0" applyNumberFormat="1" applyFont="1" applyFill="1" applyBorder="1" applyAlignment="1">
      <alignment horizontal="center" vertical="center"/>
    </xf>
    <xf numFmtId="167" fontId="1" fillId="10" borderId="9" xfId="1" applyNumberFormat="1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  <xf numFmtId="165" fontId="0" fillId="10" borderId="16" xfId="0" applyNumberFormat="1" applyFont="1" applyFill="1" applyBorder="1" applyAlignment="1">
      <alignment horizontal="center" vertical="center"/>
    </xf>
    <xf numFmtId="167" fontId="3" fillId="10" borderId="9" xfId="1" applyNumberFormat="1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Border="1"/>
    <xf numFmtId="0" fontId="1" fillId="6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167" fontId="0" fillId="0" borderId="0" xfId="1" applyNumberFormat="1" applyFont="1" applyFill="1" applyBorder="1" applyAlignment="1">
      <alignment horizontal="center" vertical="center"/>
    </xf>
    <xf numFmtId="165" fontId="0" fillId="0" borderId="0" xfId="0" applyNumberFormat="1"/>
    <xf numFmtId="169" fontId="0" fillId="0" borderId="0" xfId="0" applyNumberFormat="1"/>
    <xf numFmtId="0" fontId="7" fillId="7" borderId="2" xfId="0" applyFont="1" applyFill="1" applyBorder="1" applyAlignment="1">
      <alignment horizontal="center" vertical="center"/>
    </xf>
    <xf numFmtId="0" fontId="8" fillId="7" borderId="3" xfId="0" applyFont="1" applyFill="1" applyBorder="1"/>
    <xf numFmtId="166" fontId="0" fillId="0" borderId="16" xfId="0" applyNumberFormat="1" applyBorder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1" fillId="7" borderId="28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/>
    </xf>
    <xf numFmtId="0" fontId="9" fillId="4" borderId="0" xfId="0" applyFont="1" applyFill="1"/>
    <xf numFmtId="166" fontId="0" fillId="0" borderId="15" xfId="0" applyNumberFormat="1" applyBorder="1" applyAlignment="1">
      <alignment horizontal="center" vertical="center"/>
    </xf>
    <xf numFmtId="1" fontId="0" fillId="7" borderId="20" xfId="0" applyNumberFormat="1" applyFill="1" applyBorder="1" applyAlignment="1">
      <alignment horizontal="center" vertical="center"/>
    </xf>
    <xf numFmtId="1" fontId="0" fillId="7" borderId="9" xfId="0" applyNumberFormat="1" applyFill="1" applyBorder="1" applyAlignment="1">
      <alignment horizontal="center" vertical="center"/>
    </xf>
    <xf numFmtId="1" fontId="0" fillId="7" borderId="12" xfId="0" applyNumberForma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65" fontId="1" fillId="10" borderId="15" xfId="0" applyNumberFormat="1" applyFont="1" applyFill="1" applyBorder="1" applyAlignment="1">
      <alignment horizontal="center" vertical="center"/>
    </xf>
    <xf numFmtId="165" fontId="0" fillId="10" borderId="7" xfId="0" applyNumberFormat="1" applyFill="1" applyBorder="1" applyAlignment="1">
      <alignment horizontal="center" vertical="center"/>
    </xf>
    <xf numFmtId="165" fontId="0" fillId="10" borderId="30" xfId="0" applyNumberFormat="1" applyFill="1" applyBorder="1" applyAlignment="1">
      <alignment horizontal="center" vertical="center"/>
    </xf>
    <xf numFmtId="165" fontId="0" fillId="10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/>
    <xf numFmtId="0" fontId="1" fillId="7" borderId="1" xfId="0" applyFont="1" applyFill="1" applyBorder="1"/>
    <xf numFmtId="0" fontId="1" fillId="4" borderId="1" xfId="0" applyFont="1" applyFill="1" applyBorder="1"/>
    <xf numFmtId="0" fontId="0" fillId="4" borderId="1" xfId="0" applyFill="1" applyBorder="1"/>
    <xf numFmtId="171" fontId="0" fillId="12" borderId="1" xfId="0" applyNumberFormat="1" applyFill="1" applyBorder="1"/>
    <xf numFmtId="171" fontId="0" fillId="13" borderId="1" xfId="0" applyNumberFormat="1" applyFill="1" applyBorder="1"/>
    <xf numFmtId="171" fontId="0" fillId="14" borderId="1" xfId="0" applyNumberFormat="1" applyFill="1" applyBorder="1"/>
    <xf numFmtId="171" fontId="0" fillId="15" borderId="1" xfId="0" applyNumberFormat="1" applyFill="1" applyBorder="1"/>
    <xf numFmtId="171" fontId="0" fillId="16" borderId="1" xfId="0" applyNumberFormat="1" applyFill="1" applyBorder="1"/>
    <xf numFmtId="0" fontId="0" fillId="4" borderId="40" xfId="0" applyFill="1" applyBorder="1"/>
    <xf numFmtId="0" fontId="0" fillId="7" borderId="40" xfId="0" applyFill="1" applyBorder="1"/>
    <xf numFmtId="164" fontId="0" fillId="7" borderId="40" xfId="0" applyNumberFormat="1" applyFill="1" applyBorder="1"/>
    <xf numFmtId="171" fontId="0" fillId="14" borderId="40" xfId="0" applyNumberFormat="1" applyFill="1" applyBorder="1"/>
    <xf numFmtId="171" fontId="0" fillId="12" borderId="40" xfId="0" applyNumberFormat="1" applyFill="1" applyBorder="1"/>
    <xf numFmtId="171" fontId="0" fillId="15" borderId="40" xfId="0" applyNumberFormat="1" applyFill="1" applyBorder="1"/>
    <xf numFmtId="171" fontId="0" fillId="13" borderId="40" xfId="0" applyNumberFormat="1" applyFill="1" applyBorder="1"/>
    <xf numFmtId="171" fontId="0" fillId="16" borderId="40" xfId="0" applyNumberFormat="1" applyFill="1" applyBorder="1"/>
    <xf numFmtId="0" fontId="1" fillId="4" borderId="38" xfId="0" applyFont="1" applyFill="1" applyBorder="1"/>
    <xf numFmtId="0" fontId="1" fillId="7" borderId="39" xfId="0" applyFont="1" applyFill="1" applyBorder="1"/>
    <xf numFmtId="0" fontId="1" fillId="14" borderId="39" xfId="0" applyFont="1" applyFill="1" applyBorder="1"/>
    <xf numFmtId="0" fontId="1" fillId="12" borderId="39" xfId="0" applyFont="1" applyFill="1" applyBorder="1"/>
    <xf numFmtId="0" fontId="1" fillId="15" borderId="39" xfId="0" applyFont="1" applyFill="1" applyBorder="1"/>
    <xf numFmtId="0" fontId="1" fillId="13" borderId="39" xfId="0" applyFont="1" applyFill="1" applyBorder="1"/>
    <xf numFmtId="0" fontId="1" fillId="16" borderId="39" xfId="0" applyFont="1" applyFill="1" applyBorder="1"/>
    <xf numFmtId="0" fontId="1" fillId="0" borderId="0" xfId="0" applyFont="1"/>
    <xf numFmtId="174" fontId="0" fillId="10" borderId="15" xfId="0" applyNumberFormat="1" applyFill="1" applyBorder="1" applyAlignment="1">
      <alignment horizontal="center" vertical="center"/>
    </xf>
    <xf numFmtId="173" fontId="1" fillId="10" borderId="6" xfId="0" applyNumberFormat="1" applyFont="1" applyFill="1" applyBorder="1" applyAlignment="1">
      <alignment horizontal="center" vertical="center"/>
    </xf>
    <xf numFmtId="165" fontId="0" fillId="10" borderId="9" xfId="0" applyNumberFormat="1" applyFont="1" applyFill="1" applyBorder="1" applyAlignment="1">
      <alignment horizontal="center" vertical="center"/>
    </xf>
    <xf numFmtId="166" fontId="0" fillId="10" borderId="16" xfId="0" applyNumberFormat="1" applyFont="1" applyFill="1" applyBorder="1" applyAlignment="1">
      <alignment horizontal="center" vertical="center"/>
    </xf>
    <xf numFmtId="0" fontId="0" fillId="16" borderId="6" xfId="0" applyFill="1" applyBorder="1"/>
    <xf numFmtId="0" fontId="0" fillId="16" borderId="9" xfId="0" applyFill="1" applyBorder="1"/>
    <xf numFmtId="0" fontId="0" fillId="16" borderId="12" xfId="0" applyFill="1" applyBorder="1"/>
    <xf numFmtId="165" fontId="1" fillId="10" borderId="16" xfId="0" applyNumberFormat="1" applyFont="1" applyFill="1" applyBorder="1" applyAlignment="1">
      <alignment horizontal="center" vertical="center"/>
    </xf>
    <xf numFmtId="0" fontId="1" fillId="16" borderId="6" xfId="0" applyFont="1" applyFill="1" applyBorder="1"/>
    <xf numFmtId="0" fontId="1" fillId="7" borderId="9" xfId="0" applyFont="1" applyFill="1" applyBorder="1" applyAlignment="1">
      <alignment horizontal="center" vertical="center"/>
    </xf>
    <xf numFmtId="0" fontId="0" fillId="14" borderId="1" xfId="0" applyFill="1" applyBorder="1"/>
    <xf numFmtId="0" fontId="0" fillId="14" borderId="9" xfId="0" applyFill="1" applyBorder="1"/>
    <xf numFmtId="165" fontId="0" fillId="14" borderId="9" xfId="0" applyNumberFormat="1" applyFill="1" applyBorder="1"/>
    <xf numFmtId="166" fontId="0" fillId="14" borderId="9" xfId="0" applyNumberFormat="1" applyFill="1" applyBorder="1"/>
    <xf numFmtId="168" fontId="0" fillId="14" borderId="9" xfId="0" applyNumberFormat="1" applyFill="1" applyBorder="1"/>
    <xf numFmtId="169" fontId="0" fillId="14" borderId="9" xfId="0" applyNumberFormat="1" applyFill="1" applyBorder="1"/>
    <xf numFmtId="10" fontId="0" fillId="14" borderId="9" xfId="1" applyNumberFormat="1" applyFont="1" applyFill="1" applyBorder="1"/>
    <xf numFmtId="0" fontId="1" fillId="7" borderId="9" xfId="0" applyFont="1" applyFill="1" applyBorder="1"/>
    <xf numFmtId="164" fontId="1" fillId="7" borderId="1" xfId="0" applyNumberFormat="1" applyFont="1" applyFill="1" applyBorder="1"/>
    <xf numFmtId="171" fontId="1" fillId="14" borderId="1" xfId="0" applyNumberFormat="1" applyFont="1" applyFill="1" applyBorder="1"/>
    <xf numFmtId="171" fontId="1" fillId="12" borderId="1" xfId="0" applyNumberFormat="1" applyFont="1" applyFill="1" applyBorder="1"/>
    <xf numFmtId="171" fontId="1" fillId="15" borderId="1" xfId="0" applyNumberFormat="1" applyFont="1" applyFill="1" applyBorder="1"/>
    <xf numFmtId="171" fontId="1" fillId="13" borderId="1" xfId="0" applyNumberFormat="1" applyFont="1" applyFill="1" applyBorder="1"/>
    <xf numFmtId="171" fontId="1" fillId="16" borderId="1" xfId="0" applyNumberFormat="1" applyFont="1" applyFill="1" applyBorder="1"/>
    <xf numFmtId="0" fontId="1" fillId="5" borderId="39" xfId="0" applyFont="1" applyFill="1" applyBorder="1"/>
    <xf numFmtId="0" fontId="0" fillId="5" borderId="40" xfId="0" applyFill="1" applyBorder="1"/>
    <xf numFmtId="9" fontId="0" fillId="5" borderId="40" xfId="1" applyFont="1" applyFill="1" applyBorder="1"/>
    <xf numFmtId="175" fontId="0" fillId="5" borderId="1" xfId="1" applyNumberFormat="1" applyFont="1" applyFill="1" applyBorder="1"/>
    <xf numFmtId="0" fontId="1" fillId="5" borderId="1" xfId="0" applyFont="1" applyFill="1" applyBorder="1"/>
    <xf numFmtId="0" fontId="1" fillId="19" borderId="23" xfId="0" applyFont="1" applyFill="1" applyBorder="1"/>
    <xf numFmtId="0" fontId="0" fillId="19" borderId="40" xfId="0" applyFill="1" applyBorder="1"/>
    <xf numFmtId="0" fontId="1" fillId="19" borderId="40" xfId="0" applyFont="1" applyFill="1" applyBorder="1"/>
    <xf numFmtId="172" fontId="0" fillId="13" borderId="40" xfId="0" applyNumberFormat="1" applyFill="1" applyBorder="1"/>
    <xf numFmtId="0" fontId="0" fillId="4" borderId="1" xfId="0" applyFont="1" applyFill="1" applyBorder="1"/>
    <xf numFmtId="0" fontId="0" fillId="7" borderId="1" xfId="0" applyFont="1" applyFill="1" applyBorder="1"/>
    <xf numFmtId="164" fontId="0" fillId="7" borderId="1" xfId="0" applyNumberFormat="1" applyFont="1" applyFill="1" applyBorder="1"/>
    <xf numFmtId="171" fontId="0" fillId="14" borderId="40" xfId="0" applyNumberFormat="1" applyFont="1" applyFill="1" applyBorder="1"/>
    <xf numFmtId="171" fontId="0" fillId="15" borderId="1" xfId="0" applyNumberFormat="1" applyFont="1" applyFill="1" applyBorder="1"/>
    <xf numFmtId="172" fontId="0" fillId="13" borderId="40" xfId="0" applyNumberFormat="1" applyFont="1" applyFill="1" applyBorder="1"/>
    <xf numFmtId="171" fontId="0" fillId="16" borderId="1" xfId="0" applyNumberFormat="1" applyFont="1" applyFill="1" applyBorder="1"/>
    <xf numFmtId="0" fontId="0" fillId="5" borderId="1" xfId="0" applyFont="1" applyFill="1" applyBorder="1"/>
    <xf numFmtId="175" fontId="3" fillId="5" borderId="1" xfId="1" applyNumberFormat="1" applyFont="1" applyFill="1" applyBorder="1"/>
    <xf numFmtId="0" fontId="0" fillId="19" borderId="40" xfId="0" applyFont="1" applyFill="1" applyBorder="1"/>
    <xf numFmtId="171" fontId="1" fillId="14" borderId="40" xfId="0" applyNumberFormat="1" applyFont="1" applyFill="1" applyBorder="1"/>
    <xf numFmtId="172" fontId="1" fillId="13" borderId="40" xfId="0" applyNumberFormat="1" applyFont="1" applyFill="1" applyBorder="1"/>
    <xf numFmtId="175" fontId="1" fillId="5" borderId="1" xfId="1" applyNumberFormat="1" applyFont="1" applyFill="1" applyBorder="1"/>
    <xf numFmtId="0" fontId="0" fillId="18" borderId="5" xfId="0" applyFill="1" applyBorder="1" applyAlignment="1">
      <alignment horizontal="center" vertical="center"/>
    </xf>
    <xf numFmtId="0" fontId="0" fillId="18" borderId="6" xfId="0" applyFill="1" applyBorder="1" applyAlignment="1">
      <alignment horizontal="center" vertical="center"/>
    </xf>
    <xf numFmtId="0" fontId="0" fillId="18" borderId="8" xfId="0" applyFill="1" applyBorder="1" applyAlignment="1">
      <alignment horizontal="center" vertical="center"/>
    </xf>
    <xf numFmtId="0" fontId="0" fillId="18" borderId="11" xfId="0" applyFill="1" applyBorder="1" applyAlignment="1">
      <alignment horizontal="center" vertical="center"/>
    </xf>
    <xf numFmtId="0" fontId="0" fillId="17" borderId="6" xfId="0" applyFill="1" applyBorder="1" applyAlignment="1">
      <alignment horizontal="center" vertical="center"/>
    </xf>
    <xf numFmtId="0" fontId="1" fillId="17" borderId="8" xfId="0" applyFont="1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1" fillId="5" borderId="24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2" fontId="0" fillId="5" borderId="9" xfId="0" applyNumberFormat="1" applyFill="1" applyBorder="1" applyAlignment="1">
      <alignment horizontal="center" vertical="center"/>
    </xf>
    <xf numFmtId="2" fontId="0" fillId="5" borderId="16" xfId="0" applyNumberFormat="1" applyFill="1" applyBorder="1" applyAlignment="1">
      <alignment horizontal="center" vertical="center"/>
    </xf>
    <xf numFmtId="2" fontId="1" fillId="5" borderId="26" xfId="0" applyNumberFormat="1" applyFont="1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5" borderId="28" xfId="0" applyFont="1" applyFill="1" applyBorder="1" applyAlignment="1">
      <alignment horizontal="center" vertical="center"/>
    </xf>
    <xf numFmtId="2" fontId="0" fillId="5" borderId="29" xfId="0" applyNumberFormat="1" applyFill="1" applyBorder="1" applyAlignment="1">
      <alignment horizontal="center" vertical="center"/>
    </xf>
    <xf numFmtId="2" fontId="0" fillId="5" borderId="30" xfId="0" applyNumberFormat="1" applyFill="1" applyBorder="1" applyAlignment="1">
      <alignment horizontal="center" vertical="center"/>
    </xf>
    <xf numFmtId="2" fontId="1" fillId="5" borderId="31" xfId="0" applyNumberFormat="1" applyFont="1" applyFill="1" applyBorder="1" applyAlignment="1">
      <alignment horizontal="center" vertical="center"/>
    </xf>
    <xf numFmtId="2" fontId="0" fillId="5" borderId="6" xfId="0" applyNumberFormat="1" applyFill="1" applyBorder="1" applyAlignment="1">
      <alignment horizontal="center" vertical="center"/>
    </xf>
    <xf numFmtId="2" fontId="0" fillId="5" borderId="15" xfId="0" applyNumberFormat="1" applyFill="1" applyBorder="1" applyAlignment="1">
      <alignment horizontal="center" vertical="center"/>
    </xf>
    <xf numFmtId="2" fontId="1" fillId="5" borderId="24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2" fontId="0" fillId="5" borderId="12" xfId="0" applyNumberFormat="1" applyFill="1" applyBorder="1" applyAlignment="1">
      <alignment horizontal="center" vertical="center"/>
    </xf>
    <xf numFmtId="2" fontId="0" fillId="5" borderId="17" xfId="0" applyNumberFormat="1" applyFill="1" applyBorder="1" applyAlignment="1">
      <alignment horizontal="center" vertical="center"/>
    </xf>
    <xf numFmtId="2" fontId="1" fillId="5" borderId="32" xfId="0" applyNumberFormat="1" applyFont="1" applyFill="1" applyBorder="1" applyAlignment="1">
      <alignment horizontal="center" vertical="center"/>
    </xf>
    <xf numFmtId="0" fontId="1" fillId="20" borderId="2" xfId="0" applyFon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  <xf numFmtId="0" fontId="1" fillId="20" borderId="14" xfId="0" applyFont="1" applyFill="1" applyBorder="1" applyAlignment="1">
      <alignment horizontal="center" vertical="center"/>
    </xf>
    <xf numFmtId="0" fontId="1" fillId="20" borderId="22" xfId="0" applyFont="1" applyFill="1" applyBorder="1" applyAlignment="1">
      <alignment horizontal="center" vertical="center"/>
    </xf>
    <xf numFmtId="0" fontId="1" fillId="20" borderId="23" xfId="0" applyFont="1" applyFill="1" applyBorder="1" applyAlignment="1">
      <alignment horizontal="center" vertical="center"/>
    </xf>
    <xf numFmtId="0" fontId="11" fillId="5" borderId="25" xfId="0" applyFont="1" applyFill="1" applyBorder="1" applyAlignment="1">
      <alignment horizontal="center" vertical="center"/>
    </xf>
    <xf numFmtId="2" fontId="1" fillId="20" borderId="3" xfId="0" applyNumberFormat="1" applyFont="1" applyFill="1" applyBorder="1" applyAlignment="1">
      <alignment horizontal="center" vertical="center"/>
    </xf>
    <xf numFmtId="2" fontId="1" fillId="20" borderId="14" xfId="0" applyNumberFormat="1" applyFont="1" applyFill="1" applyBorder="1" applyAlignment="1">
      <alignment horizontal="center" vertical="center"/>
    </xf>
    <xf numFmtId="2" fontId="1" fillId="20" borderId="22" xfId="0" applyNumberFormat="1" applyFont="1" applyFill="1" applyBorder="1" applyAlignment="1">
      <alignment horizontal="center" vertical="center"/>
    </xf>
    <xf numFmtId="0" fontId="10" fillId="20" borderId="25" xfId="0" applyFont="1" applyFill="1" applyBorder="1" applyAlignment="1">
      <alignment horizontal="center" vertical="center"/>
    </xf>
    <xf numFmtId="0" fontId="0" fillId="17" borderId="5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11" xfId="0" applyFill="1" applyBorder="1" applyAlignment="1">
      <alignment horizontal="center" vertical="center"/>
    </xf>
    <xf numFmtId="0" fontId="0" fillId="21" borderId="5" xfId="0" applyFill="1" applyBorder="1" applyAlignment="1">
      <alignment horizontal="center" vertical="center"/>
    </xf>
    <xf numFmtId="166" fontId="0" fillId="21" borderId="6" xfId="0" applyNumberFormat="1" applyFill="1" applyBorder="1" applyAlignment="1">
      <alignment horizontal="center" vertical="center"/>
    </xf>
    <xf numFmtId="0" fontId="0" fillId="21" borderId="8" xfId="0" applyFill="1" applyBorder="1" applyAlignment="1">
      <alignment horizontal="center" vertical="center"/>
    </xf>
    <xf numFmtId="166" fontId="0" fillId="21" borderId="9" xfId="0" applyNumberFormat="1" applyFill="1" applyBorder="1" applyAlignment="1">
      <alignment horizontal="center" vertical="center"/>
    </xf>
    <xf numFmtId="0" fontId="0" fillId="21" borderId="11" xfId="0" applyFill="1" applyBorder="1" applyAlignment="1">
      <alignment horizontal="center" vertical="center"/>
    </xf>
    <xf numFmtId="166" fontId="0" fillId="21" borderId="12" xfId="0" applyNumberForma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8" borderId="19" xfId="0" applyFont="1" applyFill="1" applyBorder="1" applyAlignment="1">
      <alignment horizontal="center" vertical="center"/>
    </xf>
    <xf numFmtId="0" fontId="1" fillId="8" borderId="20" xfId="0" applyFont="1" applyFill="1" applyBorder="1" applyAlignment="1">
      <alignment horizontal="center" vertical="center"/>
    </xf>
    <xf numFmtId="0" fontId="1" fillId="8" borderId="21" xfId="0" applyFont="1" applyFill="1" applyBorder="1" applyAlignment="1">
      <alignment horizontal="center" vertical="center"/>
    </xf>
    <xf numFmtId="0" fontId="1" fillId="8" borderId="37" xfId="0" applyFont="1" applyFill="1" applyBorder="1" applyAlignment="1">
      <alignment horizontal="center" vertical="center"/>
    </xf>
    <xf numFmtId="0" fontId="1" fillId="8" borderId="18" xfId="0" applyFont="1" applyFill="1" applyBorder="1" applyAlignment="1">
      <alignment horizontal="center" vertical="center"/>
    </xf>
    <xf numFmtId="0" fontId="10" fillId="21" borderId="27" xfId="0" applyFont="1" applyFill="1" applyBorder="1" applyAlignment="1">
      <alignment horizontal="center" vertical="center"/>
    </xf>
    <xf numFmtId="0" fontId="11" fillId="21" borderId="27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166" fontId="0" fillId="5" borderId="16" xfId="0" applyNumberFormat="1" applyFont="1" applyFill="1" applyBorder="1" applyAlignment="1">
      <alignment horizontal="center" vertical="center"/>
    </xf>
    <xf numFmtId="0" fontId="0" fillId="5" borderId="26" xfId="0" applyFont="1" applyFill="1" applyBorder="1" applyAlignment="1">
      <alignment horizontal="center" vertical="center"/>
    </xf>
    <xf numFmtId="166" fontId="0" fillId="5" borderId="9" xfId="0" applyNumberFormat="1" applyFont="1" applyFill="1" applyBorder="1" applyAlignment="1">
      <alignment horizontal="center" vertical="center"/>
    </xf>
    <xf numFmtId="10" fontId="0" fillId="5" borderId="26" xfId="1" applyNumberFormat="1" applyFont="1" applyFill="1" applyBorder="1" applyAlignment="1">
      <alignment horizontal="center" vertical="center"/>
    </xf>
    <xf numFmtId="166" fontId="0" fillId="5" borderId="29" xfId="0" applyNumberFormat="1" applyFont="1" applyFill="1" applyBorder="1" applyAlignment="1">
      <alignment horizontal="center" vertical="center"/>
    </xf>
    <xf numFmtId="166" fontId="0" fillId="5" borderId="30" xfId="0" applyNumberFormat="1" applyFont="1" applyFill="1" applyBorder="1" applyAlignment="1">
      <alignment horizontal="center" vertical="center"/>
    </xf>
    <xf numFmtId="10" fontId="0" fillId="5" borderId="31" xfId="1" applyNumberFormat="1" applyFont="1" applyFill="1" applyBorder="1" applyAlignment="1">
      <alignment horizontal="center" vertical="center"/>
    </xf>
    <xf numFmtId="166" fontId="0" fillId="5" borderId="6" xfId="0" applyNumberFormat="1" applyFont="1" applyFill="1" applyBorder="1" applyAlignment="1">
      <alignment horizontal="center" vertical="center"/>
    </xf>
    <xf numFmtId="166" fontId="0" fillId="5" borderId="15" xfId="0" applyNumberFormat="1" applyFont="1" applyFill="1" applyBorder="1" applyAlignment="1">
      <alignment horizontal="center" vertical="center"/>
    </xf>
    <xf numFmtId="10" fontId="0" fillId="5" borderId="24" xfId="1" applyNumberFormat="1" applyFont="1" applyFill="1" applyBorder="1" applyAlignment="1">
      <alignment horizontal="center" vertical="center"/>
    </xf>
    <xf numFmtId="166" fontId="0" fillId="5" borderId="12" xfId="0" applyNumberFormat="1" applyFont="1" applyFill="1" applyBorder="1" applyAlignment="1">
      <alignment horizontal="center" vertical="center"/>
    </xf>
    <xf numFmtId="166" fontId="0" fillId="5" borderId="17" xfId="0" applyNumberFormat="1" applyFont="1" applyFill="1" applyBorder="1" applyAlignment="1">
      <alignment horizontal="center" vertical="center"/>
    </xf>
    <xf numFmtId="10" fontId="0" fillId="5" borderId="32" xfId="1" applyNumberFormat="1" applyFont="1" applyFill="1" applyBorder="1" applyAlignment="1">
      <alignment horizontal="center" vertical="center"/>
    </xf>
    <xf numFmtId="0" fontId="1" fillId="14" borderId="2" xfId="0" applyFont="1" applyFill="1" applyBorder="1" applyAlignment="1">
      <alignment horizontal="center" vertical="center"/>
    </xf>
    <xf numFmtId="166" fontId="0" fillId="14" borderId="3" xfId="0" applyNumberFormat="1" applyFont="1" applyFill="1" applyBorder="1" applyAlignment="1">
      <alignment horizontal="center" vertical="center"/>
    </xf>
    <xf numFmtId="166" fontId="0" fillId="14" borderId="14" xfId="0" applyNumberFormat="1" applyFont="1" applyFill="1" applyBorder="1" applyAlignment="1">
      <alignment horizontal="center" vertical="center"/>
    </xf>
    <xf numFmtId="10" fontId="0" fillId="14" borderId="22" xfId="1" applyNumberFormat="1" applyFont="1" applyFill="1" applyBorder="1" applyAlignment="1">
      <alignment horizontal="center" vertical="center"/>
    </xf>
    <xf numFmtId="0" fontId="11" fillId="14" borderId="27" xfId="0" applyFont="1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0" fillId="17" borderId="12" xfId="0" applyFill="1" applyBorder="1" applyAlignment="1">
      <alignment horizontal="center" vertical="center"/>
    </xf>
    <xf numFmtId="166" fontId="1" fillId="12" borderId="38" xfId="0" applyNumberFormat="1" applyFont="1" applyFill="1" applyBorder="1" applyAlignment="1">
      <alignment horizontal="center" vertical="center"/>
    </xf>
    <xf numFmtId="166" fontId="1" fillId="12" borderId="39" xfId="0" applyNumberFormat="1" applyFont="1" applyFill="1" applyBorder="1" applyAlignment="1">
      <alignment horizontal="center" vertical="center"/>
    </xf>
    <xf numFmtId="0" fontId="1" fillId="12" borderId="39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5" fillId="11" borderId="0" xfId="0" applyFont="1" applyFill="1"/>
    <xf numFmtId="1" fontId="12" fillId="16" borderId="9" xfId="0" applyNumberFormat="1" applyFont="1" applyFill="1" applyBorder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14" borderId="9" xfId="0" applyFont="1" applyFill="1" applyBorder="1"/>
    <xf numFmtId="165" fontId="1" fillId="14" borderId="9" xfId="0" applyNumberFormat="1" applyFont="1" applyFill="1" applyBorder="1"/>
    <xf numFmtId="166" fontId="1" fillId="14" borderId="9" xfId="0" applyNumberFormat="1" applyFont="1" applyFill="1" applyBorder="1"/>
    <xf numFmtId="168" fontId="1" fillId="14" borderId="9" xfId="0" applyNumberFormat="1" applyFont="1" applyFill="1" applyBorder="1"/>
    <xf numFmtId="169" fontId="1" fillId="14" borderId="9" xfId="0" applyNumberFormat="1" applyFont="1" applyFill="1" applyBorder="1"/>
    <xf numFmtId="10" fontId="1" fillId="14" borderId="9" xfId="1" applyNumberFormat="1" applyFont="1" applyFill="1" applyBorder="1"/>
    <xf numFmtId="0" fontId="1" fillId="16" borderId="9" xfId="0" applyFont="1" applyFill="1" applyBorder="1"/>
    <xf numFmtId="171" fontId="0" fillId="14" borderId="1" xfId="0" applyNumberFormat="1" applyFont="1" applyFill="1" applyBorder="1"/>
    <xf numFmtId="171" fontId="0" fillId="12" borderId="1" xfId="0" applyNumberFormat="1" applyFont="1" applyFill="1" applyBorder="1"/>
    <xf numFmtId="171" fontId="0" fillId="13" borderId="1" xfId="0" applyNumberFormat="1" applyFont="1" applyFill="1" applyBorder="1"/>
    <xf numFmtId="0" fontId="0" fillId="14" borderId="9" xfId="0" applyFont="1" applyFill="1" applyBorder="1"/>
    <xf numFmtId="165" fontId="0" fillId="14" borderId="9" xfId="0" applyNumberFormat="1" applyFont="1" applyFill="1" applyBorder="1"/>
    <xf numFmtId="166" fontId="0" fillId="14" borderId="9" xfId="0" applyNumberFormat="1" applyFont="1" applyFill="1" applyBorder="1"/>
    <xf numFmtId="168" fontId="0" fillId="14" borderId="9" xfId="0" applyNumberFormat="1" applyFont="1" applyFill="1" applyBorder="1"/>
    <xf numFmtId="169" fontId="0" fillId="14" borderId="9" xfId="0" applyNumberFormat="1" applyFont="1" applyFill="1" applyBorder="1"/>
    <xf numFmtId="10" fontId="3" fillId="14" borderId="9" xfId="1" applyNumberFormat="1" applyFont="1" applyFill="1" applyBorder="1"/>
    <xf numFmtId="0" fontId="0" fillId="16" borderId="9" xfId="0" applyFont="1" applyFill="1" applyBorder="1"/>
    <xf numFmtId="166" fontId="0" fillId="22" borderId="20" xfId="0" applyNumberFormat="1" applyFill="1" applyBorder="1" applyAlignment="1">
      <alignment horizontal="center" vertical="center"/>
    </xf>
    <xf numFmtId="166" fontId="0" fillId="22" borderId="9" xfId="0" applyNumberFormat="1" applyFill="1" applyBorder="1" applyAlignment="1">
      <alignment horizontal="center" vertical="center"/>
    </xf>
    <xf numFmtId="166" fontId="0" fillId="5" borderId="20" xfId="0" applyNumberFormat="1" applyFill="1" applyBorder="1" applyAlignment="1">
      <alignment horizontal="center" vertical="center"/>
    </xf>
    <xf numFmtId="166" fontId="0" fillId="5" borderId="9" xfId="0" applyNumberFormat="1" applyFill="1" applyBorder="1" applyAlignment="1">
      <alignment horizontal="center" vertical="center"/>
    </xf>
    <xf numFmtId="0" fontId="0" fillId="23" borderId="20" xfId="0" applyFill="1" applyBorder="1" applyAlignment="1">
      <alignment horizontal="center" vertical="center"/>
    </xf>
    <xf numFmtId="166" fontId="0" fillId="23" borderId="9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4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2" borderId="1" xfId="0" applyFill="1" applyBorder="1"/>
    <xf numFmtId="0" fontId="0" fillId="7" borderId="1" xfId="0" applyFill="1" applyBorder="1" applyAlignment="1">
      <alignment horizontal="center"/>
    </xf>
    <xf numFmtId="0" fontId="0" fillId="21" borderId="1" xfId="0" applyFill="1" applyBorder="1"/>
    <xf numFmtId="0" fontId="0" fillId="25" borderId="1" xfId="0" applyFill="1" applyBorder="1"/>
    <xf numFmtId="0" fontId="0" fillId="26" borderId="1" xfId="0" applyFill="1" applyBorder="1"/>
    <xf numFmtId="0" fontId="0" fillId="24" borderId="1" xfId="0" applyFill="1" applyBorder="1"/>
    <xf numFmtId="0" fontId="0" fillId="27" borderId="1" xfId="0" applyFill="1" applyBorder="1"/>
    <xf numFmtId="10" fontId="0" fillId="0" borderId="1" xfId="1" applyNumberFormat="1" applyFont="1" applyBorder="1"/>
    <xf numFmtId="177" fontId="0" fillId="7" borderId="1" xfId="0" applyNumberFormat="1" applyFill="1" applyBorder="1"/>
    <xf numFmtId="164" fontId="0" fillId="25" borderId="1" xfId="0" applyNumberFormat="1" applyFill="1" applyBorder="1"/>
    <xf numFmtId="168" fontId="0" fillId="21" borderId="1" xfId="1" applyNumberFormat="1" applyFont="1" applyFill="1" applyBorder="1"/>
    <xf numFmtId="177" fontId="0" fillId="24" borderId="1" xfId="0" applyNumberFormat="1" applyFill="1" applyBorder="1"/>
    <xf numFmtId="0" fontId="6" fillId="0" borderId="0" xfId="0" applyFont="1" applyFill="1" applyAlignment="1"/>
    <xf numFmtId="0" fontId="0" fillId="0" borderId="0" xfId="0" applyFont="1" applyFill="1"/>
    <xf numFmtId="0" fontId="1" fillId="0" borderId="1" xfId="0" applyFont="1" applyFill="1" applyBorder="1" applyAlignment="1">
      <alignment horizontal="right"/>
    </xf>
    <xf numFmtId="176" fontId="0" fillId="0" borderId="0" xfId="0" applyNumberFormat="1" applyFont="1" applyFill="1"/>
    <xf numFmtId="168" fontId="1" fillId="0" borderId="1" xfId="0" applyNumberFormat="1" applyFont="1" applyFill="1" applyBorder="1"/>
    <xf numFmtId="0" fontId="1" fillId="11" borderId="42" xfId="0" applyFont="1" applyFill="1" applyBorder="1" applyAlignment="1">
      <alignment horizontal="center" vertical="center"/>
    </xf>
    <xf numFmtId="0" fontId="1" fillId="11" borderId="34" xfId="0" applyFont="1" applyFill="1" applyBorder="1" applyAlignment="1">
      <alignment horizontal="center" vertical="center"/>
    </xf>
    <xf numFmtId="0" fontId="1" fillId="11" borderId="33" xfId="0" applyFont="1" applyFill="1" applyBorder="1" applyAlignment="1">
      <alignment horizontal="center" vertical="center"/>
    </xf>
    <xf numFmtId="0" fontId="1" fillId="11" borderId="43" xfId="0" applyFont="1" applyFill="1" applyBorder="1" applyAlignment="1">
      <alignment horizontal="center" vertical="center"/>
    </xf>
    <xf numFmtId="0" fontId="14" fillId="0" borderId="0" xfId="0" applyFont="1" applyFill="1" applyAlignment="1"/>
    <xf numFmtId="0" fontId="10" fillId="0" borderId="0" xfId="0" applyFont="1" applyFill="1" applyAlignment="1"/>
    <xf numFmtId="0" fontId="0" fillId="10" borderId="5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0" fillId="10" borderId="28" xfId="0" applyFont="1" applyFill="1" applyBorder="1" applyAlignment="1">
      <alignment horizontal="center" vertical="center"/>
    </xf>
    <xf numFmtId="0" fontId="1" fillId="28" borderId="7" xfId="0" applyFont="1" applyFill="1" applyBorder="1" applyAlignment="1">
      <alignment horizontal="center" vertical="center"/>
    </xf>
    <xf numFmtId="0" fontId="1" fillId="28" borderId="10" xfId="0" applyFont="1" applyFill="1" applyBorder="1" applyAlignment="1">
      <alignment horizontal="center" vertical="center"/>
    </xf>
    <xf numFmtId="10" fontId="1" fillId="28" borderId="10" xfId="0" applyNumberFormat="1" applyFont="1" applyFill="1" applyBorder="1" applyAlignment="1">
      <alignment horizontal="center" vertical="center"/>
    </xf>
    <xf numFmtId="0" fontId="1" fillId="28" borderId="45" xfId="0" applyFont="1" applyFill="1" applyBorder="1" applyAlignment="1">
      <alignment horizontal="center" vertical="center"/>
    </xf>
    <xf numFmtId="0" fontId="1" fillId="16" borderId="7" xfId="0" applyFont="1" applyFill="1" applyBorder="1" applyAlignment="1">
      <alignment horizontal="center" vertical="center"/>
    </xf>
    <xf numFmtId="0" fontId="1" fillId="16" borderId="10" xfId="0" applyFont="1" applyFill="1" applyBorder="1" applyAlignment="1">
      <alignment horizontal="center" vertical="center"/>
    </xf>
    <xf numFmtId="10" fontId="1" fillId="16" borderId="10" xfId="0" applyNumberFormat="1" applyFont="1" applyFill="1" applyBorder="1" applyAlignment="1">
      <alignment horizontal="center" vertical="center"/>
    </xf>
    <xf numFmtId="0" fontId="0" fillId="16" borderId="10" xfId="0" applyFont="1" applyFill="1" applyBorder="1" applyAlignment="1">
      <alignment horizontal="center" vertical="center"/>
    </xf>
    <xf numFmtId="0" fontId="0" fillId="16" borderId="45" xfId="0" applyFont="1" applyFill="1" applyBorder="1" applyAlignment="1">
      <alignment horizontal="center" vertical="center"/>
    </xf>
    <xf numFmtId="0" fontId="1" fillId="16" borderId="45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 vertical="center"/>
    </xf>
    <xf numFmtId="0" fontId="1" fillId="15" borderId="9" xfId="0" applyFont="1" applyFill="1" applyBorder="1" applyAlignment="1">
      <alignment horizontal="center" vertical="center"/>
    </xf>
    <xf numFmtId="0" fontId="0" fillId="15" borderId="9" xfId="0" applyFont="1" applyFill="1" applyBorder="1" applyAlignment="1">
      <alignment horizontal="center" vertical="center"/>
    </xf>
    <xf numFmtId="176" fontId="0" fillId="15" borderId="9" xfId="0" applyNumberFormat="1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176" fontId="1" fillId="15" borderId="6" xfId="0" applyNumberFormat="1" applyFont="1" applyFill="1" applyBorder="1" applyAlignment="1">
      <alignment horizontal="center" vertical="center"/>
    </xf>
    <xf numFmtId="176" fontId="1" fillId="15" borderId="9" xfId="0" applyNumberFormat="1" applyFont="1" applyFill="1" applyBorder="1" applyAlignment="1">
      <alignment horizontal="center" vertical="center"/>
    </xf>
    <xf numFmtId="168" fontId="1" fillId="15" borderId="9" xfId="0" applyNumberFormat="1" applyFont="1" applyFill="1" applyBorder="1" applyAlignment="1">
      <alignment horizontal="center" vertical="center"/>
    </xf>
    <xf numFmtId="166" fontId="1" fillId="15" borderId="9" xfId="0" applyNumberFormat="1" applyFont="1" applyFill="1" applyBorder="1" applyAlignment="1">
      <alignment horizontal="center" vertical="center"/>
    </xf>
    <xf numFmtId="168" fontId="1" fillId="15" borderId="29" xfId="0" applyNumberFormat="1" applyFont="1" applyFill="1" applyBorder="1" applyAlignment="1">
      <alignment horizontal="center" vertical="center"/>
    </xf>
    <xf numFmtId="0" fontId="0" fillId="29" borderId="21" xfId="0" applyFont="1" applyFill="1" applyBorder="1" applyAlignment="1">
      <alignment horizontal="center" vertical="center"/>
    </xf>
    <xf numFmtId="0" fontId="0" fillId="29" borderId="16" xfId="0" applyFont="1" applyFill="1" applyBorder="1" applyAlignment="1">
      <alignment horizontal="center" vertical="center"/>
    </xf>
    <xf numFmtId="0" fontId="0" fillId="29" borderId="17" xfId="0" applyFont="1" applyFill="1" applyBorder="1" applyAlignment="1">
      <alignment horizontal="center" vertical="center"/>
    </xf>
    <xf numFmtId="0" fontId="0" fillId="29" borderId="15" xfId="0" applyFont="1" applyFill="1" applyBorder="1" applyAlignment="1">
      <alignment horizontal="center" vertical="center"/>
    </xf>
    <xf numFmtId="168" fontId="0" fillId="29" borderId="16" xfId="0" applyNumberFormat="1" applyFont="1" applyFill="1" applyBorder="1" applyAlignment="1">
      <alignment horizontal="center" vertical="center"/>
    </xf>
    <xf numFmtId="176" fontId="0" fillId="29" borderId="16" xfId="0" applyNumberFormat="1" applyFont="1" applyFill="1" applyBorder="1" applyAlignment="1">
      <alignment horizontal="center" vertical="center"/>
    </xf>
    <xf numFmtId="0" fontId="0" fillId="29" borderId="30" xfId="0" applyFont="1" applyFill="1" applyBorder="1" applyAlignment="1">
      <alignment horizontal="center" vertical="center"/>
    </xf>
    <xf numFmtId="176" fontId="0" fillId="29" borderId="17" xfId="0" applyNumberFormat="1" applyFont="1" applyFill="1" applyBorder="1" applyAlignment="1">
      <alignment horizontal="center" vertical="center"/>
    </xf>
    <xf numFmtId="168" fontId="1" fillId="29" borderId="16" xfId="0" applyNumberFormat="1" applyFont="1" applyFill="1" applyBorder="1" applyAlignment="1">
      <alignment horizontal="center" vertical="center"/>
    </xf>
    <xf numFmtId="168" fontId="1" fillId="29" borderId="17" xfId="0" applyNumberFormat="1" applyFont="1" applyFill="1" applyBorder="1" applyAlignment="1">
      <alignment horizontal="center" vertical="center"/>
    </xf>
    <xf numFmtId="0" fontId="0" fillId="5" borderId="21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168" fontId="0" fillId="5" borderId="16" xfId="0" applyNumberFormat="1" applyFont="1" applyFill="1" applyBorder="1" applyAlignment="1">
      <alignment horizontal="center" vertical="center"/>
    </xf>
    <xf numFmtId="176" fontId="0" fillId="5" borderId="16" xfId="0" applyNumberFormat="1" applyFont="1" applyFill="1" applyBorder="1" applyAlignment="1">
      <alignment horizontal="center" vertical="center"/>
    </xf>
    <xf numFmtId="0" fontId="0" fillId="5" borderId="30" xfId="0" applyFont="1" applyFill="1" applyBorder="1" applyAlignment="1">
      <alignment horizontal="center" vertical="center"/>
    </xf>
    <xf numFmtId="176" fontId="0" fillId="5" borderId="17" xfId="0" applyNumberFormat="1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168" fontId="1" fillId="5" borderId="16" xfId="0" applyNumberFormat="1" applyFont="1" applyFill="1" applyBorder="1" applyAlignment="1">
      <alignment horizontal="center" vertical="center"/>
    </xf>
    <xf numFmtId="168" fontId="1" fillId="5" borderId="17" xfId="0" applyNumberFormat="1" applyFont="1" applyFill="1" applyBorder="1" applyAlignment="1">
      <alignment horizontal="center" vertical="center"/>
    </xf>
    <xf numFmtId="0" fontId="0" fillId="21" borderId="20" xfId="0" applyFont="1" applyFill="1" applyBorder="1" applyAlignment="1">
      <alignment horizontal="center" vertical="center"/>
    </xf>
    <xf numFmtId="0" fontId="0" fillId="21" borderId="9" xfId="0" applyFont="1" applyFill="1" applyBorder="1" applyAlignment="1">
      <alignment horizontal="center" vertical="center"/>
    </xf>
    <xf numFmtId="0" fontId="0" fillId="21" borderId="12" xfId="0" applyFont="1" applyFill="1" applyBorder="1" applyAlignment="1">
      <alignment horizontal="center" vertical="center"/>
    </xf>
    <xf numFmtId="0" fontId="0" fillId="21" borderId="6" xfId="0" applyFont="1" applyFill="1" applyBorder="1" applyAlignment="1">
      <alignment horizontal="center" vertical="center"/>
    </xf>
    <xf numFmtId="176" fontId="0" fillId="21" borderId="9" xfId="0" applyNumberFormat="1" applyFont="1" applyFill="1" applyBorder="1" applyAlignment="1">
      <alignment horizontal="center" vertical="center"/>
    </xf>
    <xf numFmtId="0" fontId="0" fillId="21" borderId="29" xfId="0" applyFont="1" applyFill="1" applyBorder="1" applyAlignment="1">
      <alignment horizontal="center" vertical="center"/>
    </xf>
    <xf numFmtId="176" fontId="0" fillId="21" borderId="12" xfId="0" applyNumberFormat="1" applyFont="1" applyFill="1" applyBorder="1" applyAlignment="1">
      <alignment horizontal="center" vertical="center"/>
    </xf>
    <xf numFmtId="176" fontId="0" fillId="21" borderId="6" xfId="0" applyNumberFormat="1" applyFont="1" applyFill="1" applyBorder="1" applyAlignment="1">
      <alignment horizontal="center" vertical="center"/>
    </xf>
    <xf numFmtId="168" fontId="0" fillId="21" borderId="9" xfId="0" applyNumberFormat="1" applyFont="1" applyFill="1" applyBorder="1" applyAlignment="1">
      <alignment horizontal="center" vertical="center"/>
    </xf>
    <xf numFmtId="168" fontId="0" fillId="21" borderId="29" xfId="0" applyNumberFormat="1" applyFont="1" applyFill="1" applyBorder="1" applyAlignment="1">
      <alignment horizontal="center" vertical="center"/>
    </xf>
    <xf numFmtId="0" fontId="1" fillId="21" borderId="20" xfId="0" applyFont="1" applyFill="1" applyBorder="1" applyAlignment="1">
      <alignment horizontal="center" vertical="center"/>
    </xf>
    <xf numFmtId="168" fontId="1" fillId="21" borderId="9" xfId="0" applyNumberFormat="1" applyFont="1" applyFill="1" applyBorder="1" applyAlignment="1">
      <alignment horizontal="center" vertical="center"/>
    </xf>
    <xf numFmtId="168" fontId="1" fillId="21" borderId="12" xfId="0" applyNumberFormat="1" applyFont="1" applyFill="1" applyBorder="1" applyAlignment="1">
      <alignment horizontal="center" vertical="center"/>
    </xf>
    <xf numFmtId="0" fontId="0" fillId="10" borderId="21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5" xfId="0" applyFont="1" applyFill="1" applyBorder="1" applyAlignment="1">
      <alignment horizontal="center" vertical="center"/>
    </xf>
    <xf numFmtId="0" fontId="0" fillId="10" borderId="30" xfId="0" applyFont="1" applyFill="1" applyBorder="1" applyAlignment="1">
      <alignment horizontal="center" vertical="center"/>
    </xf>
    <xf numFmtId="0" fontId="1" fillId="10" borderId="21" xfId="0" applyFont="1" applyFill="1" applyBorder="1" applyAlignment="1">
      <alignment horizontal="center" vertical="center"/>
    </xf>
    <xf numFmtId="0" fontId="1" fillId="10" borderId="16" xfId="0" applyFont="1" applyFill="1" applyBorder="1" applyAlignment="1">
      <alignment horizontal="center" vertical="center"/>
    </xf>
    <xf numFmtId="0" fontId="1" fillId="10" borderId="17" xfId="0" applyFont="1" applyFill="1" applyBorder="1" applyAlignment="1">
      <alignment horizontal="center" vertical="center"/>
    </xf>
    <xf numFmtId="0" fontId="0" fillId="14" borderId="20" xfId="0" applyFont="1" applyFill="1" applyBorder="1" applyAlignment="1">
      <alignment horizontal="center" vertical="center"/>
    </xf>
    <xf numFmtId="0" fontId="0" fillId="14" borderId="9" xfId="0" applyFont="1" applyFill="1" applyBorder="1" applyAlignment="1">
      <alignment horizontal="center" vertical="center"/>
    </xf>
    <xf numFmtId="0" fontId="0" fillId="14" borderId="12" xfId="0" applyFont="1" applyFill="1" applyBorder="1" applyAlignment="1">
      <alignment horizontal="center" vertical="center"/>
    </xf>
    <xf numFmtId="0" fontId="0" fillId="14" borderId="6" xfId="0" applyFont="1" applyFill="1" applyBorder="1" applyAlignment="1">
      <alignment horizontal="center" vertical="center"/>
    </xf>
    <xf numFmtId="168" fontId="0" fillId="14" borderId="9" xfId="0" applyNumberFormat="1" applyFont="1" applyFill="1" applyBorder="1" applyAlignment="1">
      <alignment horizontal="center" vertical="center"/>
    </xf>
    <xf numFmtId="176" fontId="0" fillId="14" borderId="9" xfId="0" applyNumberFormat="1" applyFont="1" applyFill="1" applyBorder="1" applyAlignment="1">
      <alignment horizontal="center" vertical="center"/>
    </xf>
    <xf numFmtId="0" fontId="0" fillId="14" borderId="29" xfId="0" applyFont="1" applyFill="1" applyBorder="1" applyAlignment="1">
      <alignment horizontal="center" vertical="center"/>
    </xf>
    <xf numFmtId="168" fontId="0" fillId="14" borderId="20" xfId="0" applyNumberFormat="1" applyFont="1" applyFill="1" applyBorder="1" applyAlignment="1">
      <alignment horizontal="center" vertical="center"/>
    </xf>
    <xf numFmtId="168" fontId="0" fillId="14" borderId="12" xfId="0" applyNumberFormat="1" applyFont="1" applyFill="1" applyBorder="1" applyAlignment="1">
      <alignment horizontal="center" vertical="center"/>
    </xf>
    <xf numFmtId="176" fontId="0" fillId="14" borderId="6" xfId="0" applyNumberFormat="1" applyFont="1" applyFill="1" applyBorder="1" applyAlignment="1">
      <alignment horizontal="center" vertical="center"/>
    </xf>
    <xf numFmtId="168" fontId="1" fillId="14" borderId="20" xfId="0" applyNumberFormat="1" applyFont="1" applyFill="1" applyBorder="1" applyAlignment="1">
      <alignment horizontal="center" vertical="center"/>
    </xf>
    <xf numFmtId="168" fontId="1" fillId="14" borderId="9" xfId="0" applyNumberFormat="1" applyFont="1" applyFill="1" applyBorder="1" applyAlignment="1">
      <alignment horizontal="center" vertical="center"/>
    </xf>
    <xf numFmtId="168" fontId="1" fillId="14" borderId="12" xfId="0" applyNumberFormat="1" applyFont="1" applyFill="1" applyBorder="1" applyAlignment="1">
      <alignment horizontal="center" vertical="center"/>
    </xf>
    <xf numFmtId="168" fontId="0" fillId="29" borderId="21" xfId="0" applyNumberFormat="1" applyFont="1" applyFill="1" applyBorder="1" applyAlignment="1">
      <alignment horizontal="center" vertical="center"/>
    </xf>
    <xf numFmtId="168" fontId="0" fillId="29" borderId="17" xfId="0" applyNumberFormat="1" applyFont="1" applyFill="1" applyBorder="1" applyAlignment="1">
      <alignment horizontal="center" vertical="center"/>
    </xf>
    <xf numFmtId="168" fontId="1" fillId="29" borderId="21" xfId="0" applyNumberFormat="1" applyFont="1" applyFill="1" applyBorder="1" applyAlignment="1">
      <alignment horizontal="center" vertical="center"/>
    </xf>
    <xf numFmtId="0" fontId="0" fillId="18" borderId="20" xfId="0" applyFont="1" applyFill="1" applyBorder="1" applyAlignment="1">
      <alignment horizontal="center" vertical="center"/>
    </xf>
    <xf numFmtId="0" fontId="0" fillId="18" borderId="9" xfId="0" applyFont="1" applyFill="1" applyBorder="1" applyAlignment="1">
      <alignment horizontal="center" vertical="center"/>
    </xf>
    <xf numFmtId="0" fontId="0" fillId="18" borderId="12" xfId="0" applyFont="1" applyFill="1" applyBorder="1" applyAlignment="1">
      <alignment horizontal="center" vertical="center"/>
    </xf>
    <xf numFmtId="0" fontId="0" fillId="18" borderId="6" xfId="0" applyFont="1" applyFill="1" applyBorder="1" applyAlignment="1">
      <alignment horizontal="center" vertical="center"/>
    </xf>
    <xf numFmtId="0" fontId="0" fillId="18" borderId="29" xfId="0" applyFont="1" applyFill="1" applyBorder="1" applyAlignment="1">
      <alignment horizontal="center" vertical="center"/>
    </xf>
    <xf numFmtId="0" fontId="1" fillId="18" borderId="20" xfId="0" applyFont="1" applyFill="1" applyBorder="1" applyAlignment="1">
      <alignment horizontal="center" vertical="center"/>
    </xf>
    <xf numFmtId="0" fontId="1" fillId="18" borderId="9" xfId="0" applyFont="1" applyFill="1" applyBorder="1" applyAlignment="1">
      <alignment horizontal="center" vertical="center"/>
    </xf>
    <xf numFmtId="0" fontId="1" fillId="18" borderId="1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168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1" fontId="0" fillId="0" borderId="1" xfId="0" applyNumberFormat="1" applyFont="1" applyFill="1" applyBorder="1" applyAlignment="1">
      <alignment horizontal="center"/>
    </xf>
    <xf numFmtId="0" fontId="16" fillId="0" borderId="0" xfId="0" applyFont="1" applyFill="1" applyAlignment="1"/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NumberFormat="1" applyFont="1" applyFill="1"/>
    <xf numFmtId="0" fontId="1" fillId="0" borderId="1" xfId="0" applyFont="1" applyFill="1" applyBorder="1" applyAlignment="1"/>
    <xf numFmtId="0" fontId="1" fillId="24" borderId="1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right"/>
    </xf>
    <xf numFmtId="0" fontId="1" fillId="4" borderId="1" xfId="0" quotePrefix="1" applyFont="1" applyFill="1" applyBorder="1" applyAlignment="1">
      <alignment horizontal="right"/>
    </xf>
    <xf numFmtId="0" fontId="1" fillId="0" borderId="6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10" fontId="0" fillId="0" borderId="0" xfId="1" applyNumberFormat="1" applyFont="1" applyFill="1"/>
    <xf numFmtId="167" fontId="0" fillId="0" borderId="0" xfId="1" applyNumberFormat="1" applyFont="1" applyFill="1"/>
    <xf numFmtId="0" fontId="0" fillId="0" borderId="6" xfId="0" applyFont="1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10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" fillId="16" borderId="3" xfId="0" applyFont="1" applyFill="1" applyBorder="1" applyAlignment="1">
      <alignment horizontal="center"/>
    </xf>
    <xf numFmtId="0" fontId="1" fillId="29" borderId="5" xfId="0" applyFont="1" applyFill="1" applyBorder="1" applyAlignment="1">
      <alignment horizontal="center" vertical="center"/>
    </xf>
    <xf numFmtId="176" fontId="0" fillId="29" borderId="6" xfId="0" applyNumberFormat="1" applyFont="1" applyFill="1" applyBorder="1" applyAlignment="1">
      <alignment horizontal="center" vertical="center"/>
    </xf>
    <xf numFmtId="176" fontId="0" fillId="29" borderId="15" xfId="0" applyNumberFormat="1" applyFont="1" applyFill="1" applyBorder="1" applyAlignment="1">
      <alignment horizontal="center" vertical="center"/>
    </xf>
    <xf numFmtId="176" fontId="1" fillId="29" borderId="15" xfId="0" applyNumberFormat="1" applyFont="1" applyFill="1" applyBorder="1" applyAlignment="1">
      <alignment horizontal="center" vertical="center"/>
    </xf>
    <xf numFmtId="176" fontId="0" fillId="29" borderId="5" xfId="0" applyNumberFormat="1" applyFont="1" applyFill="1" applyBorder="1" applyAlignment="1">
      <alignment horizontal="center" vertical="center"/>
    </xf>
    <xf numFmtId="0" fontId="0" fillId="29" borderId="6" xfId="0" applyFont="1" applyFill="1" applyBorder="1" applyAlignment="1">
      <alignment horizontal="center"/>
    </xf>
    <xf numFmtId="0" fontId="1" fillId="29" borderId="8" xfId="0" applyFont="1" applyFill="1" applyBorder="1" applyAlignment="1">
      <alignment horizontal="center" vertical="center"/>
    </xf>
    <xf numFmtId="176" fontId="0" fillId="29" borderId="9" xfId="0" applyNumberFormat="1" applyFont="1" applyFill="1" applyBorder="1" applyAlignment="1">
      <alignment horizontal="center" vertical="center"/>
    </xf>
    <xf numFmtId="176" fontId="1" fillId="29" borderId="16" xfId="0" applyNumberFormat="1" applyFont="1" applyFill="1" applyBorder="1" applyAlignment="1">
      <alignment horizontal="center" vertical="center"/>
    </xf>
    <xf numFmtId="176" fontId="0" fillId="29" borderId="8" xfId="0" applyNumberFormat="1" applyFont="1" applyFill="1" applyBorder="1" applyAlignment="1">
      <alignment horizontal="center" vertical="center"/>
    </xf>
    <xf numFmtId="0" fontId="0" fillId="29" borderId="9" xfId="0" applyFont="1" applyFill="1" applyBorder="1" applyAlignment="1">
      <alignment horizontal="center"/>
    </xf>
    <xf numFmtId="176" fontId="0" fillId="29" borderId="8" xfId="1" applyNumberFormat="1" applyFont="1" applyFill="1" applyBorder="1" applyAlignment="1">
      <alignment horizontal="center" vertical="center"/>
    </xf>
    <xf numFmtId="0" fontId="1" fillId="29" borderId="28" xfId="0" applyFont="1" applyFill="1" applyBorder="1" applyAlignment="1">
      <alignment horizontal="center" vertical="center"/>
    </xf>
    <xf numFmtId="176" fontId="0" fillId="29" borderId="29" xfId="0" applyNumberFormat="1" applyFont="1" applyFill="1" applyBorder="1" applyAlignment="1">
      <alignment horizontal="center" vertical="center"/>
    </xf>
    <xf numFmtId="176" fontId="0" fillId="29" borderId="30" xfId="0" applyNumberFormat="1" applyFont="1" applyFill="1" applyBorder="1" applyAlignment="1">
      <alignment horizontal="center" vertical="center"/>
    </xf>
    <xf numFmtId="176" fontId="1" fillId="29" borderId="30" xfId="0" applyNumberFormat="1" applyFont="1" applyFill="1" applyBorder="1" applyAlignment="1">
      <alignment horizontal="center" vertical="center"/>
    </xf>
    <xf numFmtId="176" fontId="0" fillId="29" borderId="28" xfId="1" applyNumberFormat="1" applyFont="1" applyFill="1" applyBorder="1" applyAlignment="1">
      <alignment horizontal="center" vertical="center"/>
    </xf>
    <xf numFmtId="0" fontId="0" fillId="29" borderId="29" xfId="0" applyFont="1" applyFill="1" applyBorder="1" applyAlignment="1">
      <alignment horizontal="center"/>
    </xf>
    <xf numFmtId="176" fontId="0" fillId="29" borderId="5" xfId="1" applyNumberFormat="1" applyFont="1" applyFill="1" applyBorder="1" applyAlignment="1">
      <alignment horizontal="center" vertical="center"/>
    </xf>
    <xf numFmtId="0" fontId="1" fillId="29" borderId="6" xfId="0" applyFont="1" applyFill="1" applyBorder="1" applyAlignment="1">
      <alignment horizontal="center"/>
    </xf>
    <xf numFmtId="0" fontId="1" fillId="29" borderId="11" xfId="0" applyFont="1" applyFill="1" applyBorder="1" applyAlignment="1">
      <alignment horizontal="center" vertical="center"/>
    </xf>
    <xf numFmtId="176" fontId="0" fillId="29" borderId="12" xfId="0" applyNumberFormat="1" applyFont="1" applyFill="1" applyBorder="1" applyAlignment="1">
      <alignment horizontal="center" vertical="center"/>
    </xf>
    <xf numFmtId="176" fontId="1" fillId="29" borderId="17" xfId="0" applyNumberFormat="1" applyFont="1" applyFill="1" applyBorder="1" applyAlignment="1">
      <alignment horizontal="center" vertical="center"/>
    </xf>
    <xf numFmtId="176" fontId="0" fillId="29" borderId="11" xfId="1" applyNumberFormat="1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center"/>
    </xf>
    <xf numFmtId="176" fontId="1" fillId="4" borderId="3" xfId="0" applyNumberFormat="1" applyFont="1" applyFill="1" applyBorder="1" applyAlignment="1">
      <alignment horizontal="center" vertical="center"/>
    </xf>
    <xf numFmtId="176" fontId="1" fillId="4" borderId="14" xfId="0" applyNumberFormat="1" applyFont="1" applyFill="1" applyBorder="1" applyAlignment="1">
      <alignment horizontal="center" vertical="center"/>
    </xf>
    <xf numFmtId="176" fontId="1" fillId="4" borderId="2" xfId="1" applyNumberFormat="1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0" fillId="22" borderId="47" xfId="0" applyFill="1" applyBorder="1"/>
    <xf numFmtId="0" fontId="0" fillId="22" borderId="34" xfId="0" applyFill="1" applyBorder="1"/>
    <xf numFmtId="0" fontId="0" fillId="22" borderId="48" xfId="0" applyFill="1" applyBorder="1"/>
    <xf numFmtId="0" fontId="0" fillId="22" borderId="36" xfId="0" applyFill="1" applyBorder="1"/>
    <xf numFmtId="0" fontId="1" fillId="22" borderId="2" xfId="0" applyFont="1" applyFill="1" applyBorder="1"/>
    <xf numFmtId="0" fontId="0" fillId="22" borderId="4" xfId="0" applyFill="1" applyBorder="1"/>
    <xf numFmtId="0" fontId="1" fillId="22" borderId="4" xfId="0" applyFont="1" applyFill="1" applyBorder="1"/>
    <xf numFmtId="2" fontId="0" fillId="0" borderId="0" xfId="0" applyNumberFormat="1"/>
    <xf numFmtId="0" fontId="0" fillId="30" borderId="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23" borderId="1" xfId="0" applyFill="1" applyBorder="1"/>
    <xf numFmtId="0" fontId="0" fillId="4" borderId="49" xfId="0" applyFill="1" applyBorder="1"/>
    <xf numFmtId="2" fontId="0" fillId="4" borderId="0" xfId="0" applyNumberFormat="1" applyFill="1" applyBorder="1"/>
    <xf numFmtId="2" fontId="0" fillId="4" borderId="50" xfId="0" applyNumberFormat="1" applyFill="1" applyBorder="1"/>
    <xf numFmtId="0" fontId="0" fillId="4" borderId="0" xfId="0" applyFill="1" applyBorder="1"/>
    <xf numFmtId="0" fontId="0" fillId="4" borderId="50" xfId="0" applyFill="1" applyBorder="1"/>
    <xf numFmtId="0" fontId="0" fillId="4" borderId="51" xfId="0" applyFill="1" applyBorder="1"/>
    <xf numFmtId="0" fontId="0" fillId="0" borderId="0" xfId="0" applyFill="1"/>
    <xf numFmtId="0" fontId="0" fillId="9" borderId="1" xfId="0" applyFill="1" applyBorder="1"/>
    <xf numFmtId="0" fontId="0" fillId="31" borderId="1" xfId="0" applyFill="1" applyBorder="1"/>
    <xf numFmtId="0" fontId="0" fillId="15" borderId="1" xfId="0" applyFill="1" applyBorder="1"/>
    <xf numFmtId="0" fontId="0" fillId="32" borderId="1" xfId="0" applyFill="1" applyBorder="1"/>
    <xf numFmtId="0" fontId="0" fillId="33" borderId="1" xfId="0" applyFill="1" applyBorder="1"/>
    <xf numFmtId="164" fontId="0" fillId="9" borderId="1" xfId="0" applyNumberFormat="1" applyFill="1" applyBorder="1"/>
    <xf numFmtId="0" fontId="1" fillId="31" borderId="1" xfId="0" applyFont="1" applyFill="1" applyBorder="1" applyAlignment="1">
      <alignment horizontal="center"/>
    </xf>
    <xf numFmtId="0" fontId="1" fillId="14" borderId="1" xfId="0" applyFont="1" applyFill="1" applyBorder="1"/>
    <xf numFmtId="0" fontId="1" fillId="23" borderId="1" xfId="0" applyFont="1" applyFill="1" applyBorder="1"/>
    <xf numFmtId="0" fontId="1" fillId="9" borderId="1" xfId="0" applyFont="1" applyFill="1" applyBorder="1"/>
    <xf numFmtId="164" fontId="1" fillId="9" borderId="1" xfId="0" applyNumberFormat="1" applyFont="1" applyFill="1" applyBorder="1"/>
    <xf numFmtId="0" fontId="1" fillId="12" borderId="1" xfId="0" applyFont="1" applyFill="1" applyBorder="1"/>
    <xf numFmtId="0" fontId="0" fillId="0" borderId="49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34" borderId="0" xfId="0" applyFill="1" applyBorder="1"/>
    <xf numFmtId="0" fontId="0" fillId="34" borderId="50" xfId="0" applyFill="1" applyBorder="1"/>
    <xf numFmtId="0" fontId="0" fillId="9" borderId="51" xfId="0" applyFill="1" applyBorder="1" applyAlignment="1">
      <alignment horizontal="center"/>
    </xf>
    <xf numFmtId="0" fontId="0" fillId="0" borderId="26" xfId="0" applyBorder="1"/>
    <xf numFmtId="0" fontId="0" fillId="4" borderId="55" xfId="0" applyFill="1" applyBorder="1"/>
    <xf numFmtId="0" fontId="19" fillId="0" borderId="0" xfId="0" applyFont="1"/>
    <xf numFmtId="0" fontId="0" fillId="16" borderId="0" xfId="0" applyFill="1"/>
    <xf numFmtId="0" fontId="0" fillId="0" borderId="1" xfId="0" applyBorder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8" fontId="0" fillId="14" borderId="1" xfId="0" applyNumberFormat="1" applyFill="1" applyBorder="1" applyAlignment="1">
      <alignment horizontal="center"/>
    </xf>
    <xf numFmtId="168" fontId="0" fillId="0" borderId="1" xfId="0" applyNumberFormat="1" applyBorder="1"/>
    <xf numFmtId="0" fontId="0" fillId="16" borderId="52" xfId="0" applyFill="1" applyBorder="1" applyAlignment="1">
      <alignment horizontal="center"/>
    </xf>
    <xf numFmtId="168" fontId="0" fillId="14" borderId="52" xfId="0" applyNumberFormat="1" applyFill="1" applyBorder="1" applyAlignment="1">
      <alignment horizontal="center"/>
    </xf>
    <xf numFmtId="0" fontId="0" fillId="35" borderId="1" xfId="0" applyFill="1" applyBorder="1"/>
    <xf numFmtId="168" fontId="0" fillId="35" borderId="1" xfId="0" applyNumberFormat="1" applyFill="1" applyBorder="1" applyAlignment="1">
      <alignment horizontal="center"/>
    </xf>
    <xf numFmtId="168" fontId="0" fillId="35" borderId="52" xfId="0" applyNumberFormat="1" applyFill="1" applyBorder="1" applyAlignment="1">
      <alignment horizontal="center"/>
    </xf>
    <xf numFmtId="168" fontId="0" fillId="4" borderId="1" xfId="0" applyNumberFormat="1" applyFill="1" applyBorder="1" applyAlignment="1">
      <alignment horizontal="center"/>
    </xf>
    <xf numFmtId="168" fontId="0" fillId="4" borderId="1" xfId="0" applyNumberFormat="1" applyFill="1" applyBorder="1"/>
    <xf numFmtId="168" fontId="0" fillId="0" borderId="1" xfId="0" applyNumberFormat="1" applyFill="1" applyBorder="1" applyAlignment="1">
      <alignment horizontal="center"/>
    </xf>
    <xf numFmtId="168" fontId="0" fillId="0" borderId="1" xfId="0" applyNumberFormat="1" applyFill="1" applyBorder="1"/>
    <xf numFmtId="0" fontId="1" fillId="23" borderId="1" xfId="0" applyFont="1" applyFill="1" applyBorder="1" applyAlignment="1">
      <alignment horizontal="center"/>
    </xf>
    <xf numFmtId="168" fontId="1" fillId="23" borderId="1" xfId="0" applyNumberFormat="1" applyFont="1" applyFill="1" applyBorder="1" applyAlignment="1">
      <alignment horizontal="center"/>
    </xf>
    <xf numFmtId="168" fontId="1" fillId="23" borderId="1" xfId="0" applyNumberFormat="1" applyFont="1" applyFill="1" applyBorder="1"/>
    <xf numFmtId="168" fontId="1" fillId="23" borderId="52" xfId="0" applyNumberFormat="1" applyFont="1" applyFill="1" applyBorder="1" applyAlignment="1">
      <alignment horizontal="center"/>
    </xf>
    <xf numFmtId="168" fontId="1" fillId="35" borderId="1" xfId="0" applyNumberFormat="1" applyFont="1" applyFill="1" applyBorder="1" applyAlignment="1">
      <alignment horizontal="center"/>
    </xf>
    <xf numFmtId="168" fontId="0" fillId="22" borderId="1" xfId="0" applyNumberFormat="1" applyFill="1" applyBorder="1" applyAlignment="1">
      <alignment horizontal="center"/>
    </xf>
    <xf numFmtId="168" fontId="0" fillId="36" borderId="1" xfId="0" applyNumberFormat="1" applyFill="1" applyBorder="1" applyAlignment="1">
      <alignment horizontal="center"/>
    </xf>
    <xf numFmtId="168" fontId="0" fillId="7" borderId="1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/>
    <xf numFmtId="0" fontId="0" fillId="6" borderId="1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168" fontId="0" fillId="5" borderId="1" xfId="0" applyNumberForma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8" fontId="1" fillId="5" borderId="1" xfId="0" applyNumberFormat="1" applyFont="1" applyFill="1" applyBorder="1" applyAlignment="1">
      <alignment horizontal="center"/>
    </xf>
    <xf numFmtId="0" fontId="0" fillId="16" borderId="56" xfId="0" applyFill="1" applyBorder="1" applyAlignment="1">
      <alignment horizontal="center"/>
    </xf>
    <xf numFmtId="168" fontId="0" fillId="0" borderId="0" xfId="0" applyNumberFormat="1"/>
    <xf numFmtId="0" fontId="0" fillId="22" borderId="0" xfId="0" applyFill="1"/>
    <xf numFmtId="0" fontId="0" fillId="10" borderId="0" xfId="0" applyFill="1"/>
    <xf numFmtId="0" fontId="0" fillId="22" borderId="49" xfId="0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0" fillId="22" borderId="50" xfId="0" applyFill="1" applyBorder="1" applyAlignment="1">
      <alignment horizontal="center"/>
    </xf>
    <xf numFmtId="0" fontId="0" fillId="22" borderId="51" xfId="0" applyFill="1" applyBorder="1" applyAlignment="1">
      <alignment horizontal="center"/>
    </xf>
    <xf numFmtId="0" fontId="0" fillId="11" borderId="1" xfId="0" applyFill="1" applyBorder="1"/>
    <xf numFmtId="0" fontId="1" fillId="15" borderId="0" xfId="0" applyFont="1" applyFill="1"/>
    <xf numFmtId="0" fontId="0" fillId="15" borderId="0" xfId="0" applyFill="1"/>
    <xf numFmtId="2" fontId="0" fillId="22" borderId="51" xfId="0" applyNumberFormat="1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/>
    <xf numFmtId="0" fontId="9" fillId="4" borderId="0" xfId="0" applyFont="1" applyFill="1" applyBorder="1"/>
    <xf numFmtId="168" fontId="1" fillId="6" borderId="1" xfId="0" applyNumberFormat="1" applyFont="1" applyFill="1" applyBorder="1"/>
    <xf numFmtId="168" fontId="1" fillId="6" borderId="1" xfId="0" applyNumberFormat="1" applyFont="1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6" fontId="4" fillId="37" borderId="1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6" fontId="20" fillId="0" borderId="0" xfId="0" applyNumberFormat="1" applyFont="1" applyFill="1" applyBorder="1" applyAlignment="1">
      <alignment horizontal="center"/>
    </xf>
    <xf numFmtId="0" fontId="4" fillId="38" borderId="1" xfId="0" applyFont="1" applyFill="1" applyBorder="1" applyAlignment="1">
      <alignment horizontal="center"/>
    </xf>
    <xf numFmtId="0" fontId="4" fillId="39" borderId="1" xfId="0" applyFont="1" applyFill="1" applyBorder="1" applyAlignment="1">
      <alignment horizontal="center"/>
    </xf>
    <xf numFmtId="166" fontId="4" fillId="39" borderId="1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" fillId="31" borderId="0" xfId="0" applyFont="1" applyFill="1"/>
    <xf numFmtId="0" fontId="0" fillId="31" borderId="0" xfId="0" applyFill="1"/>
    <xf numFmtId="0" fontId="1" fillId="16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0" borderId="1" xfId="0" applyFill="1" applyBorder="1" applyAlignment="1">
      <alignment horizontal="center"/>
    </xf>
    <xf numFmtId="177" fontId="0" fillId="5" borderId="6" xfId="0" applyNumberFormat="1" applyFill="1" applyBorder="1" applyAlignment="1">
      <alignment horizontal="center" vertical="center"/>
    </xf>
    <xf numFmtId="177" fontId="0" fillId="5" borderId="9" xfId="0" applyNumberFormat="1" applyFill="1" applyBorder="1" applyAlignment="1">
      <alignment horizontal="center" vertical="center"/>
    </xf>
    <xf numFmtId="0" fontId="1" fillId="25" borderId="8" xfId="0" applyFont="1" applyFill="1" applyBorder="1" applyAlignment="1">
      <alignment horizontal="center" vertical="center"/>
    </xf>
    <xf numFmtId="177" fontId="0" fillId="25" borderId="9" xfId="0" applyNumberFormat="1" applyFill="1" applyBorder="1" applyAlignment="1">
      <alignment horizontal="center" vertical="center"/>
    </xf>
    <xf numFmtId="0" fontId="0" fillId="25" borderId="15" xfId="0" applyFill="1" applyBorder="1" applyAlignment="1">
      <alignment horizontal="center" vertical="center"/>
    </xf>
    <xf numFmtId="0" fontId="0" fillId="25" borderId="6" xfId="0" applyFill="1" applyBorder="1" applyAlignment="1">
      <alignment horizontal="center" vertical="center"/>
    </xf>
    <xf numFmtId="168" fontId="4" fillId="38" borderId="1" xfId="0" applyNumberFormat="1" applyFont="1" applyFill="1" applyBorder="1" applyAlignment="1">
      <alignment horizontal="center"/>
    </xf>
    <xf numFmtId="168" fontId="4" fillId="38" borderId="1" xfId="0" applyNumberFormat="1" applyFont="1" applyFill="1" applyBorder="1"/>
    <xf numFmtId="168" fontId="4" fillId="38" borderId="52" xfId="0" applyNumberFormat="1" applyFont="1" applyFill="1" applyBorder="1" applyAlignment="1">
      <alignment horizontal="center"/>
    </xf>
    <xf numFmtId="168" fontId="4" fillId="41" borderId="1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1" fillId="0" borderId="0" xfId="0" applyFont="1" applyFill="1" applyBorder="1"/>
    <xf numFmtId="0" fontId="1" fillId="16" borderId="0" xfId="0" applyFont="1" applyFill="1"/>
    <xf numFmtId="9" fontId="0" fillId="0" borderId="1" xfId="1" applyFont="1" applyBorder="1"/>
    <xf numFmtId="168" fontId="0" fillId="42" borderId="1" xfId="0" applyNumberFormat="1" applyFill="1" applyBorder="1" applyAlignment="1">
      <alignment horizontal="center"/>
    </xf>
    <xf numFmtId="168" fontId="0" fillId="42" borderId="1" xfId="0" applyNumberFormat="1" applyFill="1" applyBorder="1"/>
    <xf numFmtId="9" fontId="0" fillId="42" borderId="1" xfId="1" applyFont="1" applyFill="1" applyBorder="1"/>
    <xf numFmtId="168" fontId="0" fillId="16" borderId="0" xfId="0" applyNumberFormat="1" applyFill="1"/>
    <xf numFmtId="0" fontId="0" fillId="2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166" fontId="4" fillId="38" borderId="1" xfId="0" applyNumberFormat="1" applyFont="1" applyFill="1" applyBorder="1" applyAlignment="1">
      <alignment horizontal="center"/>
    </xf>
    <xf numFmtId="0" fontId="4" fillId="38" borderId="1" xfId="0" applyFont="1" applyFill="1" applyBorder="1"/>
    <xf numFmtId="9" fontId="4" fillId="38" borderId="1" xfId="1" applyFont="1" applyFill="1" applyBorder="1"/>
    <xf numFmtId="9" fontId="0" fillId="0" borderId="1" xfId="1" applyFont="1" applyBorder="1" applyAlignment="1">
      <alignment horizontal="center"/>
    </xf>
    <xf numFmtId="168" fontId="1" fillId="43" borderId="1" xfId="0" applyNumberFormat="1" applyFont="1" applyFill="1" applyBorder="1" applyAlignment="1">
      <alignment horizontal="center"/>
    </xf>
    <xf numFmtId="9" fontId="1" fillId="43" borderId="1" xfId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0" fillId="0" borderId="0" xfId="0" applyFont="1"/>
    <xf numFmtId="0" fontId="23" fillId="37" borderId="0" xfId="0" applyFont="1" applyFill="1"/>
    <xf numFmtId="0" fontId="19" fillId="37" borderId="0" xfId="0" applyFont="1" applyFill="1"/>
    <xf numFmtId="0" fontId="1" fillId="22" borderId="0" xfId="0" applyFont="1" applyFill="1"/>
    <xf numFmtId="168" fontId="1" fillId="0" borderId="1" xfId="0" applyNumberFormat="1" applyFont="1" applyBorder="1" applyAlignment="1">
      <alignment horizontal="center"/>
    </xf>
    <xf numFmtId="168" fontId="1" fillId="14" borderId="1" xfId="0" applyNumberFormat="1" applyFont="1" applyFill="1" applyBorder="1" applyAlignment="1">
      <alignment horizontal="center"/>
    </xf>
    <xf numFmtId="168" fontId="1" fillId="0" borderId="1" xfId="0" applyNumberFormat="1" applyFont="1" applyBorder="1"/>
    <xf numFmtId="168" fontId="1" fillId="14" borderId="52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7" xfId="0" applyBorder="1"/>
    <xf numFmtId="0" fontId="0" fillId="0" borderId="57" xfId="0" applyBorder="1" applyAlignment="1">
      <alignment horizontal="center" vertical="center"/>
    </xf>
    <xf numFmtId="0" fontId="0" fillId="0" borderId="58" xfId="0" applyBorder="1"/>
    <xf numFmtId="0" fontId="0" fillId="0" borderId="0" xfId="0" applyBorder="1" applyAlignment="1">
      <alignment horizontal="center" vertical="center"/>
    </xf>
    <xf numFmtId="0" fontId="0" fillId="0" borderId="59" xfId="0" applyBorder="1"/>
    <xf numFmtId="0" fontId="0" fillId="0" borderId="59" xfId="0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17" xfId="0" applyBorder="1"/>
    <xf numFmtId="0" fontId="1" fillId="9" borderId="57" xfId="0" applyFont="1" applyFill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2" fontId="1" fillId="0" borderId="40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40" xfId="0" applyFont="1" applyFill="1" applyBorder="1" applyAlignment="1">
      <alignment horizontal="center"/>
    </xf>
    <xf numFmtId="0" fontId="0" fillId="0" borderId="40" xfId="0" applyFont="1" applyBorder="1" applyAlignment="1">
      <alignment horizontal="center"/>
    </xf>
    <xf numFmtId="0" fontId="1" fillId="4" borderId="60" xfId="0" applyFont="1" applyFill="1" applyBorder="1" applyAlignment="1">
      <alignment horizontal="center"/>
    </xf>
    <xf numFmtId="0" fontId="25" fillId="38" borderId="0" xfId="0" applyFont="1" applyFill="1" applyBorder="1" applyAlignment="1">
      <alignment horizontal="center"/>
    </xf>
    <xf numFmtId="0" fontId="1" fillId="0" borderId="1" xfId="0" applyFont="1" applyBorder="1"/>
    <xf numFmtId="165" fontId="0" fillId="7" borderId="6" xfId="0" applyNumberFormat="1" applyFill="1" applyBorder="1" applyAlignment="1">
      <alignment horizontal="center" vertical="center"/>
    </xf>
    <xf numFmtId="165" fontId="0" fillId="7" borderId="9" xfId="0" applyNumberFormat="1" applyFill="1" applyBorder="1" applyAlignment="1">
      <alignment horizontal="center" vertical="center"/>
    </xf>
    <xf numFmtId="165" fontId="1" fillId="7" borderId="9" xfId="0" applyNumberFormat="1" applyFont="1" applyFill="1" applyBorder="1" applyAlignment="1">
      <alignment horizontal="center" vertical="center"/>
    </xf>
    <xf numFmtId="165" fontId="0" fillId="7" borderId="6" xfId="0" applyNumberFormat="1" applyFont="1" applyFill="1" applyBorder="1" applyAlignment="1">
      <alignment horizontal="center" vertical="center"/>
    </xf>
    <xf numFmtId="165" fontId="1" fillId="7" borderId="6" xfId="0" applyNumberFormat="1" applyFont="1" applyFill="1" applyBorder="1" applyAlignment="1">
      <alignment horizontal="center" vertical="center"/>
    </xf>
    <xf numFmtId="165" fontId="0" fillId="7" borderId="5" xfId="0" applyNumberFormat="1" applyFill="1" applyBorder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6" borderId="38" xfId="0" applyFont="1" applyFill="1" applyBorder="1" applyAlignment="1">
      <alignment horizontal="center"/>
    </xf>
    <xf numFmtId="0" fontId="0" fillId="16" borderId="23" xfId="0" applyFont="1" applyFill="1" applyBorder="1" applyAlignment="1">
      <alignment horizontal="center"/>
    </xf>
    <xf numFmtId="0" fontId="0" fillId="10" borderId="8" xfId="0" applyFont="1" applyFill="1" applyBorder="1" applyAlignment="1">
      <alignment horizontal="center" vertical="center"/>
    </xf>
    <xf numFmtId="10" fontId="1" fillId="15" borderId="9" xfId="1" applyNumberFormat="1" applyFont="1" applyFill="1" applyBorder="1" applyAlignment="1">
      <alignment horizontal="center" vertical="center"/>
    </xf>
    <xf numFmtId="10" fontId="1" fillId="16" borderId="10" xfId="1" applyNumberFormat="1" applyFont="1" applyFill="1" applyBorder="1" applyAlignment="1">
      <alignment horizontal="center" vertical="center"/>
    </xf>
    <xf numFmtId="10" fontId="1" fillId="28" borderId="10" xfId="1" applyNumberFormat="1" applyFont="1" applyFill="1" applyBorder="1" applyAlignment="1">
      <alignment horizontal="center" vertical="center"/>
    </xf>
    <xf numFmtId="0" fontId="1" fillId="10" borderId="19" xfId="0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1" fillId="10" borderId="11" xfId="0" applyFont="1" applyFill="1" applyBorder="1" applyAlignment="1">
      <alignment horizontal="center" vertical="center"/>
    </xf>
    <xf numFmtId="10" fontId="1" fillId="15" borderId="20" xfId="1" applyNumberFormat="1" applyFont="1" applyFill="1" applyBorder="1" applyAlignment="1">
      <alignment horizontal="center" vertical="center"/>
    </xf>
    <xf numFmtId="10" fontId="1" fillId="15" borderId="12" xfId="1" applyNumberFormat="1" applyFont="1" applyFill="1" applyBorder="1" applyAlignment="1">
      <alignment horizontal="center" vertical="center"/>
    </xf>
    <xf numFmtId="10" fontId="1" fillId="16" borderId="44" xfId="1" applyNumberFormat="1" applyFont="1" applyFill="1" applyBorder="1" applyAlignment="1">
      <alignment horizontal="center" vertical="center"/>
    </xf>
    <xf numFmtId="10" fontId="1" fillId="16" borderId="13" xfId="1" applyNumberFormat="1" applyFont="1" applyFill="1" applyBorder="1" applyAlignment="1">
      <alignment horizontal="center" vertical="center"/>
    </xf>
    <xf numFmtId="0" fontId="0" fillId="10" borderId="19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1" fillId="0" borderId="1" xfId="0" quotePrefix="1" applyFont="1" applyFill="1" applyBorder="1" applyAlignment="1">
      <alignment horizontal="left"/>
    </xf>
    <xf numFmtId="168" fontId="1" fillId="15" borderId="20" xfId="0" applyNumberFormat="1" applyFont="1" applyFill="1" applyBorder="1" applyAlignment="1">
      <alignment horizontal="center" vertical="center"/>
    </xf>
    <xf numFmtId="168" fontId="1" fillId="15" borderId="9" xfId="0" applyNumberFormat="1" applyFont="1" applyFill="1" applyBorder="1" applyAlignment="1">
      <alignment horizontal="center" vertical="center"/>
    </xf>
    <xf numFmtId="168" fontId="1" fillId="15" borderId="12" xfId="0" applyNumberFormat="1" applyFont="1" applyFill="1" applyBorder="1" applyAlignment="1">
      <alignment horizontal="center" vertical="center"/>
    </xf>
    <xf numFmtId="168" fontId="1" fillId="16" borderId="44" xfId="0" applyNumberFormat="1" applyFont="1" applyFill="1" applyBorder="1" applyAlignment="1">
      <alignment horizontal="center" vertical="center"/>
    </xf>
    <xf numFmtId="168" fontId="1" fillId="16" borderId="10" xfId="0" applyNumberFormat="1" applyFont="1" applyFill="1" applyBorder="1" applyAlignment="1">
      <alignment horizontal="center" vertical="center"/>
    </xf>
    <xf numFmtId="168" fontId="1" fillId="16" borderId="13" xfId="0" applyNumberFormat="1" applyFont="1" applyFill="1" applyBorder="1" applyAlignment="1">
      <alignment horizontal="center" vertical="center"/>
    </xf>
    <xf numFmtId="168" fontId="1" fillId="28" borderId="44" xfId="0" applyNumberFormat="1" applyFont="1" applyFill="1" applyBorder="1" applyAlignment="1">
      <alignment horizontal="center" vertical="center"/>
    </xf>
    <xf numFmtId="168" fontId="1" fillId="28" borderId="10" xfId="0" applyNumberFormat="1" applyFont="1" applyFill="1" applyBorder="1" applyAlignment="1">
      <alignment horizontal="center" vertical="center"/>
    </xf>
    <xf numFmtId="168" fontId="1" fillId="28" borderId="13" xfId="0" applyNumberFormat="1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 wrapText="1"/>
    </xf>
    <xf numFmtId="0" fontId="1" fillId="15" borderId="46" xfId="0" applyFont="1" applyFill="1" applyBorder="1" applyAlignment="1">
      <alignment horizontal="center" wrapText="1"/>
    </xf>
    <xf numFmtId="0" fontId="1" fillId="15" borderId="40" xfId="0" applyFont="1" applyFill="1" applyBorder="1" applyAlignment="1">
      <alignment horizontal="center" wrapText="1"/>
    </xf>
    <xf numFmtId="0" fontId="1" fillId="24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1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4" borderId="53" xfId="0" applyFont="1" applyFill="1" applyBorder="1" applyAlignment="1">
      <alignment horizontal="center" vertical="center" wrapText="1"/>
    </xf>
    <xf numFmtId="0" fontId="1" fillId="4" borderId="53" xfId="0" applyFont="1" applyFill="1" applyBorder="1" applyAlignment="1">
      <alignment horizontal="center" vertical="center"/>
    </xf>
    <xf numFmtId="0" fontId="1" fillId="4" borderId="54" xfId="0" applyFont="1" applyFill="1" applyBorder="1" applyAlignment="1">
      <alignment horizontal="center" vertical="center" wrapText="1"/>
    </xf>
    <xf numFmtId="0" fontId="1" fillId="4" borderId="5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9" fillId="4" borderId="0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/>
    </xf>
    <xf numFmtId="0" fontId="0" fillId="0" borderId="58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185" fontId="0" fillId="0" borderId="10" xfId="1" applyNumberFormat="1" applyFont="1" applyBorder="1" applyAlignment="1">
      <alignment horizontal="center" vertical="center"/>
    </xf>
    <xf numFmtId="1" fontId="0" fillId="6" borderId="9" xfId="0" applyNumberForma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166" fontId="0" fillId="6" borderId="9" xfId="0" applyNumberFormat="1" applyFill="1" applyBorder="1" applyAlignment="1">
      <alignment horizontal="center" vertical="center"/>
    </xf>
    <xf numFmtId="185" fontId="0" fillId="6" borderId="10" xfId="1" applyNumberFormat="1" applyFont="1" applyFill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66"/>
      <color rgb="FF00FFFF"/>
      <color rgb="FF6BFBA5"/>
      <color rgb="FFFF99FF"/>
      <color rgb="FFFFABFF"/>
      <color rgb="FFFF66CC"/>
      <color rgb="FF0099FF"/>
      <color rgb="FFF193ED"/>
      <color rgb="FFEA60E3"/>
      <color rgb="FFE07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ST!$C$1</c:f>
              <c:strCache>
                <c:ptCount val="1"/>
                <c:pt idx="0">
                  <c:v>F(X)=COS(X)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ST!$B$2:$B$14</c:f>
              <c:numCache>
                <c:formatCode>General</c:formatCode>
                <c:ptCount val="13"/>
                <c:pt idx="0">
                  <c:v>0</c:v>
                </c:pt>
                <c:pt idx="1">
                  <c:v>0.26179938779914941</c:v>
                </c:pt>
                <c:pt idx="2">
                  <c:v>0.52359877559829882</c:v>
                </c:pt>
                <c:pt idx="3">
                  <c:v>0.78539816339744828</c:v>
                </c:pt>
                <c:pt idx="4">
                  <c:v>1.0471975511965976</c:v>
                </c:pt>
                <c:pt idx="5">
                  <c:v>1.308996938995747</c:v>
                </c:pt>
                <c:pt idx="6">
                  <c:v>1.5707963267948963</c:v>
                </c:pt>
                <c:pt idx="7">
                  <c:v>1.8325957145940457</c:v>
                </c:pt>
                <c:pt idx="8">
                  <c:v>2.0943951023931953</c:v>
                </c:pt>
                <c:pt idx="9">
                  <c:v>2.3561944901923448</c:v>
                </c:pt>
                <c:pt idx="10">
                  <c:v>2.6179938779914944</c:v>
                </c:pt>
                <c:pt idx="11">
                  <c:v>2.879793265790644</c:v>
                </c:pt>
                <c:pt idx="12">
                  <c:v>3.1415926535897936</c:v>
                </c:pt>
              </c:numCache>
            </c:numRef>
          </c:xVal>
          <c:yVal>
            <c:numRef>
              <c:f>ST!$C$2:$C$14</c:f>
              <c:numCache>
                <c:formatCode>General</c:formatCode>
                <c:ptCount val="13"/>
                <c:pt idx="0">
                  <c:v>0</c:v>
                </c:pt>
                <c:pt idx="1">
                  <c:v>-0.96592582628906831</c:v>
                </c:pt>
                <c:pt idx="2">
                  <c:v>0.49999999999999994</c:v>
                </c:pt>
                <c:pt idx="3">
                  <c:v>0.70710678118654757</c:v>
                </c:pt>
                <c:pt idx="4">
                  <c:v>-0.8660254037844386</c:v>
                </c:pt>
                <c:pt idx="5">
                  <c:v>-0.25881904510252096</c:v>
                </c:pt>
                <c:pt idx="6">
                  <c:v>1</c:v>
                </c:pt>
                <c:pt idx="7">
                  <c:v>-0.25881904510252041</c:v>
                </c:pt>
                <c:pt idx="8">
                  <c:v>-0.86602540378443871</c:v>
                </c:pt>
                <c:pt idx="9">
                  <c:v>0.70710678118654746</c:v>
                </c:pt>
                <c:pt idx="10">
                  <c:v>0.49999999999999994</c:v>
                </c:pt>
                <c:pt idx="11">
                  <c:v>-0.96592582628906831</c:v>
                </c:pt>
                <c:pt idx="12">
                  <c:v>3.2157436435920062E-16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24-4A29-931B-B5BE54E10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106296"/>
        <c:axId val="228105120"/>
      </c:scatterChart>
      <c:valAx>
        <c:axId val="228106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105120"/>
        <c:crosses val="autoZero"/>
        <c:crossBetween val="midCat"/>
      </c:valAx>
      <c:valAx>
        <c:axId val="2281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106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g(x)=e^-x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[1]BISEC!$L$5</c:f>
              <c:strCache>
                <c:ptCount val="1"/>
                <c:pt idx="0">
                  <c:v>g(x)=e^-x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[1]BISEC!$K$6:$K$16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[1]BISEC!$L$6:$L$16</c:f>
              <c:numCache>
                <c:formatCode>General</c:formatCode>
                <c:ptCount val="11"/>
                <c:pt idx="0">
                  <c:v>148.4131591025766</c:v>
                </c:pt>
                <c:pt idx="1">
                  <c:v>54.598150033144236</c:v>
                </c:pt>
                <c:pt idx="2">
                  <c:v>20.085536923187668</c:v>
                </c:pt>
                <c:pt idx="3">
                  <c:v>7.3890560989306504</c:v>
                </c:pt>
                <c:pt idx="4">
                  <c:v>2.7182818284590451</c:v>
                </c:pt>
                <c:pt idx="5">
                  <c:v>1</c:v>
                </c:pt>
                <c:pt idx="6">
                  <c:v>0.36787944117144233</c:v>
                </c:pt>
                <c:pt idx="7">
                  <c:v>0.1353352832366127</c:v>
                </c:pt>
                <c:pt idx="8">
                  <c:v>4.9787068367863944E-2</c:v>
                </c:pt>
                <c:pt idx="9">
                  <c:v>1.8315638888734179E-2</c:v>
                </c:pt>
                <c:pt idx="10">
                  <c:v>6.737946999085467E-3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65-43F2-8D06-FA3A63CB908B}"/>
            </c:ext>
          </c:extLst>
        </c:ser>
        <c:ser>
          <c:idx val="1"/>
          <c:order val="1"/>
          <c:tx>
            <c:strRef>
              <c:f>[1]BISEC!$M$5</c:f>
              <c:strCache>
                <c:ptCount val="1"/>
                <c:pt idx="0">
                  <c:v>h(x)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[1]BISEC!$K$6:$K$16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[1]BISEC!$M$6:$M$16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65-43F2-8D06-FA3A63CB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416"/>
        <c:axId val="231290768"/>
      </c:scatterChart>
      <c:valAx>
        <c:axId val="2312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90768"/>
        <c:crosses val="autoZero"/>
        <c:crossBetween val="midCat"/>
      </c:valAx>
      <c:valAx>
        <c:axId val="2312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8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'B1'!$B$5</c:f>
              <c:strCache>
                <c:ptCount val="1"/>
                <c:pt idx="0">
                  <c:v>f(x)=e^-x -x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'B1'!$A$6:$A$16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'B1'!$B$6:$B$16</c:f>
              <c:numCache>
                <c:formatCode>General</c:formatCode>
                <c:ptCount val="11"/>
                <c:pt idx="0">
                  <c:v>153.4131591025766</c:v>
                </c:pt>
                <c:pt idx="1">
                  <c:v>58.598150033144236</c:v>
                </c:pt>
                <c:pt idx="2">
                  <c:v>23.085536923187668</c:v>
                </c:pt>
                <c:pt idx="3">
                  <c:v>9.3890560989306504</c:v>
                </c:pt>
                <c:pt idx="4">
                  <c:v>3.7182818284590451</c:v>
                </c:pt>
                <c:pt idx="5">
                  <c:v>1</c:v>
                </c:pt>
                <c:pt idx="6">
                  <c:v>-0.63212055882855767</c:v>
                </c:pt>
                <c:pt idx="7">
                  <c:v>-1.8646647167633872</c:v>
                </c:pt>
                <c:pt idx="8">
                  <c:v>-2.9502129316321359</c:v>
                </c:pt>
                <c:pt idx="9">
                  <c:v>-3.9816843611112658</c:v>
                </c:pt>
                <c:pt idx="10">
                  <c:v>-4.9932620530009144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7C-B962-B56F2AF18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59336"/>
        <c:axId val="331741440"/>
      </c:scatterChart>
      <c:valAx>
        <c:axId val="173159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1440"/>
        <c:crosses val="autoZero"/>
        <c:crossBetween val="midCat"/>
      </c:valAx>
      <c:valAx>
        <c:axId val="33174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9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[2]Hoja2!$D$31</c:f>
              <c:strCache>
                <c:ptCount val="1"/>
                <c:pt idx="0">
                  <c:v>f(x)=cos(x)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[2]Hoja2!$B$32:$B$44</c:f>
              <c:numCache>
                <c:formatCode>General</c:formatCode>
                <c:ptCount val="13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</c:numCache>
            </c:numRef>
          </c:xVal>
          <c:yVal>
            <c:numRef>
              <c:f>[2]Hoja2!$D$32:$D$44</c:f>
              <c:numCache>
                <c:formatCode>General</c:formatCode>
                <c:ptCount val="13"/>
                <c:pt idx="0">
                  <c:v>1</c:v>
                </c:pt>
                <c:pt idx="1">
                  <c:v>0.86602540378443871</c:v>
                </c:pt>
                <c:pt idx="2">
                  <c:v>0.50000000000000011</c:v>
                </c:pt>
                <c:pt idx="3">
                  <c:v>6.1257422745431001E-17</c:v>
                </c:pt>
                <c:pt idx="4">
                  <c:v>-0.49999999999999978</c:v>
                </c:pt>
                <c:pt idx="5">
                  <c:v>-0.86602540378443849</c:v>
                </c:pt>
                <c:pt idx="6">
                  <c:v>-1</c:v>
                </c:pt>
                <c:pt idx="7">
                  <c:v>-0.86602540378443904</c:v>
                </c:pt>
                <c:pt idx="8">
                  <c:v>-0.50000000000000044</c:v>
                </c:pt>
                <c:pt idx="9">
                  <c:v>-1.83772268236293E-16</c:v>
                </c:pt>
                <c:pt idx="10">
                  <c:v>0.50000000000000011</c:v>
                </c:pt>
                <c:pt idx="11">
                  <c:v>0.86602540378443882</c:v>
                </c:pt>
                <c:pt idx="1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99-4764-AD92-2AB7FF052549}"/>
            </c:ext>
          </c:extLst>
        </c:ser>
        <c:ser>
          <c:idx val="2"/>
          <c:order val="1"/>
          <c:tx>
            <c:strRef>
              <c:f>[2]Hoja2!$E$31</c:f>
              <c:strCache>
                <c:ptCount val="1"/>
                <c:pt idx="0">
                  <c:v>g(x)=sen(x)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[2]Hoja2!$B$32:$B$44</c:f>
              <c:numCache>
                <c:formatCode>General</c:formatCode>
                <c:ptCount val="13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</c:numCache>
            </c:numRef>
          </c:xVal>
          <c:yVal>
            <c:numRef>
              <c:f>[2]Hoja2!$E$32:$E$44</c:f>
              <c:numCache>
                <c:formatCode>General</c:formatCode>
                <c:ptCount val="13"/>
                <c:pt idx="0">
                  <c:v>0</c:v>
                </c:pt>
                <c:pt idx="1">
                  <c:v>0.49999999999999994</c:v>
                </c:pt>
                <c:pt idx="2">
                  <c:v>0.8660254037844386</c:v>
                </c:pt>
                <c:pt idx="3">
                  <c:v>1</c:v>
                </c:pt>
                <c:pt idx="4">
                  <c:v>0.86602540378443871</c:v>
                </c:pt>
                <c:pt idx="5">
                  <c:v>0.50000000000000033</c:v>
                </c:pt>
                <c:pt idx="6">
                  <c:v>5.6660405534092462E-16</c:v>
                </c:pt>
                <c:pt idx="7">
                  <c:v>-0.49999999999999939</c:v>
                </c:pt>
                <c:pt idx="8">
                  <c:v>-0.86602540378443837</c:v>
                </c:pt>
                <c:pt idx="9">
                  <c:v>-1</c:v>
                </c:pt>
                <c:pt idx="10">
                  <c:v>-0.8660254037844386</c:v>
                </c:pt>
                <c:pt idx="11">
                  <c:v>-0.49999999999999967</c:v>
                </c:pt>
                <c:pt idx="12">
                  <c:v>6.4314872871840123E-16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99-4764-AD92-2AB7FF052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4576"/>
        <c:axId val="331745360"/>
      </c:scatterChart>
      <c:valAx>
        <c:axId val="33174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5360"/>
        <c:crosses val="autoZero"/>
        <c:crossBetween val="midCat"/>
      </c:valAx>
      <c:valAx>
        <c:axId val="3317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 F_S'!$C$3</c:f>
              <c:strCache>
                <c:ptCount val="1"/>
                <c:pt idx="0">
                  <c:v>F(X)=X^2+3X-12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F_S'!$B$4:$B$14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F_S'!$C$4:$C$14</c:f>
              <c:numCache>
                <c:formatCode>General</c:formatCode>
                <c:ptCount val="11"/>
                <c:pt idx="0">
                  <c:v>-2</c:v>
                </c:pt>
                <c:pt idx="1">
                  <c:v>-8</c:v>
                </c:pt>
                <c:pt idx="2">
                  <c:v>-12</c:v>
                </c:pt>
                <c:pt idx="3">
                  <c:v>-14</c:v>
                </c:pt>
                <c:pt idx="4">
                  <c:v>-14</c:v>
                </c:pt>
                <c:pt idx="5">
                  <c:v>-12</c:v>
                </c:pt>
                <c:pt idx="6">
                  <c:v>-8</c:v>
                </c:pt>
                <c:pt idx="7">
                  <c:v>-2</c:v>
                </c:pt>
                <c:pt idx="8">
                  <c:v>6</c:v>
                </c:pt>
                <c:pt idx="9">
                  <c:v>16</c:v>
                </c:pt>
                <c:pt idx="10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8-407A-A27C-130422DFA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5752"/>
        <c:axId val="331741832"/>
      </c:scatterChart>
      <c:valAx>
        <c:axId val="33174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1832"/>
        <c:crosses val="autoZero"/>
        <c:crossBetween val="midCat"/>
      </c:valAx>
      <c:valAx>
        <c:axId val="33174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5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 F_P2'!$B$3</c:f>
              <c:strCache>
                <c:ptCount val="1"/>
                <c:pt idx="0">
                  <c:v>f(x)=x^10-1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F_P2'!$A$4:$A$14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F_P2'!$B$4:$B$14</c:f>
              <c:numCache>
                <c:formatCode>General</c:formatCode>
                <c:ptCount val="11"/>
                <c:pt idx="0">
                  <c:v>9765624</c:v>
                </c:pt>
                <c:pt idx="1">
                  <c:v>1048575</c:v>
                </c:pt>
                <c:pt idx="2">
                  <c:v>59048</c:v>
                </c:pt>
                <c:pt idx="3">
                  <c:v>1023</c:v>
                </c:pt>
                <c:pt idx="4">
                  <c:v>0</c:v>
                </c:pt>
                <c:pt idx="5">
                  <c:v>-1</c:v>
                </c:pt>
                <c:pt idx="6">
                  <c:v>0</c:v>
                </c:pt>
                <c:pt idx="7">
                  <c:v>1023</c:v>
                </c:pt>
                <c:pt idx="8">
                  <c:v>59048</c:v>
                </c:pt>
                <c:pt idx="9">
                  <c:v>1048575</c:v>
                </c:pt>
                <c:pt idx="10">
                  <c:v>9765624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0E-4CB1-B089-58B3FC8D4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1048"/>
        <c:axId val="331743400"/>
      </c:scatterChart>
      <c:valAx>
        <c:axId val="331741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3400"/>
        <c:crosses val="autoZero"/>
        <c:crossBetween val="midCat"/>
      </c:valAx>
      <c:valAx>
        <c:axId val="33174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1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 F_S1'!$C$5</c:f>
              <c:strCache>
                <c:ptCount val="1"/>
                <c:pt idx="0">
                  <c:v>f(x)=e^-x -x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F_S1'!$B$6:$B$16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F_S1'!$C$6:$C$16</c:f>
              <c:numCache>
                <c:formatCode>General</c:formatCode>
                <c:ptCount val="11"/>
                <c:pt idx="0">
                  <c:v>153.4131591025766</c:v>
                </c:pt>
                <c:pt idx="1">
                  <c:v>58.598150033144236</c:v>
                </c:pt>
                <c:pt idx="2">
                  <c:v>23.085536923187668</c:v>
                </c:pt>
                <c:pt idx="3">
                  <c:v>9.3890560989306504</c:v>
                </c:pt>
                <c:pt idx="4">
                  <c:v>3.7182818284590451</c:v>
                </c:pt>
                <c:pt idx="5">
                  <c:v>1</c:v>
                </c:pt>
                <c:pt idx="6">
                  <c:v>-0.63212055882855767</c:v>
                </c:pt>
                <c:pt idx="7">
                  <c:v>-1.8646647167633872</c:v>
                </c:pt>
                <c:pt idx="8">
                  <c:v>-2.9502129316321359</c:v>
                </c:pt>
                <c:pt idx="9">
                  <c:v>-3.9816843611112658</c:v>
                </c:pt>
                <c:pt idx="10">
                  <c:v>-4.9932620530009144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A5-4E16-85B5-F7A6E8378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2616"/>
        <c:axId val="331739088"/>
      </c:scatterChart>
      <c:valAx>
        <c:axId val="331742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39088"/>
        <c:crosses val="autoZero"/>
        <c:crossBetween val="midCat"/>
      </c:valAx>
      <c:valAx>
        <c:axId val="3317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2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 F_P2'!$B$3</c:f>
              <c:strCache>
                <c:ptCount val="1"/>
                <c:pt idx="0">
                  <c:v>f(x)=x^10-1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F_P2'!$A$4:$A$14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F_P2'!$B$4:$B$14</c:f>
              <c:numCache>
                <c:formatCode>General</c:formatCode>
                <c:ptCount val="11"/>
                <c:pt idx="0">
                  <c:v>9765624</c:v>
                </c:pt>
                <c:pt idx="1">
                  <c:v>1048575</c:v>
                </c:pt>
                <c:pt idx="2">
                  <c:v>59048</c:v>
                </c:pt>
                <c:pt idx="3">
                  <c:v>1023</c:v>
                </c:pt>
                <c:pt idx="4">
                  <c:v>0</c:v>
                </c:pt>
                <c:pt idx="5">
                  <c:v>-1</c:v>
                </c:pt>
                <c:pt idx="6">
                  <c:v>0</c:v>
                </c:pt>
                <c:pt idx="7">
                  <c:v>1023</c:v>
                </c:pt>
                <c:pt idx="8">
                  <c:v>59048</c:v>
                </c:pt>
                <c:pt idx="9">
                  <c:v>1048575</c:v>
                </c:pt>
                <c:pt idx="10">
                  <c:v>9765624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6B-427B-8C49-CF684688F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4968"/>
        <c:axId val="331742224"/>
      </c:scatterChart>
      <c:valAx>
        <c:axId val="331744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2224"/>
        <c:crosses val="autoZero"/>
        <c:crossBetween val="midCat"/>
      </c:valAx>
      <c:valAx>
        <c:axId val="33174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4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P.F!$B$2</c:f>
              <c:strCache>
                <c:ptCount val="1"/>
                <c:pt idx="0">
                  <c:v>f(x)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P.F!$A$3:$A$13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P.F!$B$3:$B$13</c:f>
              <c:numCache>
                <c:formatCode>0.00000</c:formatCode>
                <c:ptCount val="11"/>
                <c:pt idx="0">
                  <c:v>32.205882352941174</c:v>
                </c:pt>
                <c:pt idx="1">
                  <c:v>18.835294117647059</c:v>
                </c:pt>
                <c:pt idx="2">
                  <c:v>9.6647058823529424</c:v>
                </c:pt>
                <c:pt idx="3">
                  <c:v>3.9882352941176471</c:v>
                </c:pt>
                <c:pt idx="4">
                  <c:v>1.0999999999999999</c:v>
                </c:pt>
                <c:pt idx="5">
                  <c:v>0.29411764705882354</c:v>
                </c:pt>
                <c:pt idx="6">
                  <c:v>0.8647058823529411</c:v>
                </c:pt>
                <c:pt idx="7">
                  <c:v>2.1058823529411761</c:v>
                </c:pt>
                <c:pt idx="8">
                  <c:v>3.3117647058823527</c:v>
                </c:pt>
                <c:pt idx="9">
                  <c:v>3.7764705882352936</c:v>
                </c:pt>
                <c:pt idx="10">
                  <c:v>2.7941176470588234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13-4E1A-AA88-3A5F4719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3792"/>
        <c:axId val="331739872"/>
      </c:scatterChart>
      <c:valAx>
        <c:axId val="33174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39872"/>
        <c:crosses val="autoZero"/>
        <c:crossBetween val="midCat"/>
      </c:valAx>
      <c:valAx>
        <c:axId val="33173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270778652668418E-2"/>
          <c:y val="0.17171296296296298"/>
          <c:w val="0.9223958880139983"/>
          <c:h val="0.77736111111111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 F_S1'!$C$5</c:f>
              <c:strCache>
                <c:ptCount val="1"/>
                <c:pt idx="0">
                  <c:v>f(x)=e^-x -x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F_S1'!$B$6:$B$16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F_S1'!$C$6:$C$16</c:f>
              <c:numCache>
                <c:formatCode>General</c:formatCode>
                <c:ptCount val="11"/>
                <c:pt idx="0">
                  <c:v>153.4131591025766</c:v>
                </c:pt>
                <c:pt idx="1">
                  <c:v>58.598150033144236</c:v>
                </c:pt>
                <c:pt idx="2">
                  <c:v>23.085536923187668</c:v>
                </c:pt>
                <c:pt idx="3">
                  <c:v>9.3890560989306504</c:v>
                </c:pt>
                <c:pt idx="4">
                  <c:v>3.7182818284590451</c:v>
                </c:pt>
                <c:pt idx="5">
                  <c:v>1</c:v>
                </c:pt>
                <c:pt idx="6">
                  <c:v>-0.63212055882855767</c:v>
                </c:pt>
                <c:pt idx="7">
                  <c:v>-1.8646647167633872</c:v>
                </c:pt>
                <c:pt idx="8">
                  <c:v>-2.9502129316321359</c:v>
                </c:pt>
                <c:pt idx="9">
                  <c:v>-3.9816843611112658</c:v>
                </c:pt>
                <c:pt idx="10">
                  <c:v>-4.9932620530009144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77-4C60-805B-04F88C832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776992"/>
        <c:axId val="231777384"/>
      </c:scatterChart>
      <c:valAx>
        <c:axId val="23177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77384"/>
        <c:crosses val="autoZero"/>
        <c:crossBetween val="midCat"/>
      </c:valAx>
      <c:valAx>
        <c:axId val="23177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7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826334208223973E-2"/>
          <c:y val="0.17820610965296008"/>
          <c:w val="0.9223958880139983"/>
          <c:h val="0.766064814814814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'[3]7.2'!$C$5</c:f>
              <c:strCache>
                <c:ptCount val="1"/>
                <c:pt idx="0">
                  <c:v>f(x)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'[3]7.2'!$B$6:$B$16</c:f>
              <c:numCache>
                <c:formatCode>General</c:formatCode>
                <c:ptCount val="11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-1</c:v>
                </c:pt>
                <c:pt idx="7">
                  <c:v>-2</c:v>
                </c:pt>
                <c:pt idx="8">
                  <c:v>-3</c:v>
                </c:pt>
                <c:pt idx="9">
                  <c:v>-4</c:v>
                </c:pt>
                <c:pt idx="10">
                  <c:v>-5</c:v>
                </c:pt>
              </c:numCache>
            </c:numRef>
          </c:xVal>
          <c:yVal>
            <c:numRef>
              <c:f>'[3]7.2'!$C$6:$C$16</c:f>
              <c:numCache>
                <c:formatCode>General</c:formatCode>
                <c:ptCount val="11"/>
                <c:pt idx="0">
                  <c:v>48</c:v>
                </c:pt>
                <c:pt idx="1">
                  <c:v>0</c:v>
                </c:pt>
                <c:pt idx="2">
                  <c:v>-24</c:v>
                </c:pt>
                <c:pt idx="3">
                  <c:v>-30</c:v>
                </c:pt>
                <c:pt idx="4">
                  <c:v>-24</c:v>
                </c:pt>
                <c:pt idx="5">
                  <c:v>-12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-24</c:v>
                </c:pt>
                <c:pt idx="10">
                  <c:v>-72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90-496B-A92D-0E03FFAA2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7856"/>
        <c:axId val="333778248"/>
      </c:scatterChart>
      <c:valAx>
        <c:axId val="33377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8248"/>
        <c:crosses val="autoZero"/>
        <c:crossBetween val="midCat"/>
      </c:valAx>
      <c:valAx>
        <c:axId val="33377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'[3]7.4'!$C$5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'[3]7.4'!$B$6:$B$12</c:f>
              <c:numCache>
                <c:formatCode>General</c:formatCode>
                <c:ptCount val="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</c:numCache>
            </c:numRef>
          </c:cat>
          <c:val>
            <c:numRef>
              <c:f>'[3]7.4'!$C$6:$C$12</c:f>
              <c:numCache>
                <c:formatCode>General</c:formatCode>
                <c:ptCount val="7"/>
                <c:pt idx="0">
                  <c:v>-1</c:v>
                </c:pt>
                <c:pt idx="1">
                  <c:v>-0.37758256189037276</c:v>
                </c:pt>
                <c:pt idx="2">
                  <c:v>0.45969769413186023</c:v>
                </c:pt>
                <c:pt idx="3">
                  <c:v>1.4292627983322972</c:v>
                </c:pt>
                <c:pt idx="4">
                  <c:v>2.4161468365471426</c:v>
                </c:pt>
                <c:pt idx="5">
                  <c:v>3.3011436155469336</c:v>
                </c:pt>
                <c:pt idx="6">
                  <c:v>3.9899924966004452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5-471D-989C-F7EDCE5A9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775896"/>
        <c:axId val="333773936"/>
      </c:lineChart>
      <c:catAx>
        <c:axId val="33377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3936"/>
        <c:crosses val="autoZero"/>
        <c:auto val="1"/>
        <c:lblAlgn val="ctr"/>
        <c:lblOffset val="100"/>
        <c:noMultiLvlLbl val="0"/>
      </c:catAx>
      <c:valAx>
        <c:axId val="3337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5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'[3]7.5'!$C$7</c:f>
              <c:strCache>
                <c:ptCount val="1"/>
                <c:pt idx="0">
                  <c:v>U(x,y)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'[3]7.5'!$A$8:$A$12</c:f>
              <c:numCache>
                <c:formatCode>General</c:formatCode>
                <c:ptCount val="5"/>
                <c:pt idx="0">
                  <c:v>2</c:v>
                </c:pt>
                <c:pt idx="1">
                  <c:v>1.6573473123923044</c:v>
                </c:pt>
                <c:pt idx="2">
                  <c:v>0</c:v>
                </c:pt>
                <c:pt idx="3">
                  <c:v>-1</c:v>
                </c:pt>
                <c:pt idx="4">
                  <c:v>-2</c:v>
                </c:pt>
              </c:numCache>
            </c:numRef>
          </c:xVal>
          <c:yVal>
            <c:numRef>
              <c:f>'[3]7.5'!$C$8:$C$12</c:f>
              <c:numCache>
                <c:formatCode>General</c:formatCode>
                <c:ptCount val="5"/>
                <c:pt idx="0">
                  <c:v>4</c:v>
                </c:pt>
                <c:pt idx="1">
                  <c:v>-2.2265904082985344E-4</c:v>
                </c:pt>
                <c:pt idx="2">
                  <c:v>-10</c:v>
                </c:pt>
                <c:pt idx="3">
                  <c:v>-15.5</c:v>
                </c:pt>
                <c:pt idx="4">
                  <c:v>-28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93-4C97-9AC3-7B182EBF2CBB}"/>
            </c:ext>
          </c:extLst>
        </c:ser>
        <c:ser>
          <c:idx val="2"/>
          <c:order val="2"/>
          <c:tx>
            <c:strRef>
              <c:f>'[3]7.5'!$D$7</c:f>
              <c:strCache>
                <c:ptCount val="1"/>
                <c:pt idx="0">
                  <c:v>V(x,y)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'[3]7.5'!$A$8:$A$12</c:f>
              <c:numCache>
                <c:formatCode>General</c:formatCode>
                <c:ptCount val="5"/>
                <c:pt idx="0">
                  <c:v>2</c:v>
                </c:pt>
                <c:pt idx="1">
                  <c:v>1.6573473123923044</c:v>
                </c:pt>
                <c:pt idx="2">
                  <c:v>0</c:v>
                </c:pt>
                <c:pt idx="3">
                  <c:v>-1</c:v>
                </c:pt>
                <c:pt idx="4">
                  <c:v>-2</c:v>
                </c:pt>
              </c:numCache>
            </c:numRef>
          </c:xVal>
          <c:yVal>
            <c:numRef>
              <c:f>'[3]7.5'!$D$8:$D$12</c:f>
              <c:numCache>
                <c:formatCode>General</c:formatCode>
                <c:ptCount val="5"/>
                <c:pt idx="0">
                  <c:v>0</c:v>
                </c:pt>
                <c:pt idx="1">
                  <c:v>1.6897124591253032E-4</c:v>
                </c:pt>
                <c:pt idx="2">
                  <c:v>-53</c:v>
                </c:pt>
                <c:pt idx="3">
                  <c:v>-113.25</c:v>
                </c:pt>
                <c:pt idx="4">
                  <c:v>-202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93-4C97-9AC3-7B182EBF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1192"/>
        <c:axId val="3337719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'[3]7.5'!$B$7</c15:sqref>
                        </c15:formulaRef>
                      </c:ext>
                    </c:extLst>
                    <c:strCache>
                      <c:ptCount val="1"/>
                      <c:pt idx="0">
                        <c:v>y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'[3]7.5'!$A$8:$A$12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</c:v>
                      </c:pt>
                      <c:pt idx="1">
                        <c:v>1.6573473123923044</c:v>
                      </c:pt>
                      <c:pt idx="2">
                        <c:v>0</c:v>
                      </c:pt>
                      <c:pt idx="3">
                        <c:v>-1</c:v>
                      </c:pt>
                      <c:pt idx="4">
                        <c:v>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'[3]7.5'!$B$8:$B$12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</c:v>
                      </c:pt>
                      <c:pt idx="1">
                        <c:v>3.28680386650825</c:v>
                      </c:pt>
                      <c:pt idx="2">
                        <c:v>4</c:v>
                      </c:pt>
                      <c:pt idx="3">
                        <c:v>4.5</c:v>
                      </c:pt>
                      <c:pt idx="4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B93-4C97-9AC3-7B182EBF2CBB}"/>
                  </c:ext>
                </c:extLst>
              </c15:ser>
            </c15:filteredScatterSeries>
          </c:ext>
        </c:extLst>
      </c:scatterChart>
      <c:valAx>
        <c:axId val="333771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1976"/>
        <c:crosses val="autoZero"/>
        <c:crossBetween val="midCat"/>
      </c:valAx>
      <c:valAx>
        <c:axId val="33377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1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'[4]9.1'!$C$16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'[4]9.1'!$B$17:$B$30</c:f>
              <c:numCache>
                <c:formatCode>General</c:formatCode>
                <c:ptCount val="14"/>
                <c:pt idx="0">
                  <c:v>-6</c:v>
                </c:pt>
                <c:pt idx="1">
                  <c:v>-4.5</c:v>
                </c:pt>
                <c:pt idx="2">
                  <c:v>-3</c:v>
                </c:pt>
                <c:pt idx="3">
                  <c:v>-1.5</c:v>
                </c:pt>
                <c:pt idx="4">
                  <c:v>0</c:v>
                </c:pt>
                <c:pt idx="5">
                  <c:v>1.5</c:v>
                </c:pt>
                <c:pt idx="6">
                  <c:v>3</c:v>
                </c:pt>
                <c:pt idx="7">
                  <c:v>4.5</c:v>
                </c:pt>
                <c:pt idx="8">
                  <c:v>6</c:v>
                </c:pt>
                <c:pt idx="9">
                  <c:v>7.5</c:v>
                </c:pt>
                <c:pt idx="10">
                  <c:v>9</c:v>
                </c:pt>
                <c:pt idx="11">
                  <c:v>10.5</c:v>
                </c:pt>
                <c:pt idx="12">
                  <c:v>12</c:v>
                </c:pt>
                <c:pt idx="13">
                  <c:v>13.5</c:v>
                </c:pt>
              </c:numCache>
            </c:numRef>
          </c:xVal>
          <c:yVal>
            <c:numRef>
              <c:f>'[4]9.1'!$C$17:$C$30</c:f>
              <c:numCache>
                <c:formatCode>General</c:formatCode>
                <c:ptCount val="14"/>
                <c:pt idx="0">
                  <c:v>-48</c:v>
                </c:pt>
                <c:pt idx="1">
                  <c:v>-40.5</c:v>
                </c:pt>
                <c:pt idx="2">
                  <c:v>-33</c:v>
                </c:pt>
                <c:pt idx="3">
                  <c:v>-25.5</c:v>
                </c:pt>
                <c:pt idx="4">
                  <c:v>-18</c:v>
                </c:pt>
                <c:pt idx="5">
                  <c:v>-10.5</c:v>
                </c:pt>
                <c:pt idx="6">
                  <c:v>-3</c:v>
                </c:pt>
                <c:pt idx="7">
                  <c:v>4.5</c:v>
                </c:pt>
                <c:pt idx="8">
                  <c:v>12</c:v>
                </c:pt>
                <c:pt idx="9">
                  <c:v>19.5</c:v>
                </c:pt>
                <c:pt idx="10">
                  <c:v>27</c:v>
                </c:pt>
                <c:pt idx="11">
                  <c:v>34.5</c:v>
                </c:pt>
                <c:pt idx="12">
                  <c:v>42</c:v>
                </c:pt>
                <c:pt idx="13">
                  <c:v>49.5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CB-4988-809C-C588E4D3F8A6}"/>
            </c:ext>
          </c:extLst>
        </c:ser>
        <c:ser>
          <c:idx val="1"/>
          <c:order val="1"/>
          <c:tx>
            <c:strRef>
              <c:f>'[4]9.1'!$F$17</c:f>
              <c:strCache>
                <c:ptCount val="1"/>
                <c:pt idx="0">
                  <c:v>-8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'[4]9.1'!$B$17:$B$30</c:f>
              <c:numCache>
                <c:formatCode>General</c:formatCode>
                <c:ptCount val="14"/>
                <c:pt idx="0">
                  <c:v>-6</c:v>
                </c:pt>
                <c:pt idx="1">
                  <c:v>-4.5</c:v>
                </c:pt>
                <c:pt idx="2">
                  <c:v>-3</c:v>
                </c:pt>
                <c:pt idx="3">
                  <c:v>-1.5</c:v>
                </c:pt>
                <c:pt idx="4">
                  <c:v>0</c:v>
                </c:pt>
                <c:pt idx="5">
                  <c:v>1.5</c:v>
                </c:pt>
                <c:pt idx="6">
                  <c:v>3</c:v>
                </c:pt>
                <c:pt idx="7">
                  <c:v>4.5</c:v>
                </c:pt>
                <c:pt idx="8">
                  <c:v>6</c:v>
                </c:pt>
                <c:pt idx="9">
                  <c:v>7.5</c:v>
                </c:pt>
                <c:pt idx="10">
                  <c:v>9</c:v>
                </c:pt>
                <c:pt idx="11">
                  <c:v>10.5</c:v>
                </c:pt>
                <c:pt idx="12">
                  <c:v>12</c:v>
                </c:pt>
                <c:pt idx="13">
                  <c:v>13.5</c:v>
                </c:pt>
              </c:numCache>
            </c:numRef>
          </c:xVal>
          <c:yVal>
            <c:numRef>
              <c:f>'[4]9.1'!$F$18:$F$30</c:f>
              <c:numCache>
                <c:formatCode>General</c:formatCode>
                <c:ptCount val="13"/>
                <c:pt idx="0">
                  <c:v>-6.5</c:v>
                </c:pt>
                <c:pt idx="1">
                  <c:v>-5</c:v>
                </c:pt>
                <c:pt idx="2">
                  <c:v>-3.5</c:v>
                </c:pt>
                <c:pt idx="3">
                  <c:v>-2</c:v>
                </c:pt>
                <c:pt idx="4">
                  <c:v>-0.5</c:v>
                </c:pt>
                <c:pt idx="5">
                  <c:v>1</c:v>
                </c:pt>
                <c:pt idx="6">
                  <c:v>2.5</c:v>
                </c:pt>
                <c:pt idx="7">
                  <c:v>4</c:v>
                </c:pt>
                <c:pt idx="8">
                  <c:v>5.5</c:v>
                </c:pt>
                <c:pt idx="9">
                  <c:v>7</c:v>
                </c:pt>
                <c:pt idx="10">
                  <c:v>8.5</c:v>
                </c:pt>
                <c:pt idx="11">
                  <c:v>10</c:v>
                </c:pt>
                <c:pt idx="12">
                  <c:v>11.5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CB-4988-809C-C588E4D3F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1584"/>
        <c:axId val="333777072"/>
      </c:scatterChart>
      <c:valAx>
        <c:axId val="33377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7072"/>
        <c:crosses val="autoZero"/>
        <c:crossBetween val="midCat"/>
      </c:valAx>
      <c:valAx>
        <c:axId val="3337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'P13'!$H$23</c:f>
              <c:strCache>
                <c:ptCount val="1"/>
                <c:pt idx="0">
                  <c:v>F(X)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'P13'!$G$24:$G$44</c:f>
              <c:numCache>
                <c:formatCode>General</c:formatCode>
                <c:ptCount val="21"/>
                <c:pt idx="0">
                  <c:v>-2</c:v>
                </c:pt>
                <c:pt idx="1">
                  <c:v>-1.8</c:v>
                </c:pt>
                <c:pt idx="2">
                  <c:v>-1.6</c:v>
                </c:pt>
                <c:pt idx="3">
                  <c:v>-1.4</c:v>
                </c:pt>
                <c:pt idx="4">
                  <c:v>-1.2</c:v>
                </c:pt>
                <c:pt idx="5">
                  <c:v>-1</c:v>
                </c:pt>
                <c:pt idx="6">
                  <c:v>-0.8</c:v>
                </c:pt>
                <c:pt idx="7">
                  <c:v>-0.6</c:v>
                </c:pt>
                <c:pt idx="8">
                  <c:v>-0.4</c:v>
                </c:pt>
                <c:pt idx="9">
                  <c:v>-0.2</c:v>
                </c:pt>
                <c:pt idx="10">
                  <c:v>0</c:v>
                </c:pt>
                <c:pt idx="11">
                  <c:v>0.2</c:v>
                </c:pt>
                <c:pt idx="12">
                  <c:v>0.4</c:v>
                </c:pt>
                <c:pt idx="13">
                  <c:v>0.6</c:v>
                </c:pt>
                <c:pt idx="14">
                  <c:v>0.8</c:v>
                </c:pt>
                <c:pt idx="15">
                  <c:v>1</c:v>
                </c:pt>
                <c:pt idx="16">
                  <c:v>1.2</c:v>
                </c:pt>
                <c:pt idx="17">
                  <c:v>1.4</c:v>
                </c:pt>
                <c:pt idx="18">
                  <c:v>1.6</c:v>
                </c:pt>
                <c:pt idx="19">
                  <c:v>1.8</c:v>
                </c:pt>
                <c:pt idx="20">
                  <c:v>2</c:v>
                </c:pt>
              </c:numCache>
            </c:numRef>
          </c:xVal>
          <c:yVal>
            <c:numRef>
              <c:f>'P13'!$H$24:$H$44</c:f>
              <c:numCache>
                <c:formatCode>General</c:formatCode>
                <c:ptCount val="21"/>
                <c:pt idx="0">
                  <c:v>-152</c:v>
                </c:pt>
                <c:pt idx="1">
                  <c:v>-93.613536000000011</c:v>
                </c:pt>
                <c:pt idx="2">
                  <c:v>-57.473024000000024</c:v>
                </c:pt>
                <c:pt idx="3">
                  <c:v>-35.777503999999993</c:v>
                </c:pt>
                <c:pt idx="4">
                  <c:v>-23.026176</c:v>
                </c:pt>
                <c:pt idx="5">
                  <c:v>-15.5</c:v>
                </c:pt>
                <c:pt idx="6">
                  <c:v>-10.812416000000002</c:v>
                </c:pt>
                <c:pt idx="7">
                  <c:v>-7.529183999999999</c:v>
                </c:pt>
                <c:pt idx="8">
                  <c:v>-4.8573440000000003</c:v>
                </c:pt>
                <c:pt idx="9">
                  <c:v>-2.4032960000000005</c:v>
                </c:pt>
                <c:pt idx="10">
                  <c:v>0</c:v>
                </c:pt>
                <c:pt idx="11">
                  <c:v>2.3967040000000002</c:v>
                </c:pt>
                <c:pt idx="12">
                  <c:v>4.7426560000000011</c:v>
                </c:pt>
                <c:pt idx="13">
                  <c:v>6.8708159999999996</c:v>
                </c:pt>
                <c:pt idx="14">
                  <c:v>8.3875840000000004</c:v>
                </c:pt>
                <c:pt idx="15">
                  <c:v>8.5</c:v>
                </c:pt>
                <c:pt idx="16">
                  <c:v>5.7738239999999994</c:v>
                </c:pt>
                <c:pt idx="17">
                  <c:v>-2.1775039999999954</c:v>
                </c:pt>
                <c:pt idx="18">
                  <c:v>-19.073024000000018</c:v>
                </c:pt>
                <c:pt idx="19">
                  <c:v>-50.413536000000015</c:v>
                </c:pt>
                <c:pt idx="20">
                  <c:v>-104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47-4C19-B1A2-E0E5A088D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3544"/>
        <c:axId val="333774328"/>
      </c:scatterChart>
      <c:valAx>
        <c:axId val="333773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4328"/>
        <c:crosses val="autoZero"/>
        <c:crossBetween val="midCat"/>
      </c:valAx>
      <c:valAx>
        <c:axId val="33377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3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'P13'!$C$170</c:f>
              <c:strCache>
                <c:ptCount val="1"/>
                <c:pt idx="0">
                  <c:v>F(X)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'P13'!$B$171:$B$181</c:f>
              <c:numCache>
                <c:formatCode>General</c:formatCode>
                <c:ptCount val="11"/>
                <c:pt idx="0">
                  <c:v>-2</c:v>
                </c:pt>
                <c:pt idx="1">
                  <c:v>-1.6</c:v>
                </c:pt>
                <c:pt idx="2">
                  <c:v>-1.2</c:v>
                </c:pt>
                <c:pt idx="3">
                  <c:v>-0.8</c:v>
                </c:pt>
                <c:pt idx="4">
                  <c:v>-0.4</c:v>
                </c:pt>
                <c:pt idx="5">
                  <c:v>0</c:v>
                </c:pt>
                <c:pt idx="6">
                  <c:v>0.4</c:v>
                </c:pt>
                <c:pt idx="7">
                  <c:v>0.8</c:v>
                </c:pt>
                <c:pt idx="8">
                  <c:v>1.2</c:v>
                </c:pt>
                <c:pt idx="9">
                  <c:v>1.6</c:v>
                </c:pt>
                <c:pt idx="10">
                  <c:v>2</c:v>
                </c:pt>
              </c:numCache>
            </c:numRef>
          </c:xVal>
          <c:yVal>
            <c:numRef>
              <c:f>'P13'!$C$171:$C$181</c:f>
              <c:numCache>
                <c:formatCode>General</c:formatCode>
                <c:ptCount val="11"/>
                <c:pt idx="0">
                  <c:v>-22</c:v>
                </c:pt>
                <c:pt idx="1">
                  <c:v>-10.841600000000007</c:v>
                </c:pt>
                <c:pt idx="2">
                  <c:v>-4.1375999999999991</c:v>
                </c:pt>
                <c:pt idx="3">
                  <c:v>-0.50560000000000116</c:v>
                </c:pt>
                <c:pt idx="4">
                  <c:v>0.8223999999999998</c:v>
                </c:pt>
                <c:pt idx="5">
                  <c:v>0</c:v>
                </c:pt>
                <c:pt idx="6">
                  <c:v>-3.4336000000000002</c:v>
                </c:pt>
                <c:pt idx="7">
                  <c:v>-10.553600000000001</c:v>
                </c:pt>
                <c:pt idx="8">
                  <c:v>-23.049599999999998</c:v>
                </c:pt>
                <c:pt idx="9">
                  <c:v>-43.225600000000007</c:v>
                </c:pt>
                <c:pt idx="10">
                  <c:v>-74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E2-441F-9A89-55F92C15A6E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axId val="333774720"/>
        <c:axId val="333775504"/>
      </c:scatterChart>
      <c:valAx>
        <c:axId val="3337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5504"/>
        <c:crosses val="autoZero"/>
        <c:crossBetween val="midCat"/>
      </c:valAx>
      <c:valAx>
        <c:axId val="3337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'15'!$D$35</c:f>
              <c:strCache>
                <c:ptCount val="1"/>
                <c:pt idx="0">
                  <c:v>X2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'15'!$C$36:$C$47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</c:numCache>
            </c:numRef>
          </c:xVal>
          <c:yVal>
            <c:numRef>
              <c:f>'15'!$D$36:$D$47</c:f>
              <c:numCache>
                <c:formatCode>0.00</c:formatCode>
                <c:ptCount val="12"/>
                <c:pt idx="0">
                  <c:v>7</c:v>
                </c:pt>
                <c:pt idx="1">
                  <c:v>6.3636363636363633</c:v>
                </c:pt>
                <c:pt idx="2">
                  <c:v>5.7272727272727275</c:v>
                </c:pt>
                <c:pt idx="3">
                  <c:v>5.0909090909090908</c:v>
                </c:pt>
                <c:pt idx="4">
                  <c:v>4.454545454545455</c:v>
                </c:pt>
                <c:pt idx="5">
                  <c:v>3.8181818181818183</c:v>
                </c:pt>
                <c:pt idx="6">
                  <c:v>3.1818181818181817</c:v>
                </c:pt>
                <c:pt idx="7">
                  <c:v>2.5454545454545459</c:v>
                </c:pt>
                <c:pt idx="8">
                  <c:v>1.9090909090909092</c:v>
                </c:pt>
                <c:pt idx="9">
                  <c:v>1.2727272727272725</c:v>
                </c:pt>
                <c:pt idx="10">
                  <c:v>0.63636363636363669</c:v>
                </c:pt>
                <c:pt idx="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78-4628-9545-A1112C93B1BE}"/>
            </c:ext>
          </c:extLst>
        </c:ser>
        <c:ser>
          <c:idx val="1"/>
          <c:order val="1"/>
          <c:tx>
            <c:strRef>
              <c:f>'15'!$E$35</c:f>
              <c:strCache>
                <c:ptCount val="1"/>
                <c:pt idx="0">
                  <c:v>X2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'15'!$C$36:$C$47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</c:numCache>
            </c:numRef>
          </c:xVal>
          <c:yVal>
            <c:numRef>
              <c:f>'15'!$E$36:$E$47</c:f>
              <c:numCache>
                <c:formatCode>0.00</c:formatCode>
                <c:ptCount val="12"/>
                <c:pt idx="0">
                  <c:v>10</c:v>
                </c:pt>
                <c:pt idx="1">
                  <c:v>8.75</c:v>
                </c:pt>
                <c:pt idx="2">
                  <c:v>7.5</c:v>
                </c:pt>
                <c:pt idx="3">
                  <c:v>6.25</c:v>
                </c:pt>
                <c:pt idx="4">
                  <c:v>5</c:v>
                </c:pt>
                <c:pt idx="5">
                  <c:v>3.75</c:v>
                </c:pt>
                <c:pt idx="6">
                  <c:v>2.5</c:v>
                </c:pt>
                <c:pt idx="7">
                  <c:v>1.25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78-4628-9545-A1112C93B1BE}"/>
            </c:ext>
          </c:extLst>
        </c:ser>
        <c:ser>
          <c:idx val="2"/>
          <c:order val="2"/>
          <c:tx>
            <c:strRef>
              <c:f>'15'!$F$35</c:f>
              <c:strCache>
                <c:ptCount val="1"/>
                <c:pt idx="0">
                  <c:v>X2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'15'!$C$36:$C$47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</c:numCache>
            </c:numRef>
          </c:xVal>
          <c:yVal>
            <c:numRef>
              <c:f>'15'!$F$36:$F$47</c:f>
              <c:numCache>
                <c:formatCode>0.00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78-4628-9545-A1112C93B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6680"/>
        <c:axId val="231777776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'15'!$G$35</c15:sqref>
                        </c15:formulaRef>
                      </c:ext>
                    </c:extLst>
                    <c:strCache>
                      <c:ptCount val="1"/>
                      <c:pt idx="0">
                        <c:v>X1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'15'!$C$36:$C$47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'15'!$G$36:$G$47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9</c:v>
                      </c:pt>
                      <c:pt idx="1">
                        <c:v>9</c:v>
                      </c:pt>
                      <c:pt idx="2">
                        <c:v>9</c:v>
                      </c:pt>
                      <c:pt idx="3">
                        <c:v>9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9</c:v>
                      </c:pt>
                      <c:pt idx="7">
                        <c:v>9</c:v>
                      </c:pt>
                      <c:pt idx="8">
                        <c:v>9</c:v>
                      </c:pt>
                      <c:pt idx="9">
                        <c:v>9</c:v>
                      </c:pt>
                      <c:pt idx="10">
                        <c:v>9</c:v>
                      </c:pt>
                      <c:pt idx="11">
                        <c:v>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8C78-4628-9545-A1112C93B1BE}"/>
                  </c:ext>
                </c:extLst>
              </c15:ser>
            </c15:filteredScatterSeries>
          </c:ext>
        </c:extLst>
      </c:scatterChart>
      <c:valAx>
        <c:axId val="33377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77776"/>
        <c:crosses val="autoZero"/>
        <c:crossBetween val="midCat"/>
      </c:valAx>
      <c:valAx>
        <c:axId val="2317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tmp"/><Relationship Id="rId1" Type="http://schemas.openxmlformats.org/officeDocument/2006/relationships/image" Target="../media/image2.tmp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mp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tmp"/><Relationship Id="rId2" Type="http://schemas.openxmlformats.org/officeDocument/2006/relationships/image" Target="../media/image12.tmp"/><Relationship Id="rId1" Type="http://schemas.openxmlformats.org/officeDocument/2006/relationships/image" Target="../media/image11.tmp"/><Relationship Id="rId4" Type="http://schemas.openxmlformats.org/officeDocument/2006/relationships/image" Target="../media/image14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tmp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tmp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tmp"/><Relationship Id="rId2" Type="http://schemas.openxmlformats.org/officeDocument/2006/relationships/image" Target="../media/image27.tmp"/><Relationship Id="rId1" Type="http://schemas.openxmlformats.org/officeDocument/2006/relationships/image" Target="../media/image26.tmp"/><Relationship Id="rId4" Type="http://schemas.openxmlformats.org/officeDocument/2006/relationships/image" Target="../media/image29.tmp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tmp"/><Relationship Id="rId2" Type="http://schemas.openxmlformats.org/officeDocument/2006/relationships/image" Target="../media/image31.tmp"/><Relationship Id="rId1" Type="http://schemas.openxmlformats.org/officeDocument/2006/relationships/image" Target="../media/image30.tmp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tmp"/><Relationship Id="rId1" Type="http://schemas.openxmlformats.org/officeDocument/2006/relationships/image" Target="../media/image27.tmp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5.png"/><Relationship Id="rId1" Type="http://schemas.openxmlformats.org/officeDocument/2006/relationships/chart" Target="../charts/chart15.xml"/><Relationship Id="rId4" Type="http://schemas.openxmlformats.org/officeDocument/2006/relationships/image" Target="../media/image3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tmp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</xdr:row>
      <xdr:rowOff>42862</xdr:rowOff>
    </xdr:from>
    <xdr:to>
      <xdr:col>11</xdr:col>
      <xdr:colOff>171450</xdr:colOff>
      <xdr:row>15</xdr:row>
      <xdr:rowOff>119062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209550</xdr:colOff>
      <xdr:row>2</xdr:row>
      <xdr:rowOff>95250</xdr:rowOff>
    </xdr:from>
    <xdr:to>
      <xdr:col>19</xdr:col>
      <xdr:colOff>209550</xdr:colOff>
      <xdr:row>16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619125</xdr:colOff>
      <xdr:row>2</xdr:row>
      <xdr:rowOff>52387</xdr:rowOff>
    </xdr:from>
    <xdr:to>
      <xdr:col>9</xdr:col>
      <xdr:colOff>171450</xdr:colOff>
      <xdr:row>16</xdr:row>
      <xdr:rowOff>100012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10212</xdr:colOff>
      <xdr:row>2</xdr:row>
      <xdr:rowOff>123825</xdr:rowOff>
    </xdr:from>
    <xdr:to>
      <xdr:col>10</xdr:col>
      <xdr:colOff>647700</xdr:colOff>
      <xdr:row>17</xdr:row>
      <xdr:rowOff>190155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123824</xdr:rowOff>
    </xdr:from>
    <xdr:to>
      <xdr:col>8</xdr:col>
      <xdr:colOff>114300</xdr:colOff>
      <xdr:row>14</xdr:row>
      <xdr:rowOff>42861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133350</xdr:colOff>
      <xdr:row>11</xdr:row>
      <xdr:rowOff>0</xdr:rowOff>
    </xdr:from>
    <xdr:to>
      <xdr:col>10</xdr:col>
      <xdr:colOff>466725</xdr:colOff>
      <xdr:row>14</xdr:row>
      <xdr:rowOff>29677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7475" y="2266950"/>
          <a:ext cx="1857375" cy="6011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14</xdr:row>
      <xdr:rowOff>123825</xdr:rowOff>
    </xdr:from>
    <xdr:to>
      <xdr:col>4</xdr:col>
      <xdr:colOff>838200</xdr:colOff>
      <xdr:row>17</xdr:row>
      <xdr:rowOff>134452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819400"/>
          <a:ext cx="1619250" cy="582127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1</xdr:row>
      <xdr:rowOff>133350</xdr:rowOff>
    </xdr:from>
    <xdr:to>
      <xdr:col>7</xdr:col>
      <xdr:colOff>209550</xdr:colOff>
      <xdr:row>14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47625</xdr:rowOff>
    </xdr:from>
    <xdr:to>
      <xdr:col>2</xdr:col>
      <xdr:colOff>590739</xdr:colOff>
      <xdr:row>22</xdr:row>
      <xdr:rowOff>152468</xdr:rowOff>
    </xdr:to>
    <xdr:pic>
      <xdr:nvPicPr>
        <xdr:cNvPr id="2" name="Imagen 1" descr="Recorte de pantall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00125"/>
          <a:ext cx="1352739" cy="4858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57150</xdr:rowOff>
    </xdr:from>
    <xdr:to>
      <xdr:col>4</xdr:col>
      <xdr:colOff>638370</xdr:colOff>
      <xdr:row>22</xdr:row>
      <xdr:rowOff>161993</xdr:rowOff>
    </xdr:to>
    <xdr:pic>
      <xdr:nvPicPr>
        <xdr:cNvPr id="3" name="Imagen 2" descr="Recorte de pantalla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1009650"/>
          <a:ext cx="1400370" cy="485843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</xdr:row>
      <xdr:rowOff>147637</xdr:rowOff>
    </xdr:from>
    <xdr:to>
      <xdr:col>11</xdr:col>
      <xdr:colOff>190500</xdr:colOff>
      <xdr:row>16</xdr:row>
      <xdr:rowOff>4762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16</xdr:row>
      <xdr:rowOff>171450</xdr:rowOff>
    </xdr:from>
    <xdr:to>
      <xdr:col>3</xdr:col>
      <xdr:colOff>1638490</xdr:colOff>
      <xdr:row>19</xdr:row>
      <xdr:rowOff>152477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850" y="361950"/>
          <a:ext cx="1362265" cy="552527"/>
        </a:xfrm>
        <a:prstGeom prst="rect">
          <a:avLst/>
        </a:prstGeom>
      </xdr:spPr>
    </xdr:pic>
    <xdr:clientData/>
  </xdr:twoCellAnchor>
  <xdr:twoCellAnchor>
    <xdr:from>
      <xdr:col>3</xdr:col>
      <xdr:colOff>647699</xdr:colOff>
      <xdr:row>1</xdr:row>
      <xdr:rowOff>85725</xdr:rowOff>
    </xdr:from>
    <xdr:to>
      <xdr:col>7</xdr:col>
      <xdr:colOff>85724</xdr:colOff>
      <xdr:row>14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0</xdr:row>
      <xdr:rowOff>361949</xdr:rowOff>
    </xdr:from>
    <xdr:to>
      <xdr:col>8</xdr:col>
      <xdr:colOff>228600</xdr:colOff>
      <xdr:row>14</xdr:row>
      <xdr:rowOff>23811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21</xdr:row>
      <xdr:rowOff>180976</xdr:rowOff>
    </xdr:from>
    <xdr:to>
      <xdr:col>5</xdr:col>
      <xdr:colOff>323850</xdr:colOff>
      <xdr:row>25</xdr:row>
      <xdr:rowOff>59478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7525" y="923926"/>
          <a:ext cx="1838325" cy="64050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161925</xdr:rowOff>
    </xdr:from>
    <xdr:to>
      <xdr:col>8</xdr:col>
      <xdr:colOff>367665</xdr:colOff>
      <xdr:row>25</xdr:row>
      <xdr:rowOff>54664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904875"/>
          <a:ext cx="1895475" cy="662359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</xdr:row>
      <xdr:rowOff>147637</xdr:rowOff>
    </xdr:from>
    <xdr:to>
      <xdr:col>10</xdr:col>
      <xdr:colOff>190500</xdr:colOff>
      <xdr:row>16</xdr:row>
      <xdr:rowOff>4762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571500</xdr:colOff>
      <xdr:row>13</xdr:row>
      <xdr:rowOff>104775</xdr:rowOff>
    </xdr:from>
    <xdr:to>
      <xdr:col>15</xdr:col>
      <xdr:colOff>68808</xdr:colOff>
      <xdr:row>19</xdr:row>
      <xdr:rowOff>82009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0" y="2752725"/>
          <a:ext cx="2545308" cy="11202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2</xdr:row>
      <xdr:rowOff>4762</xdr:rowOff>
    </xdr:from>
    <xdr:to>
      <xdr:col>9</xdr:col>
      <xdr:colOff>742950</xdr:colOff>
      <xdr:row>16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419100</xdr:colOff>
      <xdr:row>13</xdr:row>
      <xdr:rowOff>85725</xdr:rowOff>
    </xdr:from>
    <xdr:to>
      <xdr:col>13</xdr:col>
      <xdr:colOff>629014</xdr:colOff>
      <xdr:row>18</xdr:row>
      <xdr:rowOff>114438</xdr:rowOff>
    </xdr:to>
    <xdr:pic>
      <xdr:nvPicPr>
        <xdr:cNvPr id="3" name="Imagen 2" descr="Recorte de pantalla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771775"/>
          <a:ext cx="2610214" cy="9907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28575</xdr:rowOff>
    </xdr:from>
    <xdr:to>
      <xdr:col>1</xdr:col>
      <xdr:colOff>590759</xdr:colOff>
      <xdr:row>68</xdr:row>
      <xdr:rowOff>114392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0"/>
          <a:ext cx="1352759" cy="6573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128587</xdr:colOff>
      <xdr:row>2</xdr:row>
      <xdr:rowOff>119061</xdr:rowOff>
    </xdr:from>
    <xdr:to>
      <xdr:col>9</xdr:col>
      <xdr:colOff>581025</xdr:colOff>
      <xdr:row>15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647700</xdr:colOff>
      <xdr:row>18</xdr:row>
      <xdr:rowOff>95250</xdr:rowOff>
    </xdr:from>
    <xdr:to>
      <xdr:col>4</xdr:col>
      <xdr:colOff>552450</xdr:colOff>
      <xdr:row>26</xdr:row>
      <xdr:rowOff>62184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3524250"/>
          <a:ext cx="2990850" cy="149093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183091</xdr:colOff>
      <xdr:row>13</xdr:row>
      <xdr:rowOff>13228</xdr:rowOff>
    </xdr:from>
    <xdr:to>
      <xdr:col>6</xdr:col>
      <xdr:colOff>136525</xdr:colOff>
      <xdr:row>27</xdr:row>
      <xdr:rowOff>89428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261938</xdr:colOff>
      <xdr:row>1</xdr:row>
      <xdr:rowOff>145257</xdr:rowOff>
    </xdr:from>
    <xdr:to>
      <xdr:col>0</xdr:col>
      <xdr:colOff>995465</xdr:colOff>
      <xdr:row>3</xdr:row>
      <xdr:rowOff>30994</xdr:rowOff>
    </xdr:to>
    <xdr:pic>
      <xdr:nvPicPr>
        <xdr:cNvPr id="2" name="Imagen 1" descr="Recorte de pantalla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8" y="502445"/>
          <a:ext cx="733527" cy="266737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1</xdr:row>
      <xdr:rowOff>61913</xdr:rowOff>
    </xdr:from>
    <xdr:to>
      <xdr:col>2</xdr:col>
      <xdr:colOff>657403</xdr:colOff>
      <xdr:row>3</xdr:row>
      <xdr:rowOff>119124</xdr:rowOff>
    </xdr:to>
    <xdr:pic>
      <xdr:nvPicPr>
        <xdr:cNvPr id="3" name="Imagen 2" descr="Recorte de pantall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19101"/>
          <a:ext cx="1276528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20</xdr:row>
      <xdr:rowOff>130969</xdr:rowOff>
    </xdr:from>
    <xdr:to>
      <xdr:col>5</xdr:col>
      <xdr:colOff>623888</xdr:colOff>
      <xdr:row>29</xdr:row>
      <xdr:rowOff>131705</xdr:rowOff>
    </xdr:to>
    <xdr:pic>
      <xdr:nvPicPr>
        <xdr:cNvPr id="4" name="Imagen 3" descr="Recorte de pantalla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4107657"/>
          <a:ext cx="1647825" cy="171523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19</xdr:row>
      <xdr:rowOff>90487</xdr:rowOff>
    </xdr:from>
    <xdr:to>
      <xdr:col>4</xdr:col>
      <xdr:colOff>39029</xdr:colOff>
      <xdr:row>29</xdr:row>
      <xdr:rowOff>154780</xdr:rowOff>
    </xdr:to>
    <xdr:pic>
      <xdr:nvPicPr>
        <xdr:cNvPr id="5" name="Imagen 4" descr="Recorte de pantalla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876675"/>
          <a:ext cx="4134778" cy="196929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190500</xdr:colOff>
      <xdr:row>5</xdr:row>
      <xdr:rowOff>11430</xdr:rowOff>
    </xdr:from>
    <xdr:ext cx="8282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0000000-0008-0000-1100-000002000000}"/>
                </a:ext>
              </a:extLst>
            </xdr:cNvPr>
            <xdr:cNvSpPr txBox="1"/>
          </xdr:nvSpPr>
          <xdr:spPr>
            <a:xfrm>
              <a:off x="952500" y="1135380"/>
              <a:ext cx="8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/>
                <a:t>3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PE" sz="1100"/>
                <a:t>+2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e>
                    <m:sub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lang="es-MX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=18</m:t>
                  </m:r>
                </m:oMath>
              </a14:m>
              <a:endParaRPr lang="es-PE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="" xmlns:a16="http://schemas.microsoft.com/office/drawing/2014/main" xmlns:a14="http://schemas.microsoft.com/office/drawing/2010/main" id="{D96927B9-CA31-4E1A-82EA-52D843A56788}"/>
                </a:ext>
              </a:extLst>
            </xdr:cNvPr>
            <xdr:cNvSpPr txBox="1"/>
          </xdr:nvSpPr>
          <xdr:spPr>
            <a:xfrm>
              <a:off x="952500" y="1135380"/>
              <a:ext cx="8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/>
                <a:t>3</a:t>
              </a:r>
              <a:r>
                <a:rPr lang="es-MX" sz="1100" b="0" i="0">
                  <a:latin typeface="Cambria Math" panose="02040503050406030204" pitchFamily="18" charset="0"/>
                </a:rPr>
                <a:t>𝑥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1</a:t>
              </a:r>
              <a:r>
                <a:rPr lang="es-PE" sz="1100"/>
                <a:t>+2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2=18</a:t>
              </a:r>
              <a:endParaRPr lang="es-PE" sz="1100"/>
            </a:p>
          </xdr:txBody>
        </xdr:sp>
      </mc:Fallback>
    </mc:AlternateContent>
    <xdr:clientData/>
  </xdr:oneCellAnchor>
  <xdr:oneCellAnchor>
    <xdr:from>
      <xdr:col>1</xdr:col>
      <xdr:colOff>220980</xdr:colOff>
      <xdr:row>6</xdr:row>
      <xdr:rowOff>15240</xdr:rowOff>
    </xdr:from>
    <xdr:ext cx="72186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1100-000003000000}"/>
                </a:ext>
              </a:extLst>
            </xdr:cNvPr>
            <xdr:cNvSpPr txBox="1"/>
          </xdr:nvSpPr>
          <xdr:spPr>
            <a:xfrm>
              <a:off x="982980" y="1329690"/>
              <a:ext cx="72186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 i="0">
                  <a:latin typeface="+mn-lt"/>
                </a:rPr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PE" sz="1100"/>
                <a:t>+2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e>
                    <m:sub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lang="es-MX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=2</m:t>
                  </m:r>
                </m:oMath>
              </a14:m>
              <a:endParaRPr lang="es-PE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="" xmlns:a16="http://schemas.microsoft.com/office/drawing/2014/main" xmlns:a14="http://schemas.microsoft.com/office/drawing/2010/main" id="{38C5B6FA-9C5C-490A-B270-F87905223575}"/>
                </a:ext>
              </a:extLst>
            </xdr:cNvPr>
            <xdr:cNvSpPr txBox="1"/>
          </xdr:nvSpPr>
          <xdr:spPr>
            <a:xfrm>
              <a:off x="982980" y="1329690"/>
              <a:ext cx="72186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 i="0">
                  <a:latin typeface="+mn-lt"/>
                </a:rPr>
                <a:t>-</a:t>
              </a:r>
              <a:r>
                <a:rPr lang="es-MX" sz="1100" b="0" i="0">
                  <a:latin typeface="Cambria Math" panose="02040503050406030204" pitchFamily="18" charset="0"/>
                </a:rPr>
                <a:t>𝑥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1</a:t>
              </a:r>
              <a:r>
                <a:rPr lang="es-PE" sz="1100"/>
                <a:t>+2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2=2</a:t>
              </a:r>
              <a:endParaRPr lang="es-PE" sz="1100"/>
            </a:p>
          </xdr:txBody>
        </xdr:sp>
      </mc:Fallback>
    </mc:AlternateContent>
    <xdr:clientData/>
  </xdr:oneCellAnchor>
  <xdr:oneCellAnchor>
    <xdr:from>
      <xdr:col>1</xdr:col>
      <xdr:colOff>121920</xdr:colOff>
      <xdr:row>9</xdr:row>
      <xdr:rowOff>99060</xdr:rowOff>
    </xdr:from>
    <xdr:ext cx="967444" cy="316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00000000-0008-0000-1100-000004000000}"/>
                </a:ext>
              </a:extLst>
            </xdr:cNvPr>
            <xdr:cNvSpPr txBox="1"/>
          </xdr:nvSpPr>
          <xdr:spPr>
            <a:xfrm>
              <a:off x="883920" y="1985010"/>
              <a:ext cx="967444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+9</m:t>
                    </m:r>
                  </m:oMath>
                </m:oMathPara>
              </a14:m>
              <a:endParaRPr lang="es-PE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="" xmlns:a16="http://schemas.microsoft.com/office/drawing/2014/main" xmlns:a14="http://schemas.microsoft.com/office/drawing/2010/main" id="{EE01E876-78AA-4BA2-B3BF-9E4A4B0999DC}"/>
                </a:ext>
              </a:extLst>
            </xdr:cNvPr>
            <xdr:cNvSpPr txBox="1"/>
          </xdr:nvSpPr>
          <xdr:spPr>
            <a:xfrm>
              <a:off x="883920" y="1985010"/>
              <a:ext cx="967444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𝑥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2=−3/2 𝑥_1+9</a:t>
              </a:r>
              <a:endParaRPr lang="es-PE" sz="1100"/>
            </a:p>
          </xdr:txBody>
        </xdr:sp>
      </mc:Fallback>
    </mc:AlternateContent>
    <xdr:clientData/>
  </xdr:oneCellAnchor>
  <xdr:twoCellAnchor>
    <xdr:from>
      <xdr:col>6</xdr:col>
      <xdr:colOff>365760</xdr:colOff>
      <xdr:row>14</xdr:row>
      <xdr:rowOff>156210</xdr:rowOff>
    </xdr:from>
    <xdr:to>
      <xdr:col>12</xdr:col>
      <xdr:colOff>182880</xdr:colOff>
      <xdr:row>29</xdr:row>
      <xdr:rowOff>156210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67802</xdr:colOff>
      <xdr:row>9</xdr:row>
      <xdr:rowOff>12367</xdr:rowOff>
    </xdr:from>
    <xdr:to>
      <xdr:col>3</xdr:col>
      <xdr:colOff>458000</xdr:colOff>
      <xdr:row>14</xdr:row>
      <xdr:rowOff>44386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802" y="1898317"/>
          <a:ext cx="1914198" cy="984519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1</xdr:col>
      <xdr:colOff>114301</xdr:colOff>
      <xdr:row>14</xdr:row>
      <xdr:rowOff>47156</xdr:rowOff>
    </xdr:from>
    <xdr:to>
      <xdr:col>3</xdr:col>
      <xdr:colOff>77142</xdr:colOff>
      <xdr:row>22</xdr:row>
      <xdr:rowOff>85725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1" y="2885606"/>
          <a:ext cx="1486841" cy="15625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16</xdr:col>
      <xdr:colOff>505883</xdr:colOff>
      <xdr:row>31</xdr:row>
      <xdr:rowOff>123825</xdr:rowOff>
    </xdr:from>
    <xdr:to>
      <xdr:col>22</xdr:col>
      <xdr:colOff>468416</xdr:colOff>
      <xdr:row>50</xdr:row>
      <xdr:rowOff>57646</xdr:rowOff>
    </xdr:to>
    <xdr:pic>
      <xdr:nvPicPr>
        <xdr:cNvPr id="4" name="Imagen 3" descr="Recorte de pantalla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7883" y="6029325"/>
          <a:ext cx="4534533" cy="355332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708661</xdr:colOff>
      <xdr:row>11</xdr:row>
      <xdr:rowOff>112396</xdr:rowOff>
    </xdr:from>
    <xdr:to>
      <xdr:col>3</xdr:col>
      <xdr:colOff>704850</xdr:colOff>
      <xdr:row>21</xdr:row>
      <xdr:rowOff>108029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1" y="2379346"/>
          <a:ext cx="2834639" cy="1900633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oneCellAnchor>
    <xdr:from>
      <xdr:col>2</xdr:col>
      <xdr:colOff>312420</xdr:colOff>
      <xdr:row>8</xdr:row>
      <xdr:rowOff>3810</xdr:rowOff>
    </xdr:from>
    <xdr:ext cx="202831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1400-000003000000}"/>
                </a:ext>
              </a:extLst>
            </xdr:cNvPr>
            <xdr:cNvSpPr txBox="1"/>
          </xdr:nvSpPr>
          <xdr:spPr>
            <a:xfrm>
              <a:off x="1836420" y="1699260"/>
              <a:ext cx="202831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50(10)+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31</m:t>
                      </m:r>
                    </m:sub>
                  </m:sSub>
                </m:oMath>
              </a14:m>
              <a:r>
                <a:rPr lang="es-PE" sz="110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𝑐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3</m:t>
                      </m:r>
                    </m:sub>
                  </m:sSub>
                </m:oMath>
              </a14:m>
              <a:r>
                <a:rPr lang="es-PE" sz="110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=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12</m:t>
                      </m:r>
                    </m:sub>
                  </m:sSub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𝑐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MX" sz="11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15</m:t>
                      </m:r>
                    </m:sub>
                  </m:sSub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𝑐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endParaRPr lang="es-PE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:a14="http://schemas.microsoft.com/office/drawing/2010/main" xmlns="" id="{E2885683-EEC4-4487-B267-6CBB38DE8603}"/>
                </a:ext>
              </a:extLst>
            </xdr:cNvPr>
            <xdr:cNvSpPr txBox="1"/>
          </xdr:nvSpPr>
          <xdr:spPr>
            <a:xfrm>
              <a:off x="1836420" y="1699260"/>
              <a:ext cx="202831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latin typeface="Cambria Math" panose="02040503050406030204" pitchFamily="18" charset="0"/>
                </a:rPr>
                <a:t>50(10)+𝑄</a:t>
              </a:r>
              <a:r>
                <a:rPr lang="es-PE" sz="1100" b="0" i="0">
                  <a:latin typeface="Cambria Math" panose="02040503050406030204" pitchFamily="18" charset="0"/>
                </a:rPr>
                <a:t>〗_</a:t>
              </a:r>
              <a:r>
                <a:rPr lang="es-MX" sz="1100" b="0" i="0">
                  <a:latin typeface="Cambria Math" panose="02040503050406030204" pitchFamily="18" charset="0"/>
                </a:rPr>
                <a:t>31</a:t>
              </a:r>
              <a:r>
                <a:rPr lang="es-PE" sz="1100"/>
                <a:t> </a:t>
              </a:r>
              <a:r>
                <a:rPr lang="es-MX" sz="1100" b="0" i="0">
                  <a:latin typeface="Cambria Math" panose="02040503050406030204" pitchFamily="18" charset="0"/>
                </a:rPr>
                <a:t>𝑐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3</a:t>
              </a:r>
              <a:r>
                <a:rPr lang="es-PE" sz="1100"/>
                <a:t> </a:t>
              </a:r>
              <a:r>
                <a:rPr lang="es-PE" sz="110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latin typeface="Cambria Math" panose="02040503050406030204" pitchFamily="18" charset="0"/>
                </a:rPr>
                <a:t>=𝑄</a:t>
              </a:r>
              <a:r>
                <a:rPr lang="es-PE" sz="1100" b="0" i="0">
                  <a:latin typeface="Cambria Math" panose="02040503050406030204" pitchFamily="18" charset="0"/>
                </a:rPr>
                <a:t>〗_</a:t>
              </a:r>
              <a:r>
                <a:rPr lang="es-MX" sz="1100" b="0" i="0">
                  <a:latin typeface="Cambria Math" panose="02040503050406030204" pitchFamily="18" charset="0"/>
                </a:rPr>
                <a:t>12</a:t>
              </a:r>
              <a:r>
                <a:rPr lang="es-PE" sz="1100" b="0" i="0">
                  <a:latin typeface="Cambria Math" panose="02040503050406030204" pitchFamily="18" charset="0"/>
                </a:rPr>
                <a:t> </a:t>
              </a:r>
              <a:r>
                <a:rPr lang="es-MX" sz="1100" b="0" i="0">
                  <a:latin typeface="Cambria Math" panose="02040503050406030204" pitchFamily="18" charset="0"/>
                </a:rPr>
                <a:t>𝑐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1+𝑄_15 𝑐_1</a:t>
              </a:r>
              <a:endParaRPr lang="es-PE" sz="1100"/>
            </a:p>
          </xdr:txBody>
        </xdr:sp>
      </mc:Fallback>
    </mc:AlternateContent>
    <xdr:clientData/>
  </xdr:oneCellAnchor>
  <xdr:twoCellAnchor editAs="oneCell">
    <xdr:from>
      <xdr:col>6</xdr:col>
      <xdr:colOff>26670</xdr:colOff>
      <xdr:row>7</xdr:row>
      <xdr:rowOff>85726</xdr:rowOff>
    </xdr:from>
    <xdr:to>
      <xdr:col>8</xdr:col>
      <xdr:colOff>339090</xdr:colOff>
      <xdr:row>13</xdr:row>
      <xdr:rowOff>49254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5920" y="1590676"/>
          <a:ext cx="1836420" cy="110652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34291</xdr:colOff>
      <xdr:row>17</xdr:row>
      <xdr:rowOff>129541</xdr:rowOff>
    </xdr:from>
    <xdr:to>
      <xdr:col>11</xdr:col>
      <xdr:colOff>539799</xdr:colOff>
      <xdr:row>30</xdr:row>
      <xdr:rowOff>22861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63716" y="3539491"/>
          <a:ext cx="3553508" cy="236982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34291</xdr:colOff>
      <xdr:row>5</xdr:row>
      <xdr:rowOff>80054</xdr:rowOff>
    </xdr:from>
    <xdr:to>
      <xdr:col>14</xdr:col>
      <xdr:colOff>333375</xdr:colOff>
      <xdr:row>14</xdr:row>
      <xdr:rowOff>89536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7391" y="1204004"/>
          <a:ext cx="2585084" cy="1723982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510540</xdr:colOff>
      <xdr:row>7</xdr:row>
      <xdr:rowOff>144780</xdr:rowOff>
    </xdr:from>
    <xdr:to>
      <xdr:col>6</xdr:col>
      <xdr:colOff>632745</xdr:colOff>
      <xdr:row>13</xdr:row>
      <xdr:rowOff>162021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7415" y="1678305"/>
          <a:ext cx="3170205" cy="116024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967741</xdr:colOff>
      <xdr:row>7</xdr:row>
      <xdr:rowOff>157516</xdr:rowOff>
    </xdr:from>
    <xdr:to>
      <xdr:col>2</xdr:col>
      <xdr:colOff>670560</xdr:colOff>
      <xdr:row>22</xdr:row>
      <xdr:rowOff>11914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1" y="1691041"/>
          <a:ext cx="1436369" cy="2711898"/>
        </a:xfrm>
        <a:prstGeom prst="rect">
          <a:avLst/>
        </a:prstGeom>
      </xdr:spPr>
    </xdr:pic>
    <xdr:clientData/>
  </xdr:twoCellAnchor>
  <xdr:twoCellAnchor editAs="oneCell">
    <xdr:from>
      <xdr:col>4</xdr:col>
      <xdr:colOff>449580</xdr:colOff>
      <xdr:row>8</xdr:row>
      <xdr:rowOff>7620</xdr:rowOff>
    </xdr:from>
    <xdr:to>
      <xdr:col>7</xdr:col>
      <xdr:colOff>45720</xdr:colOff>
      <xdr:row>14</xdr:row>
      <xdr:rowOff>96387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0930" y="1741170"/>
          <a:ext cx="1882140" cy="123176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3</xdr:col>
      <xdr:colOff>26492</xdr:colOff>
      <xdr:row>22</xdr:row>
      <xdr:rowOff>64770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3600"/>
          <a:ext cx="2398217" cy="235077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185208</xdr:colOff>
      <xdr:row>3</xdr:row>
      <xdr:rowOff>29633</xdr:rowOff>
    </xdr:from>
    <xdr:to>
      <xdr:col>3</xdr:col>
      <xdr:colOff>740471</xdr:colOff>
      <xdr:row>8</xdr:row>
      <xdr:rowOff>158750</xdr:rowOff>
    </xdr:to>
    <xdr:pic>
      <xdr:nvPicPr>
        <xdr:cNvPr id="4" name="Imagen 3" descr="Recorte de pantalla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08" y="770466"/>
          <a:ext cx="2841263" cy="1081617"/>
        </a:xfrm>
        <a:prstGeom prst="rect">
          <a:avLst/>
        </a:prstGeom>
      </xdr:spPr>
    </xdr:pic>
    <xdr:clientData/>
  </xdr:twoCellAnchor>
  <xdr:twoCellAnchor editAs="oneCell">
    <xdr:from>
      <xdr:col>6</xdr:col>
      <xdr:colOff>384024</xdr:colOff>
      <xdr:row>1</xdr:row>
      <xdr:rowOff>84666</xdr:rowOff>
    </xdr:from>
    <xdr:to>
      <xdr:col>11</xdr:col>
      <xdr:colOff>412750</xdr:colOff>
      <xdr:row>6</xdr:row>
      <xdr:rowOff>185470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111" r="39621" b="59326"/>
        <a:stretch/>
      </xdr:blipFill>
      <xdr:spPr>
        <a:xfrm>
          <a:off x="4956024" y="444499"/>
          <a:ext cx="3838726" cy="105330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52917</xdr:colOff>
      <xdr:row>18</xdr:row>
      <xdr:rowOff>127000</xdr:rowOff>
    </xdr:from>
    <xdr:to>
      <xdr:col>3</xdr:col>
      <xdr:colOff>681867</xdr:colOff>
      <xdr:row>22</xdr:row>
      <xdr:rowOff>31843</xdr:rowOff>
    </xdr:to>
    <xdr:pic>
      <xdr:nvPicPr>
        <xdr:cNvPr id="6" name="Imagen 5" descr="Recorte de pantalla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917" y="3725333"/>
          <a:ext cx="2152950" cy="66684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2</xdr:row>
      <xdr:rowOff>16934</xdr:rowOff>
    </xdr:from>
    <xdr:to>
      <xdr:col>10</xdr:col>
      <xdr:colOff>323183</xdr:colOff>
      <xdr:row>4</xdr:row>
      <xdr:rowOff>93198</xdr:rowOff>
    </xdr:to>
    <xdr:pic>
      <xdr:nvPicPr>
        <xdr:cNvPr id="7" name="Imagen 6" descr="Recorte de pantalla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916" y="567267"/>
          <a:ext cx="2810267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656166</xdr:colOff>
      <xdr:row>12</xdr:row>
      <xdr:rowOff>52917</xdr:rowOff>
    </xdr:from>
    <xdr:to>
      <xdr:col>6</xdr:col>
      <xdr:colOff>742435</xdr:colOff>
      <xdr:row>17</xdr:row>
      <xdr:rowOff>81629</xdr:rowOff>
    </xdr:to>
    <xdr:pic>
      <xdr:nvPicPr>
        <xdr:cNvPr id="9" name="Imagen 8" descr="Recorte de pantalla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166" y="2508250"/>
          <a:ext cx="3896269" cy="981212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12</xdr:row>
      <xdr:rowOff>137583</xdr:rowOff>
    </xdr:from>
    <xdr:to>
      <xdr:col>16</xdr:col>
      <xdr:colOff>581545</xdr:colOff>
      <xdr:row>19</xdr:row>
      <xdr:rowOff>137769</xdr:rowOff>
    </xdr:to>
    <xdr:pic>
      <xdr:nvPicPr>
        <xdr:cNvPr id="2" name="Imagen 1" descr="Recorte de pantalla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0" y="2592916"/>
          <a:ext cx="3724795" cy="133368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19050</xdr:rowOff>
    </xdr:from>
    <xdr:to>
      <xdr:col>2</xdr:col>
      <xdr:colOff>114523</xdr:colOff>
      <xdr:row>7</xdr:row>
      <xdr:rowOff>47709</xdr:rowOff>
    </xdr:to>
    <xdr:pic>
      <xdr:nvPicPr>
        <xdr:cNvPr id="2" name="Imagen 1" descr="Recorte de pantalla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781050"/>
          <a:ext cx="160042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3</xdr:row>
      <xdr:rowOff>133350</xdr:rowOff>
    </xdr:from>
    <xdr:to>
      <xdr:col>4</xdr:col>
      <xdr:colOff>209743</xdr:colOff>
      <xdr:row>7</xdr:row>
      <xdr:rowOff>152509</xdr:rowOff>
    </xdr:to>
    <xdr:pic>
      <xdr:nvPicPr>
        <xdr:cNvPr id="3" name="Imagen 2" descr="Recorte de pantalla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704850"/>
          <a:ext cx="1381318" cy="781159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4</xdr:row>
      <xdr:rowOff>19050</xdr:rowOff>
    </xdr:from>
    <xdr:to>
      <xdr:col>5</xdr:col>
      <xdr:colOff>543057</xdr:colOff>
      <xdr:row>6</xdr:row>
      <xdr:rowOff>85787</xdr:rowOff>
    </xdr:to>
    <xdr:pic>
      <xdr:nvPicPr>
        <xdr:cNvPr id="4" name="Imagen 3" descr="Recorte de pantalla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9950" y="952500"/>
          <a:ext cx="943107" cy="44773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190499</xdr:rowOff>
    </xdr:from>
    <xdr:to>
      <xdr:col>9</xdr:col>
      <xdr:colOff>171647</xdr:colOff>
      <xdr:row>3</xdr:row>
      <xdr:rowOff>142874</xdr:rowOff>
    </xdr:to>
    <xdr:pic>
      <xdr:nvPicPr>
        <xdr:cNvPr id="2" name="Imagen 1" descr="Recorte de pantalla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90499"/>
          <a:ext cx="3219647" cy="523875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20</xdr:row>
      <xdr:rowOff>161925</xdr:rowOff>
    </xdr:from>
    <xdr:to>
      <xdr:col>11</xdr:col>
      <xdr:colOff>286294</xdr:colOff>
      <xdr:row>26</xdr:row>
      <xdr:rowOff>137</xdr:rowOff>
    </xdr:to>
    <xdr:pic>
      <xdr:nvPicPr>
        <xdr:cNvPr id="3" name="Imagen 2" descr="Recorte de pantalla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025" y="3971925"/>
          <a:ext cx="3896269" cy="98121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3</xdr:row>
      <xdr:rowOff>76200</xdr:rowOff>
    </xdr:from>
    <xdr:ext cx="2149884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1F00-000003000000}"/>
                </a:ext>
              </a:extLst>
            </xdr:cNvPr>
            <xdr:cNvSpPr txBox="1"/>
          </xdr:nvSpPr>
          <xdr:spPr>
            <a:xfrm>
              <a:off x="771525" y="819150"/>
              <a:ext cx="2149884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/>
            <xdr:cNvSpPr txBox="1"/>
          </xdr:nvSpPr>
          <xdr:spPr>
            <a:xfrm>
              <a:off x="771525" y="819150"/>
              <a:ext cx="2149884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𝑭(𝑿)=−𝑿^𝟐+𝟖𝑿−𝟏𝟐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304800</xdr:colOff>
      <xdr:row>7</xdr:row>
      <xdr:rowOff>19050</xdr:rowOff>
    </xdr:from>
    <xdr:ext cx="1994457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00000000-0008-0000-1F00-000004000000}"/>
                </a:ext>
              </a:extLst>
            </xdr:cNvPr>
            <xdr:cNvSpPr txBox="1"/>
          </xdr:nvSpPr>
          <xdr:spPr>
            <a:xfrm>
              <a:off x="1066800" y="1714500"/>
              <a:ext cx="1994457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(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)=−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4" name="CuadroTexto 3"/>
            <xdr:cNvSpPr txBox="1"/>
          </xdr:nvSpPr>
          <xdr:spPr>
            <a:xfrm>
              <a:off x="1066800" y="1714500"/>
              <a:ext cx="1994457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(𝑿)=−𝟐𝑿+𝟖=𝟎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523875</xdr:colOff>
      <xdr:row>8</xdr:row>
      <xdr:rowOff>66675</xdr:rowOff>
    </xdr:from>
    <xdr:ext cx="100784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00000000-0008-0000-1F00-000005000000}"/>
                </a:ext>
              </a:extLst>
            </xdr:cNvPr>
            <xdr:cNvSpPr txBox="1"/>
          </xdr:nvSpPr>
          <xdr:spPr>
            <a:xfrm>
              <a:off x="2047875" y="1952625"/>
              <a:ext cx="100784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5" name="CuadroTexto 4"/>
            <xdr:cNvSpPr txBox="1"/>
          </xdr:nvSpPr>
          <xdr:spPr>
            <a:xfrm>
              <a:off x="2047875" y="1952625"/>
              <a:ext cx="100784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−𝟐𝑿=−𝟖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3</xdr:col>
      <xdr:colOff>190500</xdr:colOff>
      <xdr:row>9</xdr:row>
      <xdr:rowOff>114300</xdr:rowOff>
    </xdr:from>
    <xdr:ext cx="578492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0000000-0008-0000-1F00-000006000000}"/>
                </a:ext>
              </a:extLst>
            </xdr:cNvPr>
            <xdr:cNvSpPr txBox="1"/>
          </xdr:nvSpPr>
          <xdr:spPr>
            <a:xfrm>
              <a:off x="2476500" y="2190750"/>
              <a:ext cx="578492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6" name="CuadroTexto 5"/>
            <xdr:cNvSpPr txBox="1"/>
          </xdr:nvSpPr>
          <xdr:spPr>
            <a:xfrm>
              <a:off x="2476500" y="2190750"/>
              <a:ext cx="578492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𝑿=𝟒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</xdr:col>
      <xdr:colOff>0</xdr:colOff>
      <xdr:row>7</xdr:row>
      <xdr:rowOff>0</xdr:rowOff>
    </xdr:from>
    <xdr:ext cx="2301399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0000000-0008-0000-1F00-000007000000}"/>
                </a:ext>
              </a:extLst>
            </xdr:cNvPr>
            <xdr:cNvSpPr txBox="1"/>
          </xdr:nvSpPr>
          <xdr:spPr>
            <a:xfrm>
              <a:off x="3810000" y="1695450"/>
              <a:ext cx="2301399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7" name="CuadroTexto 6"/>
            <xdr:cNvSpPr txBox="1"/>
          </xdr:nvSpPr>
          <xdr:spPr>
            <a:xfrm>
              <a:off x="3810000" y="1695450"/>
              <a:ext cx="2301399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𝑭(𝑿)=−𝟒^𝟐+𝟖∗𝟒−𝟏𝟐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</xdr:col>
      <xdr:colOff>0</xdr:colOff>
      <xdr:row>8</xdr:row>
      <xdr:rowOff>66675</xdr:rowOff>
    </xdr:from>
    <xdr:ext cx="2301399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0000000-0008-0000-1F00-000008000000}"/>
                </a:ext>
              </a:extLst>
            </xdr:cNvPr>
            <xdr:cNvSpPr txBox="1"/>
          </xdr:nvSpPr>
          <xdr:spPr>
            <a:xfrm>
              <a:off x="3810000" y="1952625"/>
              <a:ext cx="2301399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8" name="CuadroTexto 7"/>
            <xdr:cNvSpPr txBox="1"/>
          </xdr:nvSpPr>
          <xdr:spPr>
            <a:xfrm>
              <a:off x="3810000" y="1952625"/>
              <a:ext cx="2301399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𝑭(𝑿)=−𝟒^𝟐+𝟖∗𝟒−𝟏𝟐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</xdr:col>
      <xdr:colOff>0</xdr:colOff>
      <xdr:row>9</xdr:row>
      <xdr:rowOff>133350</xdr:rowOff>
    </xdr:from>
    <xdr:ext cx="879856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0000000-0008-0000-1F00-000009000000}"/>
                </a:ext>
              </a:extLst>
            </xdr:cNvPr>
            <xdr:cNvSpPr txBox="1"/>
          </xdr:nvSpPr>
          <xdr:spPr>
            <a:xfrm>
              <a:off x="3810000" y="2209800"/>
              <a:ext cx="879856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9" name="CuadroTexto 8"/>
            <xdr:cNvSpPr txBox="1"/>
          </xdr:nvSpPr>
          <xdr:spPr>
            <a:xfrm>
              <a:off x="3810000" y="2209800"/>
              <a:ext cx="879856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𝑭(𝑿)=𝟒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304800</xdr:colOff>
      <xdr:row>12</xdr:row>
      <xdr:rowOff>133350</xdr:rowOff>
    </xdr:from>
    <xdr:ext cx="114852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0000000-0008-0000-1F00-00000A000000}"/>
                </a:ext>
              </a:extLst>
            </xdr:cNvPr>
            <xdr:cNvSpPr txBox="1"/>
          </xdr:nvSpPr>
          <xdr:spPr>
            <a:xfrm>
              <a:off x="1066800" y="2781300"/>
              <a:ext cx="114852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(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)=−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0" name="CuadroTexto 9"/>
            <xdr:cNvSpPr txBox="1"/>
          </xdr:nvSpPr>
          <xdr:spPr>
            <a:xfrm>
              <a:off x="1066800" y="2781300"/>
              <a:ext cx="114852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𝑭^′′ (𝑿)=−𝟐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3</xdr:col>
      <xdr:colOff>466725</xdr:colOff>
      <xdr:row>11</xdr:row>
      <xdr:rowOff>0</xdr:rowOff>
    </xdr:from>
    <xdr:ext cx="1637756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00000000-0008-0000-1F00-00000B000000}"/>
                </a:ext>
              </a:extLst>
            </xdr:cNvPr>
            <xdr:cNvSpPr txBox="1"/>
          </xdr:nvSpPr>
          <xdr:spPr>
            <a:xfrm>
              <a:off x="2752725" y="2457450"/>
              <a:ext cx="1637756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(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,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)=(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,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1" name="CuadroTexto 10"/>
            <xdr:cNvSpPr txBox="1"/>
          </xdr:nvSpPr>
          <xdr:spPr>
            <a:xfrm>
              <a:off x="2752725" y="2457450"/>
              <a:ext cx="1637756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(𝑿,𝑭(𝑿))=(𝟒,𝟒)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9525</xdr:colOff>
      <xdr:row>22</xdr:row>
      <xdr:rowOff>47625</xdr:rowOff>
    </xdr:from>
    <xdr:ext cx="268951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0000000-0008-0000-1F00-00000C000000}"/>
                </a:ext>
              </a:extLst>
            </xdr:cNvPr>
            <xdr:cNvSpPr txBox="1"/>
          </xdr:nvSpPr>
          <xdr:spPr>
            <a:xfrm>
              <a:off x="771525" y="4410075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𝟔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𝟏𝟐𝐗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2" name="CuadroTexto 11"/>
            <xdr:cNvSpPr txBox="1"/>
          </xdr:nvSpPr>
          <xdr:spPr>
            <a:xfrm>
              <a:off x="771525" y="4410075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𝑭(𝑿)=−𝟏.𝟓𝑿^𝟔−𝟐𝐗^𝟒+𝟏𝟐𝐗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>
    <xdr:from>
      <xdr:col>0</xdr:col>
      <xdr:colOff>85725</xdr:colOff>
      <xdr:row>26</xdr:row>
      <xdr:rowOff>19050</xdr:rowOff>
    </xdr:from>
    <xdr:to>
      <xdr:col>5</xdr:col>
      <xdr:colOff>647700</xdr:colOff>
      <xdr:row>39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9525</xdr:colOff>
      <xdr:row>48</xdr:row>
      <xdr:rowOff>0</xdr:rowOff>
    </xdr:from>
    <xdr:ext cx="2815579" cy="2649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0000000-0008-0000-1F00-00000D000000}"/>
                </a:ext>
              </a:extLst>
            </xdr:cNvPr>
            <xdr:cNvSpPr txBox="1"/>
          </xdr:nvSpPr>
          <xdr:spPr>
            <a:xfrm>
              <a:off x="771525" y="9315450"/>
              <a:ext cx="2815579" cy="264944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𝟗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𝟓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3" name="CuadroTexto 12"/>
            <xdr:cNvSpPr txBox="1"/>
          </xdr:nvSpPr>
          <xdr:spPr>
            <a:xfrm>
              <a:off x="771525" y="9315450"/>
              <a:ext cx="2815579" cy="264944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(𝑿)=−𝟗𝑿^𝟓−𝟖𝐗^𝟑+𝟏𝟐=𝟎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9</xdr:col>
      <xdr:colOff>19050</xdr:colOff>
      <xdr:row>27</xdr:row>
      <xdr:rowOff>95250</xdr:rowOff>
    </xdr:from>
    <xdr:ext cx="2463623" cy="2317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00000000-0008-0000-1F00-00000F000000}"/>
                </a:ext>
              </a:extLst>
            </xdr:cNvPr>
            <xdr:cNvSpPr txBox="1"/>
          </xdr:nvSpPr>
          <xdr:spPr>
            <a:xfrm>
              <a:off x="6877050" y="5410200"/>
              <a:ext cx="2463623" cy="231795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4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4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𝟗</m:t>
                    </m:r>
                    <m:sSup>
                      <m:sSupPr>
                        <m:ctrlP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𝟓</m:t>
                        </m:r>
                      </m:sup>
                    </m:sSup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4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4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</m:oMath>
                </m:oMathPara>
              </a14:m>
              <a:endParaRPr lang="es-PE" sz="14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5" name="CuadroTexto 14"/>
            <xdr:cNvSpPr txBox="1"/>
          </xdr:nvSpPr>
          <xdr:spPr>
            <a:xfrm>
              <a:off x="6877050" y="5410200"/>
              <a:ext cx="2463623" cy="231795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4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(𝑿)=−𝟗𝑿^𝟓−𝟖𝐗^𝟑+𝟏𝟐=𝟎</a:t>
              </a:r>
              <a:endParaRPr lang="es-PE" sz="14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9</xdr:col>
      <xdr:colOff>9525</xdr:colOff>
      <xdr:row>29</xdr:row>
      <xdr:rowOff>38100</xdr:rowOff>
    </xdr:from>
    <xdr:ext cx="2094997" cy="2285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00000000-0008-0000-1F00-000010000000}"/>
                </a:ext>
              </a:extLst>
            </xdr:cNvPr>
            <xdr:cNvSpPr txBox="1"/>
          </xdr:nvSpPr>
          <xdr:spPr>
            <a:xfrm>
              <a:off x="6867525" y="5734050"/>
              <a:ext cx="2094997" cy="228589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𝑭</m:t>
                      </m:r>
                    </m:e>
                    <m:sup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′′</m:t>
                      </m:r>
                    </m:sup>
                  </m:sSup>
                  <m:d>
                    <m:d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𝑿</m:t>
                      </m:r>
                    </m:e>
                  </m:d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=−</m:t>
                  </m:r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𝟒𝟓</m:t>
                  </m:r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𝑿</m:t>
                      </m:r>
                    </m:e>
                    <m:sup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𝟒</m:t>
                      </m:r>
                    </m:sup>
                  </m:sSup>
                  <m:r>
                    <a:rPr lang="es-PE" sz="14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−</m:t>
                  </m:r>
                  <m:r>
                    <a:rPr lang="es-PE" sz="14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𝟐𝟒</m:t>
                  </m:r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0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𝐗</m:t>
                      </m:r>
                    </m:e>
                    <m:sup>
                      <m:r>
                        <a:rPr lang="es-PE" sz="1400" b="1" i="0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𝟐</m:t>
                      </m:r>
                    </m:sup>
                  </m:sSup>
                </m:oMath>
              </a14:m>
              <a:r>
                <a:rPr lang="es-PE" sz="1400" b="1">
                  <a:solidFill>
                    <a:schemeClr val="bg1"/>
                  </a:solidFill>
                </a:rPr>
                <a:t>=0</a:t>
              </a:r>
            </a:p>
          </xdr:txBody>
        </xdr:sp>
      </mc:Choice>
      <mc:Fallback xmlns="">
        <xdr:sp macro="" textlink="">
          <xdr:nvSpPr>
            <xdr:cNvPr id="16" name="CuadroTexto 15"/>
            <xdr:cNvSpPr txBox="1"/>
          </xdr:nvSpPr>
          <xdr:spPr>
            <a:xfrm>
              <a:off x="6867525" y="5734050"/>
              <a:ext cx="2094997" cy="228589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4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𝑭^′′ (𝑿)=−𝟒𝟓𝑿^𝟒−𝟐𝟒𝐗^𝟐</a:t>
              </a:r>
              <a:r>
                <a:rPr lang="es-PE" sz="1400" b="1">
                  <a:solidFill>
                    <a:schemeClr val="bg1"/>
                  </a:solidFill>
                </a:rPr>
                <a:t>=0</a:t>
              </a:r>
            </a:p>
          </xdr:txBody>
        </xdr:sp>
      </mc:Fallback>
    </mc:AlternateContent>
    <xdr:clientData/>
  </xdr:oneCellAnchor>
  <xdr:oneCellAnchor>
    <xdr:from>
      <xdr:col>8</xdr:col>
      <xdr:colOff>752475</xdr:colOff>
      <xdr:row>25</xdr:row>
      <xdr:rowOff>133350</xdr:rowOff>
    </xdr:from>
    <xdr:ext cx="268951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00000000-0008-0000-1F00-000011000000}"/>
                </a:ext>
              </a:extLst>
            </xdr:cNvPr>
            <xdr:cNvSpPr txBox="1"/>
          </xdr:nvSpPr>
          <xdr:spPr>
            <a:xfrm>
              <a:off x="6848475" y="5067300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𝟔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𝟏𝟐𝐗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7" name="CuadroTexto 16"/>
            <xdr:cNvSpPr txBox="1"/>
          </xdr:nvSpPr>
          <xdr:spPr>
            <a:xfrm>
              <a:off x="6848475" y="5067300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𝑭(𝑿)=−𝟏.𝟓𝑿^𝟔−𝟐𝐗^𝟒+𝟏𝟐𝐗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9</xdr:col>
      <xdr:colOff>0</xdr:colOff>
      <xdr:row>30</xdr:row>
      <xdr:rowOff>133350</xdr:rowOff>
    </xdr:from>
    <xdr:ext cx="1393330" cy="2285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00000000-0008-0000-1F00-000012000000}"/>
                </a:ext>
              </a:extLst>
            </xdr:cNvPr>
            <xdr:cNvSpPr txBox="1"/>
          </xdr:nvSpPr>
          <xdr:spPr>
            <a:xfrm>
              <a:off x="6858000" y="6019800"/>
              <a:ext cx="1393330" cy="228589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𝑿</m:t>
                      </m:r>
                    </m:e>
                    <m:sup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𝟐</m:t>
                      </m:r>
                    </m:sup>
                  </m:sSup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(</m:t>
                  </m:r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𝟒𝟓</m:t>
                  </m:r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𝑿</m:t>
                      </m:r>
                    </m:e>
                    <m:sup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𝟐</m:t>
                      </m:r>
                    </m:sup>
                  </m:sSup>
                  <m:r>
                    <a:rPr lang="es-PE" sz="14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+</m:t>
                  </m:r>
                  <m:r>
                    <a:rPr lang="es-PE" sz="14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𝟐𝟒</m:t>
                  </m:r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)</m:t>
                  </m:r>
                </m:oMath>
              </a14:m>
              <a:r>
                <a:rPr lang="es-PE" sz="1400" b="1">
                  <a:solidFill>
                    <a:schemeClr val="bg1"/>
                  </a:solidFill>
                </a:rPr>
                <a:t>=0</a:t>
              </a:r>
            </a:p>
          </xdr:txBody>
        </xdr:sp>
      </mc:Choice>
      <mc:Fallback xmlns="">
        <xdr:sp macro="" textlink="">
          <xdr:nvSpPr>
            <xdr:cNvPr id="18" name="CuadroTexto 17"/>
            <xdr:cNvSpPr txBox="1"/>
          </xdr:nvSpPr>
          <xdr:spPr>
            <a:xfrm>
              <a:off x="6858000" y="6019800"/>
              <a:ext cx="1393330" cy="228589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4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𝑿^𝟐 (𝟒𝟓𝑿^𝟐+𝟐𝟒)</a:t>
              </a:r>
              <a:r>
                <a:rPr lang="es-PE" sz="1400" b="1">
                  <a:solidFill>
                    <a:schemeClr val="bg1"/>
                  </a:solidFill>
                </a:rPr>
                <a:t>=0</a:t>
              </a:r>
            </a:p>
          </xdr:txBody>
        </xdr:sp>
      </mc:Fallback>
    </mc:AlternateContent>
    <xdr:clientData/>
  </xdr:oneCellAnchor>
  <xdr:oneCellAnchor>
    <xdr:from>
      <xdr:col>1</xdr:col>
      <xdr:colOff>9525</xdr:colOff>
      <xdr:row>46</xdr:row>
      <xdr:rowOff>104775</xdr:rowOff>
    </xdr:from>
    <xdr:ext cx="268951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00000000-0008-0000-1F00-000013000000}"/>
                </a:ext>
              </a:extLst>
            </xdr:cNvPr>
            <xdr:cNvSpPr txBox="1"/>
          </xdr:nvSpPr>
          <xdr:spPr>
            <a:xfrm>
              <a:off x="771525" y="9039225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𝟔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𝟏𝟐𝐗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9" name="CuadroTexto 18"/>
            <xdr:cNvSpPr txBox="1"/>
          </xdr:nvSpPr>
          <xdr:spPr>
            <a:xfrm>
              <a:off x="771525" y="9039225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𝑭(𝑿)=−𝟏.𝟓𝑿^𝟔−𝟐𝐗^𝟒+𝟏𝟐𝐗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11</xdr:col>
      <xdr:colOff>114149</xdr:colOff>
      <xdr:row>63</xdr:row>
      <xdr:rowOff>174624</xdr:rowOff>
    </xdr:from>
    <xdr:to>
      <xdr:col>15</xdr:col>
      <xdr:colOff>657225</xdr:colOff>
      <xdr:row>69</xdr:row>
      <xdr:rowOff>16976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F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111" r="39621" b="59326"/>
        <a:stretch/>
      </xdr:blipFill>
      <xdr:spPr>
        <a:xfrm>
          <a:off x="8496149" y="12366624"/>
          <a:ext cx="3591076" cy="985352"/>
        </a:xfrm>
        <a:prstGeom prst="rect">
          <a:avLst/>
        </a:prstGeom>
      </xdr:spPr>
    </xdr:pic>
    <xdr:clientData/>
  </xdr:twoCellAnchor>
  <xdr:oneCellAnchor>
    <xdr:from>
      <xdr:col>1</xdr:col>
      <xdr:colOff>9525</xdr:colOff>
      <xdr:row>95</xdr:row>
      <xdr:rowOff>19050</xdr:rowOff>
    </xdr:from>
    <xdr:ext cx="2425536" cy="2649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0000000-0008-0000-1F00-000015000000}"/>
                </a:ext>
              </a:extLst>
            </xdr:cNvPr>
            <xdr:cNvSpPr txBox="1"/>
          </xdr:nvSpPr>
          <xdr:spPr>
            <a:xfrm>
              <a:off x="771525" y="18307050"/>
              <a:ext cx="2425536" cy="264944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𝟗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𝟓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1" name="CuadroTexto 20"/>
            <xdr:cNvSpPr txBox="1"/>
          </xdr:nvSpPr>
          <xdr:spPr>
            <a:xfrm>
              <a:off x="771525" y="18307050"/>
              <a:ext cx="2425536" cy="264944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(𝑿)=−𝟗𝑿^𝟓−𝟖𝐗^𝟑+𝟏𝟐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9525</xdr:colOff>
      <xdr:row>96</xdr:row>
      <xdr:rowOff>104775</xdr:rowOff>
    </xdr:from>
    <xdr:ext cx="223445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00000000-0008-0000-1F00-000016000000}"/>
                </a:ext>
              </a:extLst>
            </xdr:cNvPr>
            <xdr:cNvSpPr txBox="1"/>
          </xdr:nvSpPr>
          <xdr:spPr>
            <a:xfrm>
              <a:off x="771525" y="18592800"/>
              <a:ext cx="223445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𝟒𝟓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2" name="CuadroTexto 21"/>
            <xdr:cNvSpPr txBox="1"/>
          </xdr:nvSpPr>
          <xdr:spPr>
            <a:xfrm>
              <a:off x="771525" y="18592800"/>
              <a:ext cx="223445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𝑭^′′ (𝑿)=−𝟒𝟓𝑿^𝟒−𝟐𝟒𝐗^𝟐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123</xdr:row>
      <xdr:rowOff>47625</xdr:rowOff>
    </xdr:from>
    <xdr:ext cx="3527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00000000-0008-0000-1F00-000017000000}"/>
                </a:ext>
              </a:extLst>
            </xdr:cNvPr>
            <xdr:cNvSpPr txBox="1"/>
          </xdr:nvSpPr>
          <xdr:spPr>
            <a:xfrm>
              <a:off x="762000" y="23679150"/>
              <a:ext cx="3527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3" name="CuadroTexto 22"/>
            <xdr:cNvSpPr txBox="1"/>
          </xdr:nvSpPr>
          <xdr:spPr>
            <a:xfrm>
              <a:off x="762000" y="23679150"/>
              <a:ext cx="3527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𝑭(𝑿)=𝟒𝑿−𝟏.𝟖𝑿^𝟐+𝟏.𝟐𝑿^𝟑−𝟎.𝟑𝑿^𝟒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13</xdr:col>
      <xdr:colOff>114299</xdr:colOff>
      <xdr:row>129</xdr:row>
      <xdr:rowOff>74268</xdr:rowOff>
    </xdr:from>
    <xdr:to>
      <xdr:col>18</xdr:col>
      <xdr:colOff>561974</xdr:colOff>
      <xdr:row>135</xdr:row>
      <xdr:rowOff>99527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F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111" r="39621" b="59326"/>
        <a:stretch/>
      </xdr:blipFill>
      <xdr:spPr>
        <a:xfrm>
          <a:off x="10020299" y="24848793"/>
          <a:ext cx="4257675" cy="1168259"/>
        </a:xfrm>
        <a:prstGeom prst="rect">
          <a:avLst/>
        </a:prstGeom>
      </xdr:spPr>
    </xdr:pic>
    <xdr:clientData/>
  </xdr:twoCellAnchor>
  <xdr:oneCellAnchor>
    <xdr:from>
      <xdr:col>0</xdr:col>
      <xdr:colOff>742950</xdr:colOff>
      <xdr:row>152</xdr:row>
      <xdr:rowOff>123825</xdr:rowOff>
    </xdr:from>
    <xdr:ext cx="3527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0000000-0008-0000-1F00-00001C000000}"/>
                </a:ext>
              </a:extLst>
            </xdr:cNvPr>
            <xdr:cNvSpPr txBox="1"/>
          </xdr:nvSpPr>
          <xdr:spPr>
            <a:xfrm>
              <a:off x="742950" y="29279850"/>
              <a:ext cx="3527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8" name="CuadroTexto 27"/>
            <xdr:cNvSpPr txBox="1"/>
          </xdr:nvSpPr>
          <xdr:spPr>
            <a:xfrm>
              <a:off x="742950" y="29279850"/>
              <a:ext cx="3527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𝑭(𝑿)=𝟒𝑿−𝟏.𝟖𝑿^𝟐+𝟏.𝟐𝑿^𝟑−𝟎.𝟑𝑿^𝟒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</xdr:col>
      <xdr:colOff>733425</xdr:colOff>
      <xdr:row>152</xdr:row>
      <xdr:rowOff>123825</xdr:rowOff>
    </xdr:from>
    <xdr:ext cx="323902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00000000-0008-0000-1F00-00001D000000}"/>
                </a:ext>
              </a:extLst>
            </xdr:cNvPr>
            <xdr:cNvSpPr txBox="1"/>
          </xdr:nvSpPr>
          <xdr:spPr>
            <a:xfrm>
              <a:off x="4543425" y="29279850"/>
              <a:ext cx="323902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9" name="CuadroTexto 28"/>
            <xdr:cNvSpPr txBox="1"/>
          </xdr:nvSpPr>
          <xdr:spPr>
            <a:xfrm>
              <a:off x="4543425" y="29279850"/>
              <a:ext cx="323902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(𝒙)=𝟒−𝟑.𝟔𝑿+𝟑.𝟔𝑿^𝟐−𝟏.𝟐𝑿^𝟑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276225</xdr:colOff>
      <xdr:row>152</xdr:row>
      <xdr:rowOff>123825</xdr:rowOff>
    </xdr:from>
    <xdr:ext cx="283834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0000000-0008-0000-1F00-00001E000000}"/>
                </a:ext>
              </a:extLst>
            </xdr:cNvPr>
            <xdr:cNvSpPr txBox="1"/>
          </xdr:nvSpPr>
          <xdr:spPr>
            <a:xfrm>
              <a:off x="7896225" y="29279850"/>
              <a:ext cx="283834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𝟕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0" name="CuadroTexto 29"/>
            <xdr:cNvSpPr txBox="1"/>
          </xdr:nvSpPr>
          <xdr:spPr>
            <a:xfrm>
              <a:off x="7896225" y="29279850"/>
              <a:ext cx="283834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𝑭^′′ (𝒙)=−𝟑.𝟔+𝟕.𝟐𝑿−𝟑.𝟔𝑿^𝟐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165</xdr:row>
      <xdr:rowOff>95250</xdr:rowOff>
    </xdr:from>
    <xdr:ext cx="2874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00000000-0008-0000-1F00-00001F000000}"/>
                </a:ext>
              </a:extLst>
            </xdr:cNvPr>
            <xdr:cNvSpPr txBox="1"/>
          </xdr:nvSpPr>
          <xdr:spPr>
            <a:xfrm>
              <a:off x="762000" y="31737300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1" name="CuadroTexto 30"/>
            <xdr:cNvSpPr txBox="1"/>
          </xdr:nvSpPr>
          <xdr:spPr>
            <a:xfrm>
              <a:off x="762000" y="31737300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𝑭(𝑿)=−𝑿^𝟒−𝟐𝑿^𝟑−𝟖𝑿^𝟐−𝟓𝑿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>
    <xdr:from>
      <xdr:col>3</xdr:col>
      <xdr:colOff>342900</xdr:colOff>
      <xdr:row>168</xdr:row>
      <xdr:rowOff>95250</xdr:rowOff>
    </xdr:from>
    <xdr:to>
      <xdr:col>9</xdr:col>
      <xdr:colOff>66675</xdr:colOff>
      <xdr:row>181</xdr:row>
      <xdr:rowOff>28575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1F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173019</xdr:colOff>
      <xdr:row>166</xdr:row>
      <xdr:rowOff>123824</xdr:rowOff>
    </xdr:from>
    <xdr:to>
      <xdr:col>14</xdr:col>
      <xdr:colOff>123824</xdr:colOff>
      <xdr:row>181</xdr:row>
      <xdr:rowOff>93397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55019" y="31956374"/>
          <a:ext cx="2236805" cy="2827073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oneCellAnchor>
    <xdr:from>
      <xdr:col>6</xdr:col>
      <xdr:colOff>0</xdr:colOff>
      <xdr:row>184</xdr:row>
      <xdr:rowOff>161925</xdr:rowOff>
    </xdr:from>
    <xdr:ext cx="2874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00000000-0008-0000-1F00-000023000000}"/>
                </a:ext>
              </a:extLst>
            </xdr:cNvPr>
            <xdr:cNvSpPr txBox="1"/>
          </xdr:nvSpPr>
          <xdr:spPr>
            <a:xfrm>
              <a:off x="4572000" y="35423475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5" name="CuadroTexto 34"/>
            <xdr:cNvSpPr txBox="1"/>
          </xdr:nvSpPr>
          <xdr:spPr>
            <a:xfrm>
              <a:off x="4572000" y="35423475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𝑭(𝑿)=−𝑿^𝟒−𝟐𝑿^𝟑−𝟖𝑿^𝟐−𝟓𝑿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7</xdr:col>
      <xdr:colOff>95250</xdr:colOff>
      <xdr:row>199</xdr:row>
      <xdr:rowOff>171450</xdr:rowOff>
    </xdr:from>
    <xdr:ext cx="2874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00000000-0008-0000-1F00-000024000000}"/>
                </a:ext>
              </a:extLst>
            </xdr:cNvPr>
            <xdr:cNvSpPr txBox="1"/>
          </xdr:nvSpPr>
          <xdr:spPr>
            <a:xfrm>
              <a:off x="5429250" y="38290500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6" name="CuadroTexto 35"/>
            <xdr:cNvSpPr txBox="1"/>
          </xdr:nvSpPr>
          <xdr:spPr>
            <a:xfrm>
              <a:off x="5429250" y="38290500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𝑭(𝑿)=−𝑿^𝟒−𝟐𝑿^𝟑−𝟖𝑿^𝟐−𝟓𝑿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8</xdr:col>
      <xdr:colOff>161925</xdr:colOff>
      <xdr:row>208</xdr:row>
      <xdr:rowOff>28575</xdr:rowOff>
    </xdr:from>
    <xdr:ext cx="2874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00000000-0008-0000-1F00-000025000000}"/>
                </a:ext>
              </a:extLst>
            </xdr:cNvPr>
            <xdr:cNvSpPr txBox="1"/>
          </xdr:nvSpPr>
          <xdr:spPr>
            <a:xfrm>
              <a:off x="6257925" y="39862125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7" name="CuadroTexto 36"/>
            <xdr:cNvSpPr txBox="1"/>
          </xdr:nvSpPr>
          <xdr:spPr>
            <a:xfrm>
              <a:off x="6257925" y="39862125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𝑭(𝑿)=−𝑿^𝟒−𝟐𝑿^𝟑−𝟖𝑿^𝟐−𝟓𝑿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8</xdr:col>
      <xdr:colOff>190500</xdr:colOff>
      <xdr:row>209</xdr:row>
      <xdr:rowOff>123825</xdr:rowOff>
    </xdr:from>
    <xdr:ext cx="2933047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00000000-0008-0000-1F00-000026000000}"/>
                </a:ext>
              </a:extLst>
            </xdr:cNvPr>
            <xdr:cNvSpPr txBox="1"/>
          </xdr:nvSpPr>
          <xdr:spPr>
            <a:xfrm>
              <a:off x="6286500" y="40147875"/>
              <a:ext cx="2933047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′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𝟏𝟔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8" name="CuadroTexto 37"/>
            <xdr:cNvSpPr txBox="1"/>
          </xdr:nvSpPr>
          <xdr:spPr>
            <a:xfrm>
              <a:off x="6286500" y="40147875"/>
              <a:ext cx="2933047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𝑭′(𝑿)=−𝟒𝑿^𝟑−𝟔𝑿^𝟐−𝟏𝟔𝑿−𝟓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8</xdr:col>
      <xdr:colOff>200025</xdr:colOff>
      <xdr:row>211</xdr:row>
      <xdr:rowOff>38100</xdr:rowOff>
    </xdr:from>
    <xdr:ext cx="2624116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00000000-0008-0000-1F00-000027000000}"/>
                </a:ext>
              </a:extLst>
            </xdr:cNvPr>
            <xdr:cNvSpPr txBox="1"/>
          </xdr:nvSpPr>
          <xdr:spPr>
            <a:xfrm>
              <a:off x="6296025" y="40443150"/>
              <a:ext cx="2624116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′′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𝟏𝟔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9" name="CuadroTexto 38"/>
            <xdr:cNvSpPr txBox="1"/>
          </xdr:nvSpPr>
          <xdr:spPr>
            <a:xfrm>
              <a:off x="6296025" y="40443150"/>
              <a:ext cx="2624116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𝑭′′(𝑿)=−𝟏𝟐𝑿^𝟐−𝟏𝟐𝑿−𝟏𝟔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4</xdr:row>
      <xdr:rowOff>38100</xdr:rowOff>
    </xdr:from>
    <xdr:ext cx="320017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0000000-0008-0000-2000-000002000000}"/>
                </a:ext>
              </a:extLst>
            </xdr:cNvPr>
            <xdr:cNvSpPr txBox="1"/>
          </xdr:nvSpPr>
          <xdr:spPr>
            <a:xfrm>
              <a:off x="1000125" y="981075"/>
              <a:ext cx="320017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𝒀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𝒀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𝑿𝒀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𝒀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" name="CuadroTexto 1"/>
            <xdr:cNvSpPr txBox="1"/>
          </xdr:nvSpPr>
          <xdr:spPr>
            <a:xfrm>
              <a:off x="1000125" y="981075"/>
              <a:ext cx="320017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𝑭(𝑿,𝒀)=𝒀−𝑿−𝟐𝑿^𝟐−𝟐𝑿𝒀−𝒀^𝟐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5</xdr:col>
      <xdr:colOff>457200</xdr:colOff>
      <xdr:row>4</xdr:row>
      <xdr:rowOff>57150</xdr:rowOff>
    </xdr:from>
    <xdr:to>
      <xdr:col>7</xdr:col>
      <xdr:colOff>438360</xdr:colOff>
      <xdr:row>5</xdr:row>
      <xdr:rowOff>161966</xdr:rowOff>
    </xdr:to>
    <xdr:pic>
      <xdr:nvPicPr>
        <xdr:cNvPr id="4" name="Imagen 3" descr="Recorte de pantalla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000125"/>
          <a:ext cx="1505160" cy="29531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12</xdr:row>
      <xdr:rowOff>152400</xdr:rowOff>
    </xdr:from>
    <xdr:ext cx="3096681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0000000-0008-0000-2100-000002000000}"/>
                </a:ext>
              </a:extLst>
            </xdr:cNvPr>
            <xdr:cNvSpPr txBox="1"/>
          </xdr:nvSpPr>
          <xdr:spPr>
            <a:xfrm>
              <a:off x="809625" y="2695575"/>
              <a:ext cx="3096681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𝑴𝒂𝒙𝒊𝒎𝒊𝒛𝒂𝒓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𝒁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𝟏𝟓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𝑶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𝟏𝟕𝟓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2" name="CuadroTexto 1"/>
            <xdr:cNvSpPr txBox="1"/>
          </xdr:nvSpPr>
          <xdr:spPr>
            <a:xfrm>
              <a:off x="809625" y="2695575"/>
              <a:ext cx="3096681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𝑴𝒂𝒙𝒊𝒎𝒊𝒛𝒂𝒓 𝒁=𝟏𝟓𝑶𝑿_𝟏+𝟏𝟕𝟓𝑿_𝟐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15</xdr:row>
      <xdr:rowOff>142875</xdr:rowOff>
    </xdr:from>
    <xdr:ext cx="2646878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2100-000003000000}"/>
                </a:ext>
              </a:extLst>
            </xdr:cNvPr>
            <xdr:cNvSpPr txBox="1"/>
          </xdr:nvSpPr>
          <xdr:spPr>
            <a:xfrm>
              <a:off x="828675" y="3257550"/>
              <a:ext cx="2646878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𝑻𝒐𝒕𝒂𝒍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𝒅𝒆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𝒈𝒂𝒔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𝟕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𝟏𝟏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/>
            <xdr:cNvSpPr txBox="1"/>
          </xdr:nvSpPr>
          <xdr:spPr>
            <a:xfrm>
              <a:off x="828675" y="3257550"/>
              <a:ext cx="2646878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𝑻𝒐𝒕𝒂𝒍 𝒅𝒆 𝒈𝒂𝒔=𝟕𝑿_𝟏+𝟏𝟏𝑿_𝟐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0</xdr:col>
      <xdr:colOff>828674</xdr:colOff>
      <xdr:row>17</xdr:row>
      <xdr:rowOff>152400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00000000-0008-0000-2100-000004000000}"/>
                </a:ext>
              </a:extLst>
            </xdr:cNvPr>
            <xdr:cNvSpPr txBox="1"/>
          </xdr:nvSpPr>
          <xdr:spPr>
            <a:xfrm>
              <a:off x="828674" y="364807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𝟕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𝟏𝟏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𝟕𝟕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4" name="CuadroTexto 3"/>
            <xdr:cNvSpPr txBox="1"/>
          </xdr:nvSpPr>
          <xdr:spPr>
            <a:xfrm>
              <a:off x="828674" y="364807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𝟕𝑿_𝟏+𝟏𝟏𝑿_𝟐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≤𝟕𝟕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0</xdr:col>
      <xdr:colOff>828674</xdr:colOff>
      <xdr:row>19</xdr:row>
      <xdr:rowOff>142875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00000000-0008-0000-2100-000005000000}"/>
                </a:ext>
              </a:extLst>
            </xdr:cNvPr>
            <xdr:cNvSpPr txBox="1"/>
          </xdr:nvSpPr>
          <xdr:spPr>
            <a:xfrm>
              <a:off x="828674" y="401955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𝟏𝟎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𝟖𝟎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5" name="CuadroTexto 4"/>
            <xdr:cNvSpPr txBox="1"/>
          </xdr:nvSpPr>
          <xdr:spPr>
            <a:xfrm>
              <a:off x="828674" y="401955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𝟏𝟎𝑿_𝟏+𝟖𝑿_𝟐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≤𝟖𝟎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9524</xdr:colOff>
      <xdr:row>21</xdr:row>
      <xdr:rowOff>133350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0000000-0008-0000-2100-000006000000}"/>
                </a:ext>
              </a:extLst>
            </xdr:cNvPr>
            <xdr:cNvSpPr txBox="1"/>
          </xdr:nvSpPr>
          <xdr:spPr>
            <a:xfrm>
              <a:off x="838199" y="4391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𝟗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6" name="CuadroTexto 5"/>
            <xdr:cNvSpPr txBox="1"/>
          </xdr:nvSpPr>
          <xdr:spPr>
            <a:xfrm>
              <a:off x="838199" y="4391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𝑿_𝟏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≤𝟗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0</xdr:col>
      <xdr:colOff>828674</xdr:colOff>
      <xdr:row>23</xdr:row>
      <xdr:rowOff>133350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0000000-0008-0000-2100-000007000000}"/>
                </a:ext>
              </a:extLst>
            </xdr:cNvPr>
            <xdr:cNvSpPr txBox="1"/>
          </xdr:nvSpPr>
          <xdr:spPr>
            <a:xfrm>
              <a:off x="828674" y="4772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𝟔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7" name="CuadroTexto 6"/>
            <xdr:cNvSpPr txBox="1"/>
          </xdr:nvSpPr>
          <xdr:spPr>
            <a:xfrm>
              <a:off x="828674" y="4772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𝑿_𝟐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≤𝟔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9524</xdr:colOff>
      <xdr:row>25</xdr:row>
      <xdr:rowOff>133350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0000000-0008-0000-2100-000009000000}"/>
                </a:ext>
              </a:extLst>
            </xdr:cNvPr>
            <xdr:cNvSpPr txBox="1"/>
          </xdr:nvSpPr>
          <xdr:spPr>
            <a:xfrm>
              <a:off x="838199" y="5153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𝟎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9" name="CuadroTexto 8"/>
            <xdr:cNvSpPr txBox="1"/>
          </xdr:nvSpPr>
          <xdr:spPr>
            <a:xfrm>
              <a:off x="838199" y="5153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𝑿_𝟏,𝑿_𝟐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≥𝟎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1295400</xdr:colOff>
      <xdr:row>30</xdr:row>
      <xdr:rowOff>123825</xdr:rowOff>
    </xdr:from>
    <xdr:ext cx="1724025" cy="4594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0000000-0008-0000-2100-00000A000000}"/>
                </a:ext>
              </a:extLst>
            </xdr:cNvPr>
            <xdr:cNvSpPr txBox="1"/>
          </xdr:nvSpPr>
          <xdr:spPr>
            <a:xfrm>
              <a:off x="2124075" y="6096000"/>
              <a:ext cx="1724025" cy="459421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𝟕</m:t>
                        </m:r>
                      </m:num>
                      <m:den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𝟏𝟏</m:t>
                        </m:r>
                      </m:den>
                    </m:f>
                    <m:sSub>
                      <m:sSub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𝟕</m:t>
                    </m:r>
                  </m:oMath>
                </m:oMathPara>
              </a14:m>
              <a:endParaRPr lang="es-PE" sz="1600" b="1">
                <a:solidFill>
                  <a:srgbClr val="6BFBA5"/>
                </a:solidFill>
              </a:endParaRPr>
            </a:p>
          </xdr:txBody>
        </xdr:sp>
      </mc:Choice>
      <mc:Fallback xmlns="">
        <xdr:sp macro="" textlink="">
          <xdr:nvSpPr>
            <xdr:cNvPr id="10" name="CuadroTexto 9"/>
            <xdr:cNvSpPr txBox="1"/>
          </xdr:nvSpPr>
          <xdr:spPr>
            <a:xfrm>
              <a:off x="2124075" y="6096000"/>
              <a:ext cx="1724025" cy="459421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BFBA5"/>
                  </a:solidFill>
                  <a:latin typeface="Cambria Math" panose="02040503050406030204" pitchFamily="18" charset="0"/>
                </a:rPr>
                <a:t>𝑿_𝟐</a:t>
              </a:r>
              <a:r>
                <a:rPr lang="es-PE" sz="1600" b="1" i="0">
                  <a:solidFill>
                    <a:srgbClr val="6BFBA5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=−𝟕/𝟏𝟏 𝑿_𝟏+𝟕</a:t>
              </a:r>
              <a:endParaRPr lang="es-PE" sz="1600" b="1">
                <a:solidFill>
                  <a:srgbClr val="6BFBA5"/>
                </a:solidFill>
              </a:endParaRPr>
            </a:p>
          </xdr:txBody>
        </xdr:sp>
      </mc:Fallback>
    </mc:AlternateContent>
    <xdr:clientData/>
  </xdr:oneCellAnchor>
  <xdr:oneCellAnchor>
    <xdr:from>
      <xdr:col>4</xdr:col>
      <xdr:colOff>152400</xdr:colOff>
      <xdr:row>30</xdr:row>
      <xdr:rowOff>133350</xdr:rowOff>
    </xdr:from>
    <xdr:ext cx="1724025" cy="4594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0000000-0008-0000-2100-00000C000000}"/>
                </a:ext>
              </a:extLst>
            </xdr:cNvPr>
            <xdr:cNvSpPr txBox="1"/>
          </xdr:nvSpPr>
          <xdr:spPr>
            <a:xfrm>
              <a:off x="3895725" y="6105525"/>
              <a:ext cx="1724025" cy="459421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𝟏𝟎</m:t>
                        </m:r>
                      </m:num>
                      <m:den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𝟖</m:t>
                        </m:r>
                      </m:den>
                    </m:f>
                    <m:sSub>
                      <m:sSub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𝟏𝟎</m:t>
                    </m:r>
                  </m:oMath>
                </m:oMathPara>
              </a14:m>
              <a:endParaRPr lang="es-PE" sz="1600" b="1">
                <a:solidFill>
                  <a:srgbClr val="6BFBA5"/>
                </a:solidFill>
              </a:endParaRPr>
            </a:p>
          </xdr:txBody>
        </xdr:sp>
      </mc:Choice>
      <mc:Fallback xmlns="">
        <xdr:sp macro="" textlink="">
          <xdr:nvSpPr>
            <xdr:cNvPr id="12" name="CuadroTexto 11"/>
            <xdr:cNvSpPr txBox="1"/>
          </xdr:nvSpPr>
          <xdr:spPr>
            <a:xfrm>
              <a:off x="3895725" y="6105525"/>
              <a:ext cx="1724025" cy="459421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BFBA5"/>
                  </a:solidFill>
                  <a:latin typeface="Cambria Math" panose="02040503050406030204" pitchFamily="18" charset="0"/>
                </a:rPr>
                <a:t>𝑿_𝟐</a:t>
              </a:r>
              <a:r>
                <a:rPr lang="es-PE" sz="1600" b="1" i="0">
                  <a:solidFill>
                    <a:srgbClr val="6BFBA5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=−𝟏𝟎/𝟖 𝑿_𝟏+𝟏𝟎</a:t>
              </a:r>
              <a:endParaRPr lang="es-PE" sz="1600" b="1">
                <a:solidFill>
                  <a:srgbClr val="6BFBA5"/>
                </a:solidFill>
              </a:endParaRPr>
            </a:p>
          </xdr:txBody>
        </xdr:sp>
      </mc:Fallback>
    </mc:AlternateContent>
    <xdr:clientData/>
  </xdr:oneCellAnchor>
  <xdr:twoCellAnchor>
    <xdr:from>
      <xdr:col>7</xdr:col>
      <xdr:colOff>228600</xdr:colOff>
      <xdr:row>32</xdr:row>
      <xdr:rowOff>123825</xdr:rowOff>
    </xdr:from>
    <xdr:to>
      <xdr:col>13</xdr:col>
      <xdr:colOff>228600</xdr:colOff>
      <xdr:row>47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1</xdr:colOff>
      <xdr:row>56</xdr:row>
      <xdr:rowOff>0</xdr:rowOff>
    </xdr:from>
    <xdr:ext cx="1904624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0000000-0008-0000-2100-00000D000000}"/>
                </a:ext>
              </a:extLst>
            </xdr:cNvPr>
            <xdr:cNvSpPr txBox="1"/>
          </xdr:nvSpPr>
          <xdr:spPr>
            <a:xfrm>
              <a:off x="2219326" y="10944225"/>
              <a:ext cx="1904624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𝒁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𝟏𝟓𝟎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𝟏𝟕𝟓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3" name="CuadroTexto 12"/>
            <xdr:cNvSpPr txBox="1"/>
          </xdr:nvSpPr>
          <xdr:spPr>
            <a:xfrm>
              <a:off x="2219326" y="10944225"/>
              <a:ext cx="1904624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𝒁=𝟏𝟓𝟎𝑿_𝟏+𝟏𝟕𝟓𝑿_𝟐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58</xdr:row>
      <xdr:rowOff>9525</xdr:rowOff>
    </xdr:from>
    <xdr:ext cx="238125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00000000-0008-0000-2100-00000F000000}"/>
                </a:ext>
              </a:extLst>
            </xdr:cNvPr>
            <xdr:cNvSpPr txBox="1"/>
          </xdr:nvSpPr>
          <xdr:spPr>
            <a:xfrm>
              <a:off x="2219325" y="11334750"/>
              <a:ext cx="238125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𝟕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𝟏𝟏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𝑺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𝟕𝟕</m:t>
                    </m:r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5" name="CuadroTexto 14"/>
            <xdr:cNvSpPr txBox="1"/>
          </xdr:nvSpPr>
          <xdr:spPr>
            <a:xfrm>
              <a:off x="2219325" y="11334750"/>
              <a:ext cx="238125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𝟕𝑿_𝟏+𝟏𝟏𝑿_𝟐+𝑺_𝟏</a:t>
              </a:r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=𝟕𝟕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60</xdr:row>
      <xdr:rowOff>0</xdr:rowOff>
    </xdr:from>
    <xdr:ext cx="227647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00000000-0008-0000-2100-000010000000}"/>
                </a:ext>
              </a:extLst>
            </xdr:cNvPr>
            <xdr:cNvSpPr txBox="1"/>
          </xdr:nvSpPr>
          <xdr:spPr>
            <a:xfrm>
              <a:off x="2219325" y="11706225"/>
              <a:ext cx="227647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𝟏𝟎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𝑺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𝟖𝟎</m:t>
                    </m:r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6" name="CuadroTexto 15"/>
            <xdr:cNvSpPr txBox="1"/>
          </xdr:nvSpPr>
          <xdr:spPr>
            <a:xfrm>
              <a:off x="2219325" y="11706225"/>
              <a:ext cx="227647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𝟏𝟎𝑿_𝟏+𝟖𝑿_𝟐</a:t>
              </a:r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+𝑺_𝟐=𝟖𝟎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9525</xdr:colOff>
      <xdr:row>61</xdr:row>
      <xdr:rowOff>171450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00000000-0008-0000-2100-000011000000}"/>
                </a:ext>
              </a:extLst>
            </xdr:cNvPr>
            <xdr:cNvSpPr txBox="1"/>
          </xdr:nvSpPr>
          <xdr:spPr>
            <a:xfrm>
              <a:off x="10782300" y="1188720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𝑺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𝟗</m:t>
                    </m:r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7" name="CuadroTexto 16"/>
            <xdr:cNvSpPr txBox="1"/>
          </xdr:nvSpPr>
          <xdr:spPr>
            <a:xfrm>
              <a:off x="10782300" y="1188720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𝑿_𝟏+𝑺_𝟑</a:t>
              </a:r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=𝟗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63</xdr:row>
      <xdr:rowOff>171450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00000000-0008-0000-2100-000012000000}"/>
                </a:ext>
              </a:extLst>
            </xdr:cNvPr>
            <xdr:cNvSpPr txBox="1"/>
          </xdr:nvSpPr>
          <xdr:spPr>
            <a:xfrm>
              <a:off x="10772775" y="1226820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𝑺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𝟔</m:t>
                    </m:r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8" name="CuadroTexto 17"/>
            <xdr:cNvSpPr txBox="1"/>
          </xdr:nvSpPr>
          <xdr:spPr>
            <a:xfrm>
              <a:off x="10772775" y="1226820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𝑿_𝟐</a:t>
              </a:r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+𝑺_𝟒=𝟔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twoCellAnchor>
    <xdr:from>
      <xdr:col>11</xdr:col>
      <xdr:colOff>581025</xdr:colOff>
      <xdr:row>36</xdr:row>
      <xdr:rowOff>114300</xdr:rowOff>
    </xdr:from>
    <xdr:to>
      <xdr:col>11</xdr:col>
      <xdr:colOff>590550</xdr:colOff>
      <xdr:row>45</xdr:row>
      <xdr:rowOff>95250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CxnSpPr/>
      </xdr:nvCxnSpPr>
      <xdr:spPr>
        <a:xfrm flipH="1">
          <a:off x="9829800" y="7239000"/>
          <a:ext cx="9525" cy="169545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</cdr:x>
      <cdr:y>0.58956</cdr:y>
    </cdr:from>
    <cdr:to>
      <cdr:x>0.71733</cdr:x>
      <cdr:y>0.89931</cdr:y>
    </cdr:to>
    <cdr:sp macro="" textlink="">
      <cdr:nvSpPr>
        <cdr:cNvPr id="2" name="Rectángulo 1"/>
        <cdr:cNvSpPr/>
      </cdr:nvSpPr>
      <cdr:spPr>
        <a:xfrm xmlns:a="http://schemas.openxmlformats.org/drawingml/2006/main">
          <a:off x="457200" y="1617277"/>
          <a:ext cx="2822444" cy="849698"/>
        </a:xfrm>
        <a:custGeom xmlns:a="http://schemas.openxmlformats.org/drawingml/2006/main">
          <a:avLst/>
          <a:gdLst>
            <a:gd name="connsiteX0" fmla="*/ 0 w 2628900"/>
            <a:gd name="connsiteY0" fmla="*/ 847725 h 847725"/>
            <a:gd name="connsiteX1" fmla="*/ 0 w 2628900"/>
            <a:gd name="connsiteY1" fmla="*/ 0 h 847725"/>
            <a:gd name="connsiteX2" fmla="*/ 2628900 w 2628900"/>
            <a:gd name="connsiteY2" fmla="*/ 847725 h 847725"/>
            <a:gd name="connsiteX3" fmla="*/ 0 w 2628900"/>
            <a:gd name="connsiteY3" fmla="*/ 847725 h 847725"/>
            <a:gd name="connsiteX0" fmla="*/ 0 w 2628900"/>
            <a:gd name="connsiteY0" fmla="*/ 847725 h 847725"/>
            <a:gd name="connsiteX1" fmla="*/ 0 w 2628900"/>
            <a:gd name="connsiteY1" fmla="*/ 0 h 847725"/>
            <a:gd name="connsiteX2" fmla="*/ 200025 w 2628900"/>
            <a:gd name="connsiteY2" fmla="*/ 28575 h 847725"/>
            <a:gd name="connsiteX3" fmla="*/ 2628900 w 2628900"/>
            <a:gd name="connsiteY3" fmla="*/ 847725 h 847725"/>
            <a:gd name="connsiteX4" fmla="*/ 0 w 2628900"/>
            <a:gd name="connsiteY4" fmla="*/ 847725 h 847725"/>
            <a:gd name="connsiteX0" fmla="*/ 0 w 2628900"/>
            <a:gd name="connsiteY0" fmla="*/ 847725 h 847725"/>
            <a:gd name="connsiteX1" fmla="*/ 0 w 2628900"/>
            <a:gd name="connsiteY1" fmla="*/ 0 h 847725"/>
            <a:gd name="connsiteX2" fmla="*/ 200025 w 2628900"/>
            <a:gd name="connsiteY2" fmla="*/ 28575 h 847725"/>
            <a:gd name="connsiteX3" fmla="*/ 361950 w 2628900"/>
            <a:gd name="connsiteY3" fmla="*/ 9525 h 847725"/>
            <a:gd name="connsiteX4" fmla="*/ 2628900 w 2628900"/>
            <a:gd name="connsiteY4" fmla="*/ 847725 h 847725"/>
            <a:gd name="connsiteX5" fmla="*/ 0 w 2628900"/>
            <a:gd name="connsiteY5" fmla="*/ 847725 h 847725"/>
            <a:gd name="connsiteX0" fmla="*/ 0 w 2628900"/>
            <a:gd name="connsiteY0" fmla="*/ 849697 h 849697"/>
            <a:gd name="connsiteX1" fmla="*/ 0 w 2628900"/>
            <a:gd name="connsiteY1" fmla="*/ 1972 h 849697"/>
            <a:gd name="connsiteX2" fmla="*/ 200025 w 2628900"/>
            <a:gd name="connsiteY2" fmla="*/ 30547 h 849697"/>
            <a:gd name="connsiteX3" fmla="*/ 361950 w 2628900"/>
            <a:gd name="connsiteY3" fmla="*/ 11497 h 849697"/>
            <a:gd name="connsiteX4" fmla="*/ 514350 w 2628900"/>
            <a:gd name="connsiteY4" fmla="*/ 1972 h 849697"/>
            <a:gd name="connsiteX5" fmla="*/ 2628900 w 2628900"/>
            <a:gd name="connsiteY5" fmla="*/ 849697 h 849697"/>
            <a:gd name="connsiteX6" fmla="*/ 0 w 2628900"/>
            <a:gd name="connsiteY6" fmla="*/ 849697 h 849697"/>
            <a:gd name="connsiteX0" fmla="*/ 0 w 2628900"/>
            <a:gd name="connsiteY0" fmla="*/ 849697 h 849697"/>
            <a:gd name="connsiteX1" fmla="*/ 0 w 2628900"/>
            <a:gd name="connsiteY1" fmla="*/ 1972 h 849697"/>
            <a:gd name="connsiteX2" fmla="*/ 200025 w 2628900"/>
            <a:gd name="connsiteY2" fmla="*/ 30547 h 849697"/>
            <a:gd name="connsiteX3" fmla="*/ 361950 w 2628900"/>
            <a:gd name="connsiteY3" fmla="*/ 11497 h 849697"/>
            <a:gd name="connsiteX4" fmla="*/ 514350 w 2628900"/>
            <a:gd name="connsiteY4" fmla="*/ 1972 h 849697"/>
            <a:gd name="connsiteX5" fmla="*/ 2628900 w 2628900"/>
            <a:gd name="connsiteY5" fmla="*/ 849697 h 849697"/>
            <a:gd name="connsiteX6" fmla="*/ 0 w 2628900"/>
            <a:gd name="connsiteY6" fmla="*/ 849697 h 849697"/>
            <a:gd name="connsiteX0" fmla="*/ 0 w 2666746"/>
            <a:gd name="connsiteY0" fmla="*/ 849697 h 849697"/>
            <a:gd name="connsiteX1" fmla="*/ 0 w 2666746"/>
            <a:gd name="connsiteY1" fmla="*/ 1972 h 849697"/>
            <a:gd name="connsiteX2" fmla="*/ 200025 w 2666746"/>
            <a:gd name="connsiteY2" fmla="*/ 30547 h 849697"/>
            <a:gd name="connsiteX3" fmla="*/ 361950 w 2666746"/>
            <a:gd name="connsiteY3" fmla="*/ 11497 h 849697"/>
            <a:gd name="connsiteX4" fmla="*/ 514350 w 2666746"/>
            <a:gd name="connsiteY4" fmla="*/ 1972 h 849697"/>
            <a:gd name="connsiteX5" fmla="*/ 1552575 w 2666746"/>
            <a:gd name="connsiteY5" fmla="*/ 297247 h 849697"/>
            <a:gd name="connsiteX6" fmla="*/ 2628900 w 2666746"/>
            <a:gd name="connsiteY6" fmla="*/ 849697 h 849697"/>
            <a:gd name="connsiteX7" fmla="*/ 0 w 2666746"/>
            <a:gd name="connsiteY7" fmla="*/ 849697 h 849697"/>
            <a:gd name="connsiteX0" fmla="*/ 0 w 2815718"/>
            <a:gd name="connsiteY0" fmla="*/ 849697 h 849697"/>
            <a:gd name="connsiteX1" fmla="*/ 0 w 2815718"/>
            <a:gd name="connsiteY1" fmla="*/ 1972 h 849697"/>
            <a:gd name="connsiteX2" fmla="*/ 200025 w 2815718"/>
            <a:gd name="connsiteY2" fmla="*/ 30547 h 849697"/>
            <a:gd name="connsiteX3" fmla="*/ 361950 w 2815718"/>
            <a:gd name="connsiteY3" fmla="*/ 11497 h 849697"/>
            <a:gd name="connsiteX4" fmla="*/ 514350 w 2815718"/>
            <a:gd name="connsiteY4" fmla="*/ 1972 h 849697"/>
            <a:gd name="connsiteX5" fmla="*/ 1552575 w 2815718"/>
            <a:gd name="connsiteY5" fmla="*/ 297247 h 849697"/>
            <a:gd name="connsiteX6" fmla="*/ 2438400 w 2815718"/>
            <a:gd name="connsiteY6" fmla="*/ 783022 h 849697"/>
            <a:gd name="connsiteX7" fmla="*/ 2628900 w 2815718"/>
            <a:gd name="connsiteY7" fmla="*/ 849697 h 849697"/>
            <a:gd name="connsiteX8" fmla="*/ 0 w 2815718"/>
            <a:gd name="connsiteY8" fmla="*/ 849697 h 849697"/>
            <a:gd name="connsiteX0" fmla="*/ 0 w 2815718"/>
            <a:gd name="connsiteY0" fmla="*/ 869082 h 869082"/>
            <a:gd name="connsiteX1" fmla="*/ 0 w 2815718"/>
            <a:gd name="connsiteY1" fmla="*/ 21357 h 869082"/>
            <a:gd name="connsiteX2" fmla="*/ 200025 w 2815718"/>
            <a:gd name="connsiteY2" fmla="*/ 2307 h 869082"/>
            <a:gd name="connsiteX3" fmla="*/ 361950 w 2815718"/>
            <a:gd name="connsiteY3" fmla="*/ 30882 h 869082"/>
            <a:gd name="connsiteX4" fmla="*/ 514350 w 2815718"/>
            <a:gd name="connsiteY4" fmla="*/ 21357 h 869082"/>
            <a:gd name="connsiteX5" fmla="*/ 1552575 w 2815718"/>
            <a:gd name="connsiteY5" fmla="*/ 316632 h 869082"/>
            <a:gd name="connsiteX6" fmla="*/ 2438400 w 2815718"/>
            <a:gd name="connsiteY6" fmla="*/ 802407 h 869082"/>
            <a:gd name="connsiteX7" fmla="*/ 2628900 w 2815718"/>
            <a:gd name="connsiteY7" fmla="*/ 869082 h 869082"/>
            <a:gd name="connsiteX8" fmla="*/ 0 w 2815718"/>
            <a:gd name="connsiteY8" fmla="*/ 869082 h 869082"/>
            <a:gd name="connsiteX0" fmla="*/ 0 w 2815718"/>
            <a:gd name="connsiteY0" fmla="*/ 849698 h 849698"/>
            <a:gd name="connsiteX1" fmla="*/ 0 w 2815718"/>
            <a:gd name="connsiteY1" fmla="*/ 1973 h 849698"/>
            <a:gd name="connsiteX2" fmla="*/ 200025 w 2815718"/>
            <a:gd name="connsiteY2" fmla="*/ 11498 h 849698"/>
            <a:gd name="connsiteX3" fmla="*/ 361950 w 2815718"/>
            <a:gd name="connsiteY3" fmla="*/ 11498 h 849698"/>
            <a:gd name="connsiteX4" fmla="*/ 514350 w 2815718"/>
            <a:gd name="connsiteY4" fmla="*/ 1973 h 849698"/>
            <a:gd name="connsiteX5" fmla="*/ 1552575 w 2815718"/>
            <a:gd name="connsiteY5" fmla="*/ 297248 h 849698"/>
            <a:gd name="connsiteX6" fmla="*/ 2438400 w 2815718"/>
            <a:gd name="connsiteY6" fmla="*/ 783023 h 849698"/>
            <a:gd name="connsiteX7" fmla="*/ 2628900 w 2815718"/>
            <a:gd name="connsiteY7" fmla="*/ 849698 h 849698"/>
            <a:gd name="connsiteX8" fmla="*/ 0 w 2815718"/>
            <a:gd name="connsiteY8" fmla="*/ 849698 h 849698"/>
            <a:gd name="connsiteX0" fmla="*/ 0 w 2822444"/>
            <a:gd name="connsiteY0" fmla="*/ 849698 h 849698"/>
            <a:gd name="connsiteX1" fmla="*/ 0 w 2822444"/>
            <a:gd name="connsiteY1" fmla="*/ 1973 h 849698"/>
            <a:gd name="connsiteX2" fmla="*/ 200025 w 2822444"/>
            <a:gd name="connsiteY2" fmla="*/ 11498 h 849698"/>
            <a:gd name="connsiteX3" fmla="*/ 361950 w 2822444"/>
            <a:gd name="connsiteY3" fmla="*/ 11498 h 849698"/>
            <a:gd name="connsiteX4" fmla="*/ 514350 w 2822444"/>
            <a:gd name="connsiteY4" fmla="*/ 1973 h 849698"/>
            <a:gd name="connsiteX5" fmla="*/ 1552575 w 2822444"/>
            <a:gd name="connsiteY5" fmla="*/ 297248 h 849698"/>
            <a:gd name="connsiteX6" fmla="*/ 2466975 w 2822444"/>
            <a:gd name="connsiteY6" fmla="*/ 773498 h 849698"/>
            <a:gd name="connsiteX7" fmla="*/ 2628900 w 2822444"/>
            <a:gd name="connsiteY7" fmla="*/ 849698 h 849698"/>
            <a:gd name="connsiteX8" fmla="*/ 0 w 2822444"/>
            <a:gd name="connsiteY8" fmla="*/ 849698 h 8496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822444" h="849698">
              <a:moveTo>
                <a:pt x="0" y="849698"/>
              </a:moveTo>
              <a:lnTo>
                <a:pt x="0" y="1973"/>
              </a:lnTo>
              <a:cubicBezTo>
                <a:pt x="28575" y="14673"/>
                <a:pt x="171450" y="-1202"/>
                <a:pt x="200025" y="11498"/>
              </a:cubicBezTo>
              <a:cubicBezTo>
                <a:pt x="231775" y="17848"/>
                <a:pt x="330200" y="5148"/>
                <a:pt x="361950" y="11498"/>
              </a:cubicBezTo>
              <a:cubicBezTo>
                <a:pt x="390525" y="21023"/>
                <a:pt x="485775" y="-7552"/>
                <a:pt x="514350" y="1973"/>
              </a:cubicBezTo>
              <a:cubicBezTo>
                <a:pt x="693737" y="55948"/>
                <a:pt x="1200150" y="155961"/>
                <a:pt x="1552575" y="297248"/>
              </a:cubicBezTo>
              <a:cubicBezTo>
                <a:pt x="1906587" y="425835"/>
                <a:pt x="2287588" y="681423"/>
                <a:pt x="2466975" y="773498"/>
              </a:cubicBezTo>
              <a:cubicBezTo>
                <a:pt x="2646362" y="865573"/>
                <a:pt x="3068637" y="836998"/>
                <a:pt x="2628900" y="849698"/>
              </a:cubicBezTo>
              <a:lnTo>
                <a:pt x="0" y="849698"/>
              </a:lnTo>
              <a:close/>
            </a:path>
          </a:pathLst>
        </a:custGeom>
        <a:solidFill xmlns:a="http://schemas.openxmlformats.org/drawingml/2006/main">
          <a:schemeClr val="accent1">
            <a:lumMod val="20000"/>
            <a:lumOff val="80000"/>
          </a:schemeClr>
        </a:solidFill>
        <a:ln xmlns:a="http://schemas.openxmlformats.org/drawingml/2006/main" w="3810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PE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Ejercicios%20Met%20numeric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metodos%20numerico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TRABAJ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40279bdc61bdfa7c/Documentos/metodos%20numericos_avanzando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SERIE DE TAYLOR"/>
      <sheetName val="BISEC"/>
      <sheetName val="Biseccion 2"/>
      <sheetName val="Hoja3"/>
      <sheetName val="Hoja4"/>
    </sheetNames>
    <sheetDataSet>
      <sheetData sheetId="0"/>
      <sheetData sheetId="1"/>
      <sheetData sheetId="2">
        <row r="5">
          <cell r="L5" t="str">
            <v>g(x)=e^-x</v>
          </cell>
          <cell r="M5" t="str">
            <v>h(x)</v>
          </cell>
        </row>
        <row r="6">
          <cell r="K6">
            <v>-5</v>
          </cell>
          <cell r="L6">
            <v>148.4131591025766</v>
          </cell>
          <cell r="M6">
            <v>-5</v>
          </cell>
        </row>
        <row r="7">
          <cell r="K7">
            <v>-4</v>
          </cell>
          <cell r="L7">
            <v>54.598150033144236</v>
          </cell>
          <cell r="M7">
            <v>-4</v>
          </cell>
        </row>
        <row r="8">
          <cell r="K8">
            <v>-3</v>
          </cell>
          <cell r="L8">
            <v>20.085536923187668</v>
          </cell>
          <cell r="M8">
            <v>-3</v>
          </cell>
        </row>
        <row r="9">
          <cell r="K9">
            <v>-2</v>
          </cell>
          <cell r="L9">
            <v>7.3890560989306504</v>
          </cell>
          <cell r="M9">
            <v>-2</v>
          </cell>
        </row>
        <row r="10">
          <cell r="K10">
            <v>-1</v>
          </cell>
          <cell r="L10">
            <v>2.7182818284590451</v>
          </cell>
          <cell r="M10">
            <v>-1</v>
          </cell>
        </row>
        <row r="11">
          <cell r="K11">
            <v>0</v>
          </cell>
          <cell r="L11">
            <v>1</v>
          </cell>
          <cell r="M11">
            <v>0</v>
          </cell>
        </row>
        <row r="12">
          <cell r="K12">
            <v>1</v>
          </cell>
          <cell r="L12">
            <v>0.36787944117144233</v>
          </cell>
          <cell r="M12">
            <v>1</v>
          </cell>
        </row>
        <row r="13">
          <cell r="K13">
            <v>2</v>
          </cell>
          <cell r="L13">
            <v>0.1353352832366127</v>
          </cell>
          <cell r="M13">
            <v>2</v>
          </cell>
        </row>
        <row r="14">
          <cell r="K14">
            <v>3</v>
          </cell>
          <cell r="L14">
            <v>4.9787068367863944E-2</v>
          </cell>
          <cell r="M14">
            <v>3</v>
          </cell>
        </row>
        <row r="15">
          <cell r="K15">
            <v>4</v>
          </cell>
          <cell r="L15">
            <v>1.8315638888734179E-2</v>
          </cell>
          <cell r="M15">
            <v>4</v>
          </cell>
        </row>
        <row r="16">
          <cell r="K16">
            <v>5</v>
          </cell>
          <cell r="L16">
            <v>6.737946999085467E-3</v>
          </cell>
          <cell r="M16">
            <v>5</v>
          </cell>
        </row>
      </sheetData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</sheetNames>
    <sheetDataSet>
      <sheetData sheetId="0"/>
      <sheetData sheetId="1">
        <row r="31">
          <cell r="D31" t="str">
            <v>f(x)=cos(x)</v>
          </cell>
          <cell r="E31" t="str">
            <v>g(x)=sen(x)</v>
          </cell>
        </row>
        <row r="32">
          <cell r="B32">
            <v>0</v>
          </cell>
          <cell r="D32">
            <v>1</v>
          </cell>
          <cell r="E32">
            <v>0</v>
          </cell>
        </row>
        <row r="33">
          <cell r="B33">
            <v>30</v>
          </cell>
          <cell r="D33">
            <v>0.86602540378443871</v>
          </cell>
          <cell r="E33">
            <v>0.49999999999999994</v>
          </cell>
        </row>
        <row r="34">
          <cell r="B34">
            <v>60</v>
          </cell>
          <cell r="D34">
            <v>0.50000000000000011</v>
          </cell>
          <cell r="E34">
            <v>0.8660254037844386</v>
          </cell>
        </row>
        <row r="35">
          <cell r="B35">
            <v>90</v>
          </cell>
          <cell r="D35">
            <v>6.1257422745431001E-17</v>
          </cell>
          <cell r="E35">
            <v>1</v>
          </cell>
        </row>
        <row r="36">
          <cell r="B36">
            <v>120</v>
          </cell>
          <cell r="D36">
            <v>-0.49999999999999978</v>
          </cell>
          <cell r="E36">
            <v>0.86602540378443871</v>
          </cell>
        </row>
        <row r="37">
          <cell r="B37">
            <v>150</v>
          </cell>
          <cell r="D37">
            <v>-0.86602540378443849</v>
          </cell>
          <cell r="E37">
            <v>0.50000000000000033</v>
          </cell>
        </row>
        <row r="38">
          <cell r="B38">
            <v>180</v>
          </cell>
          <cell r="D38">
            <v>-1</v>
          </cell>
          <cell r="E38">
            <v>5.6660405534092462E-16</v>
          </cell>
        </row>
        <row r="39">
          <cell r="B39">
            <v>210</v>
          </cell>
          <cell r="D39">
            <v>-0.86602540378443904</v>
          </cell>
          <cell r="E39">
            <v>-0.49999999999999939</v>
          </cell>
        </row>
        <row r="40">
          <cell r="B40">
            <v>240</v>
          </cell>
          <cell r="D40">
            <v>-0.50000000000000044</v>
          </cell>
          <cell r="E40">
            <v>-0.86602540378443837</v>
          </cell>
        </row>
        <row r="41">
          <cell r="B41">
            <v>270</v>
          </cell>
          <cell r="D41">
            <v>-1.83772268236293E-16</v>
          </cell>
          <cell r="E41">
            <v>-1</v>
          </cell>
        </row>
        <row r="42">
          <cell r="B42">
            <v>300</v>
          </cell>
          <cell r="D42">
            <v>0.50000000000000011</v>
          </cell>
          <cell r="E42">
            <v>-0.8660254037844386</v>
          </cell>
        </row>
        <row r="43">
          <cell r="B43">
            <v>330</v>
          </cell>
          <cell r="D43">
            <v>0.86602540378443882</v>
          </cell>
          <cell r="E43">
            <v>-0.49999999999999967</v>
          </cell>
        </row>
        <row r="44">
          <cell r="B44">
            <v>360</v>
          </cell>
          <cell r="D44">
            <v>1</v>
          </cell>
          <cell r="E44">
            <v>6.4314872871840123E-16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7.2"/>
      <sheetName val="Hoja2"/>
      <sheetName val="7.3"/>
      <sheetName val="7.4"/>
      <sheetName val="7.5"/>
    </sheetNames>
    <sheetDataSet>
      <sheetData sheetId="0"/>
      <sheetData sheetId="1">
        <row r="5">
          <cell r="C5" t="str">
            <v>f(x)</v>
          </cell>
        </row>
        <row r="6">
          <cell r="B6">
            <v>5</v>
          </cell>
          <cell r="C6">
            <v>48</v>
          </cell>
        </row>
        <row r="7">
          <cell r="B7">
            <v>4</v>
          </cell>
          <cell r="C7">
            <v>0</v>
          </cell>
        </row>
        <row r="8">
          <cell r="B8">
            <v>3</v>
          </cell>
          <cell r="C8">
            <v>-24</v>
          </cell>
        </row>
        <row r="9">
          <cell r="B9">
            <v>2</v>
          </cell>
          <cell r="C9">
            <v>-30</v>
          </cell>
        </row>
        <row r="10">
          <cell r="B10">
            <v>1</v>
          </cell>
          <cell r="C10">
            <v>-24</v>
          </cell>
        </row>
        <row r="11">
          <cell r="B11">
            <v>0</v>
          </cell>
          <cell r="C11">
            <v>-12</v>
          </cell>
        </row>
        <row r="12">
          <cell r="B12">
            <v>-1</v>
          </cell>
          <cell r="C12">
            <v>0</v>
          </cell>
        </row>
        <row r="13">
          <cell r="B13">
            <v>-2</v>
          </cell>
          <cell r="C13">
            <v>6</v>
          </cell>
        </row>
        <row r="14">
          <cell r="B14">
            <v>-3</v>
          </cell>
          <cell r="C14">
            <v>0</v>
          </cell>
        </row>
        <row r="15">
          <cell r="B15">
            <v>-4</v>
          </cell>
          <cell r="C15">
            <v>-24</v>
          </cell>
        </row>
        <row r="16">
          <cell r="B16">
            <v>-5</v>
          </cell>
          <cell r="C16">
            <v>-72</v>
          </cell>
        </row>
      </sheetData>
      <sheetData sheetId="2" refreshError="1"/>
      <sheetData sheetId="3"/>
      <sheetData sheetId="4">
        <row r="5">
          <cell r="C5" t="str">
            <v>f(x)</v>
          </cell>
        </row>
        <row r="6">
          <cell r="B6">
            <v>0</v>
          </cell>
          <cell r="C6">
            <v>-1</v>
          </cell>
        </row>
        <row r="7">
          <cell r="B7">
            <v>0.5</v>
          </cell>
          <cell r="C7">
            <v>-0.37758256189037276</v>
          </cell>
        </row>
        <row r="8">
          <cell r="B8">
            <v>1</v>
          </cell>
          <cell r="C8">
            <v>0.45969769413186023</v>
          </cell>
        </row>
        <row r="9">
          <cell r="B9">
            <v>1.5</v>
          </cell>
          <cell r="C9">
            <v>1.4292627983322972</v>
          </cell>
        </row>
        <row r="10">
          <cell r="B10">
            <v>2</v>
          </cell>
          <cell r="C10">
            <v>2.4161468365471426</v>
          </cell>
        </row>
        <row r="11">
          <cell r="B11">
            <v>2.5</v>
          </cell>
          <cell r="C11">
            <v>3.3011436155469336</v>
          </cell>
        </row>
        <row r="12">
          <cell r="B12">
            <v>3</v>
          </cell>
          <cell r="C12">
            <v>3.9899924966004452</v>
          </cell>
        </row>
      </sheetData>
      <sheetData sheetId="5">
        <row r="7">
          <cell r="B7" t="str">
            <v>y</v>
          </cell>
          <cell r="C7" t="str">
            <v>U(x,y)</v>
          </cell>
          <cell r="D7" t="str">
            <v>V(x,y)</v>
          </cell>
        </row>
        <row r="8">
          <cell r="A8">
            <v>2</v>
          </cell>
          <cell r="B8">
            <v>3</v>
          </cell>
          <cell r="C8">
            <v>4</v>
          </cell>
          <cell r="D8">
            <v>0</v>
          </cell>
        </row>
        <row r="9">
          <cell r="A9">
            <v>1.6573473123923044</v>
          </cell>
          <cell r="B9">
            <v>3.28680386650825</v>
          </cell>
          <cell r="C9">
            <v>-2.2265904082985344E-4</v>
          </cell>
          <cell r="D9">
            <v>1.6897124591253032E-4</v>
          </cell>
        </row>
        <row r="10">
          <cell r="A10">
            <v>0</v>
          </cell>
          <cell r="B10">
            <v>4</v>
          </cell>
          <cell r="C10">
            <v>-10</v>
          </cell>
          <cell r="D10">
            <v>-53</v>
          </cell>
        </row>
        <row r="11">
          <cell r="A11">
            <v>-1</v>
          </cell>
          <cell r="B11">
            <v>4.5</v>
          </cell>
          <cell r="C11">
            <v>-15.5</v>
          </cell>
          <cell r="D11">
            <v>-113.25</v>
          </cell>
        </row>
        <row r="12">
          <cell r="A12">
            <v>-2</v>
          </cell>
          <cell r="B12">
            <v>5</v>
          </cell>
          <cell r="C12">
            <v>-28</v>
          </cell>
          <cell r="D12">
            <v>-202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ie Taylor"/>
      <sheetName val="metodo de biseccion"/>
      <sheetName val="Metodo de Falsa Posicion"/>
      <sheetName val="Metodo de Punto Fijo"/>
      <sheetName val="Newton de Raphson"/>
      <sheetName val="Metodo secante"/>
      <sheetName val="Metodo de Müller_7.2"/>
      <sheetName val="Metodo Bairstow_7.3"/>
      <sheetName val="7.4"/>
      <sheetName val="7.5"/>
      <sheetName val="capitulo 8"/>
      <sheetName val="9.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 t="str">
            <v>y</v>
          </cell>
        </row>
        <row r="17">
          <cell r="B17">
            <v>-6</v>
          </cell>
          <cell r="C17">
            <v>-48</v>
          </cell>
          <cell r="F17">
            <v>-8</v>
          </cell>
        </row>
        <row r="18">
          <cell r="B18">
            <v>-4.5</v>
          </cell>
          <cell r="C18">
            <v>-40.5</v>
          </cell>
          <cell r="F18">
            <v>-6.5</v>
          </cell>
        </row>
        <row r="19">
          <cell r="B19">
            <v>-3</v>
          </cell>
          <cell r="C19">
            <v>-33</v>
          </cell>
          <cell r="F19">
            <v>-5</v>
          </cell>
        </row>
        <row r="20">
          <cell r="B20">
            <v>-1.5</v>
          </cell>
          <cell r="C20">
            <v>-25.5</v>
          </cell>
          <cell r="F20">
            <v>-3.5</v>
          </cell>
        </row>
        <row r="21">
          <cell r="B21">
            <v>0</v>
          </cell>
          <cell r="C21">
            <v>-18</v>
          </cell>
          <cell r="F21">
            <v>-2</v>
          </cell>
        </row>
        <row r="22">
          <cell r="B22">
            <v>1.5</v>
          </cell>
          <cell r="C22">
            <v>-10.5</v>
          </cell>
          <cell r="F22">
            <v>-0.5</v>
          </cell>
        </row>
        <row r="23">
          <cell r="B23">
            <v>3</v>
          </cell>
          <cell r="C23">
            <v>-3</v>
          </cell>
          <cell r="F23">
            <v>1</v>
          </cell>
        </row>
        <row r="24">
          <cell r="B24">
            <v>4.5</v>
          </cell>
          <cell r="C24">
            <v>4.5</v>
          </cell>
          <cell r="F24">
            <v>2.5</v>
          </cell>
        </row>
        <row r="25">
          <cell r="B25">
            <v>6</v>
          </cell>
          <cell r="C25">
            <v>12</v>
          </cell>
          <cell r="F25">
            <v>4</v>
          </cell>
        </row>
        <row r="26">
          <cell r="B26">
            <v>7.5</v>
          </cell>
          <cell r="C26">
            <v>19.5</v>
          </cell>
          <cell r="F26">
            <v>5.5</v>
          </cell>
        </row>
        <row r="27">
          <cell r="B27">
            <v>9</v>
          </cell>
          <cell r="C27">
            <v>27</v>
          </cell>
          <cell r="F27">
            <v>7</v>
          </cell>
        </row>
        <row r="28">
          <cell r="B28">
            <v>10.5</v>
          </cell>
          <cell r="C28">
            <v>34.5</v>
          </cell>
          <cell r="F28">
            <v>8.5</v>
          </cell>
        </row>
        <row r="29">
          <cell r="B29">
            <v>12</v>
          </cell>
          <cell r="C29">
            <v>42</v>
          </cell>
          <cell r="F29">
            <v>10</v>
          </cell>
        </row>
        <row r="30">
          <cell r="B30">
            <v>13.5</v>
          </cell>
          <cell r="C30">
            <v>49.5</v>
          </cell>
          <cell r="F30">
            <v>11.5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G13"/>
  <sheetViews>
    <sheetView workbookViewId="0">
      <pane ySplit="1" topLeftCell="A2" activePane="bottomLeft" state="frozen"/>
      <selection pane="bottomLeft" activeCell="B6" sqref="B6"/>
    </sheetView>
  </sheetViews>
  <sheetFormatPr baseColWidth="10" defaultRowHeight="14.4" x14ac:dyDescent="0.3"/>
  <cols>
    <col min="3" max="3" width="13" customWidth="1"/>
    <col min="6" max="6" width="11.88671875" bestFit="1" customWidth="1"/>
    <col min="7" max="7" width="14.33203125" customWidth="1"/>
    <col min="8" max="8" width="11.88671875" bestFit="1" customWidth="1"/>
    <col min="11" max="11" width="12.5546875" bestFit="1" customWidth="1"/>
  </cols>
  <sheetData>
    <row r="1" spans="1:7" s="4" customFormat="1" x14ac:dyDescent="0.3">
      <c r="A1" s="4" t="s">
        <v>16</v>
      </c>
    </row>
    <row r="4" spans="1:7" x14ac:dyDescent="0.3">
      <c r="A4" t="s">
        <v>14</v>
      </c>
      <c r="B4" t="s">
        <v>11</v>
      </c>
      <c r="G4" s="602" t="s">
        <v>0</v>
      </c>
    </row>
    <row r="5" spans="1:7" x14ac:dyDescent="0.3">
      <c r="A5">
        <f>PI()/12</f>
        <v>0.26179938779914941</v>
      </c>
      <c r="E5" s="2">
        <v>0.5</v>
      </c>
      <c r="G5" s="602" t="s">
        <v>1</v>
      </c>
    </row>
    <row r="6" spans="1:7" ht="16.2" x14ac:dyDescent="0.3">
      <c r="A6" t="s">
        <v>13</v>
      </c>
      <c r="B6" s="3" t="s">
        <v>5</v>
      </c>
      <c r="C6" s="3" t="s">
        <v>15</v>
      </c>
      <c r="D6" s="3" t="s">
        <v>12</v>
      </c>
      <c r="E6" s="3" t="s">
        <v>6</v>
      </c>
      <c r="G6" s="602" t="s">
        <v>2</v>
      </c>
    </row>
    <row r="7" spans="1:7" x14ac:dyDescent="0.3">
      <c r="A7">
        <f>PI()/4</f>
        <v>0.78539816339744828</v>
      </c>
      <c r="B7" s="5">
        <v>0</v>
      </c>
      <c r="C7" s="5" t="s">
        <v>7</v>
      </c>
      <c r="D7" s="5">
        <f>COS(A7)</f>
        <v>0.70710678118654757</v>
      </c>
      <c r="E7" s="5">
        <f t="shared" ref="E7:E13" si="0">($E$5-D7)/$E$5*100</f>
        <v>-41.421356237309517</v>
      </c>
      <c r="G7" s="602" t="s">
        <v>3</v>
      </c>
    </row>
    <row r="8" spans="1:7" x14ac:dyDescent="0.3">
      <c r="B8" s="5">
        <v>1</v>
      </c>
      <c r="C8" s="6" t="s">
        <v>8</v>
      </c>
      <c r="D8" s="5">
        <f>D7-SIN(A7)*A5</f>
        <v>0.52198665876328232</v>
      </c>
      <c r="E8" s="5">
        <f t="shared" si="0"/>
        <v>-4.3973317526564637</v>
      </c>
      <c r="G8" s="602" t="s">
        <v>4</v>
      </c>
    </row>
    <row r="9" spans="1:7" x14ac:dyDescent="0.3">
      <c r="B9" s="5">
        <v>2</v>
      </c>
      <c r="C9" s="6" t="s">
        <v>9</v>
      </c>
      <c r="D9" s="5">
        <f>D8-(COS(A7)*A5^2)/2</f>
        <v>0.49775449140342509</v>
      </c>
      <c r="E9" s="5">
        <f t="shared" si="0"/>
        <v>0.44910171931498155</v>
      </c>
    </row>
    <row r="10" spans="1:7" x14ac:dyDescent="0.3">
      <c r="B10" s="5">
        <v>3</v>
      </c>
      <c r="C10" s="6" t="s">
        <v>10</v>
      </c>
      <c r="D10" s="5">
        <f>D9+SIN(A7)*A5^3/FACT(3)</f>
        <v>0.49986914693004414</v>
      </c>
      <c r="E10" s="5">
        <f t="shared" si="0"/>
        <v>2.6170613991172154E-2</v>
      </c>
    </row>
    <row r="11" spans="1:7" x14ac:dyDescent="0.3">
      <c r="B11" s="5">
        <v>4</v>
      </c>
      <c r="C11" s="5" t="s">
        <v>7</v>
      </c>
      <c r="D11" s="5">
        <f>D10+COS(A7)*A5^4/FACT(4)</f>
        <v>0.50000755081061288</v>
      </c>
      <c r="E11" s="5">
        <f t="shared" si="0"/>
        <v>-1.5101621225754869E-3</v>
      </c>
    </row>
    <row r="12" spans="1:7" x14ac:dyDescent="0.3">
      <c r="B12" s="5">
        <v>5</v>
      </c>
      <c r="C12" s="6" t="s">
        <v>8</v>
      </c>
      <c r="D12" s="7">
        <f>D11-SIN(A7)*A5^5/FACT(5)</f>
        <v>0.50000030400037254</v>
      </c>
      <c r="E12" s="5">
        <f t="shared" si="0"/>
        <v>-6.0800074508371438E-5</v>
      </c>
    </row>
    <row r="13" spans="1:7" x14ac:dyDescent="0.3">
      <c r="B13" s="5">
        <v>6</v>
      </c>
      <c r="C13" s="6" t="s">
        <v>9</v>
      </c>
      <c r="D13" s="5">
        <f>D12-COS(A7)*A5^6/FACT(6)</f>
        <v>0.49999998779862515</v>
      </c>
      <c r="E13" s="5">
        <f t="shared" si="0"/>
        <v>2.4402749709828697E-6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F10"/>
  <sheetViews>
    <sheetView workbookViewId="0">
      <selection activeCell="F7" sqref="F7"/>
    </sheetView>
  </sheetViews>
  <sheetFormatPr baseColWidth="10" defaultRowHeight="14.4" x14ac:dyDescent="0.3"/>
  <cols>
    <col min="5" max="5" width="23.33203125" customWidth="1"/>
  </cols>
  <sheetData>
    <row r="3" spans="3:6" x14ac:dyDescent="0.3">
      <c r="C3" s="8" t="s">
        <v>17</v>
      </c>
      <c r="D3" s="8" t="s">
        <v>18</v>
      </c>
      <c r="E3" s="8" t="s">
        <v>19</v>
      </c>
      <c r="F3" s="8" t="s">
        <v>20</v>
      </c>
    </row>
    <row r="4" spans="3:6" x14ac:dyDescent="0.3">
      <c r="C4" s="1">
        <v>1</v>
      </c>
      <c r="D4" s="1">
        <f>(C4+1)^4</f>
        <v>16</v>
      </c>
      <c r="E4" s="1">
        <f>1+4*C4</f>
        <v>5</v>
      </c>
      <c r="F4" s="1">
        <f>12/2*C4^2+24/6*C4^3+C4^4</f>
        <v>11</v>
      </c>
    </row>
    <row r="5" spans="3:6" x14ac:dyDescent="0.3">
      <c r="C5" s="1">
        <v>0.5</v>
      </c>
      <c r="D5" s="1">
        <f t="shared" ref="D5:D10" si="0">(C5+1)^4</f>
        <v>5.0625</v>
      </c>
      <c r="E5" s="1">
        <f t="shared" ref="E5:E10" si="1">1+4*C5</f>
        <v>3</v>
      </c>
      <c r="F5" s="1">
        <f>12/2*C5^2+24/6*C5^3+C5^4</f>
        <v>2.0625</v>
      </c>
    </row>
    <row r="6" spans="3:6" x14ac:dyDescent="0.3">
      <c r="C6" s="1">
        <v>0.25</v>
      </c>
      <c r="D6" s="1">
        <f t="shared" si="0"/>
        <v>2.44140625</v>
      </c>
      <c r="E6" s="1">
        <f t="shared" si="1"/>
        <v>2</v>
      </c>
      <c r="F6" s="1">
        <f t="shared" ref="F6:F10" si="2">12/2*C6^2+24/6*C6^3+C6^4</f>
        <v>0.44140625</v>
      </c>
    </row>
    <row r="7" spans="3:6" x14ac:dyDescent="0.3">
      <c r="C7" s="1">
        <v>0.125</v>
      </c>
      <c r="D7" s="1">
        <f t="shared" si="0"/>
        <v>1.601806640625</v>
      </c>
      <c r="E7" s="1">
        <f t="shared" si="1"/>
        <v>1.5</v>
      </c>
      <c r="F7" s="1">
        <f t="shared" si="2"/>
        <v>0.101806640625</v>
      </c>
    </row>
    <row r="8" spans="3:6" x14ac:dyDescent="0.3">
      <c r="C8" s="1">
        <v>6.25E-2</v>
      </c>
      <c r="D8" s="1">
        <f t="shared" si="0"/>
        <v>1.2744293212890625</v>
      </c>
      <c r="E8" s="1">
        <f t="shared" si="1"/>
        <v>1.25</v>
      </c>
      <c r="F8" s="1">
        <f t="shared" si="2"/>
        <v>2.44293212890625E-2</v>
      </c>
    </row>
    <row r="9" spans="3:6" x14ac:dyDescent="0.3">
      <c r="C9" s="1">
        <v>3.125E-2</v>
      </c>
      <c r="D9" s="1">
        <f t="shared" si="0"/>
        <v>1.1309823989868164</v>
      </c>
      <c r="E9" s="1">
        <f t="shared" si="1"/>
        <v>1.125</v>
      </c>
      <c r="F9" s="1">
        <f t="shared" si="2"/>
        <v>5.9823989868164063E-3</v>
      </c>
    </row>
    <row r="10" spans="3:6" x14ac:dyDescent="0.3">
      <c r="C10" s="1">
        <v>1.5625E-2</v>
      </c>
      <c r="D10" s="1">
        <f t="shared" si="0"/>
        <v>1.0639801621437073</v>
      </c>
      <c r="E10" s="1">
        <f t="shared" si="1"/>
        <v>1.0625</v>
      </c>
      <c r="F10" s="1">
        <f t="shared" si="2"/>
        <v>1.4801621437072754E-3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workbookViewId="0">
      <selection activeCell="A3" sqref="A3"/>
    </sheetView>
  </sheetViews>
  <sheetFormatPr baseColWidth="10" defaultRowHeight="14.4" x14ac:dyDescent="0.3"/>
  <sheetData>
    <row r="1" spans="1:4" x14ac:dyDescent="0.3">
      <c r="A1" s="9" t="s">
        <v>21</v>
      </c>
      <c r="B1" s="9" t="s">
        <v>22</v>
      </c>
      <c r="C1" s="9" t="s">
        <v>23</v>
      </c>
      <c r="D1" s="9" t="s">
        <v>24</v>
      </c>
    </row>
    <row r="2" spans="1:4" x14ac:dyDescent="0.3">
      <c r="A2" s="5">
        <v>0</v>
      </c>
      <c r="B2" s="5">
        <v>0</v>
      </c>
      <c r="C2" s="5">
        <f>-SIN(B2)</f>
        <v>0</v>
      </c>
      <c r="D2" s="6" t="s">
        <v>8</v>
      </c>
    </row>
    <row r="3" spans="1:4" x14ac:dyDescent="0.3">
      <c r="A3" s="5">
        <f>A2+15</f>
        <v>15</v>
      </c>
      <c r="B3" s="5">
        <f>PI()/12</f>
        <v>0.26179938779914941</v>
      </c>
      <c r="C3" s="5">
        <f>-COS(B3)</f>
        <v>-0.96592582628906831</v>
      </c>
      <c r="D3" s="6" t="s">
        <v>9</v>
      </c>
    </row>
    <row r="4" spans="1:4" x14ac:dyDescent="0.3">
      <c r="A4" s="5">
        <f t="shared" ref="A4:A14" si="0">A3+15</f>
        <v>30</v>
      </c>
      <c r="B4" s="5">
        <f>B3+PI()/12</f>
        <v>0.52359877559829882</v>
      </c>
      <c r="C4" s="5">
        <f>SIN(B4)</f>
        <v>0.49999999999999994</v>
      </c>
      <c r="D4" s="6" t="s">
        <v>10</v>
      </c>
    </row>
    <row r="5" spans="1:4" x14ac:dyDescent="0.3">
      <c r="A5" s="5">
        <f t="shared" si="0"/>
        <v>45</v>
      </c>
      <c r="B5" s="5">
        <f t="shared" ref="B5:B14" si="1">B4+PI()/12</f>
        <v>0.78539816339744828</v>
      </c>
      <c r="C5" s="5">
        <f>COS(B5)</f>
        <v>0.70710678118654757</v>
      </c>
      <c r="D5" s="5" t="s">
        <v>7</v>
      </c>
    </row>
    <row r="6" spans="1:4" x14ac:dyDescent="0.3">
      <c r="A6" s="5">
        <f t="shared" si="0"/>
        <v>60</v>
      </c>
      <c r="B6" s="5">
        <f t="shared" si="1"/>
        <v>1.0471975511965976</v>
      </c>
      <c r="C6" s="5">
        <f t="shared" ref="C6" si="2">-SIN(B6)</f>
        <v>-0.8660254037844386</v>
      </c>
      <c r="D6" s="6" t="s">
        <v>8</v>
      </c>
    </row>
    <row r="7" spans="1:4" x14ac:dyDescent="0.3">
      <c r="A7" s="5">
        <f t="shared" si="0"/>
        <v>75</v>
      </c>
      <c r="B7" s="5">
        <f t="shared" si="1"/>
        <v>1.308996938995747</v>
      </c>
      <c r="C7" s="5">
        <f t="shared" ref="C7" si="3">-COS(B7)</f>
        <v>-0.25881904510252096</v>
      </c>
      <c r="D7" s="6" t="s">
        <v>9</v>
      </c>
    </row>
    <row r="8" spans="1:4" x14ac:dyDescent="0.3">
      <c r="A8" s="5">
        <f t="shared" si="0"/>
        <v>90</v>
      </c>
      <c r="B8" s="5">
        <f t="shared" si="1"/>
        <v>1.5707963267948963</v>
      </c>
      <c r="C8" s="5">
        <f t="shared" ref="C8" si="4">SIN(B8)</f>
        <v>1</v>
      </c>
      <c r="D8" s="6" t="s">
        <v>10</v>
      </c>
    </row>
    <row r="9" spans="1:4" x14ac:dyDescent="0.3">
      <c r="A9" s="5">
        <f t="shared" si="0"/>
        <v>105</v>
      </c>
      <c r="B9" s="5">
        <f t="shared" si="1"/>
        <v>1.8325957145940457</v>
      </c>
      <c r="C9" s="5">
        <f t="shared" ref="C9" si="5">COS(B9)</f>
        <v>-0.25881904510252041</v>
      </c>
      <c r="D9" s="5" t="s">
        <v>7</v>
      </c>
    </row>
    <row r="10" spans="1:4" x14ac:dyDescent="0.3">
      <c r="A10" s="5">
        <f t="shared" si="0"/>
        <v>120</v>
      </c>
      <c r="B10" s="5">
        <f t="shared" si="1"/>
        <v>2.0943951023931953</v>
      </c>
      <c r="C10" s="5">
        <f t="shared" ref="C10" si="6">-SIN(B10)</f>
        <v>-0.86602540378443871</v>
      </c>
      <c r="D10" s="6" t="s">
        <v>8</v>
      </c>
    </row>
    <row r="11" spans="1:4" x14ac:dyDescent="0.3">
      <c r="A11" s="5">
        <f>A10+15</f>
        <v>135</v>
      </c>
      <c r="B11" s="5">
        <f t="shared" si="1"/>
        <v>2.3561944901923448</v>
      </c>
      <c r="C11" s="5">
        <f t="shared" ref="C11" si="7">-COS(B11)</f>
        <v>0.70710678118654746</v>
      </c>
      <c r="D11" s="6" t="s">
        <v>9</v>
      </c>
    </row>
    <row r="12" spans="1:4" x14ac:dyDescent="0.3">
      <c r="A12" s="5">
        <f t="shared" si="0"/>
        <v>150</v>
      </c>
      <c r="B12" s="5">
        <f t="shared" si="1"/>
        <v>2.6179938779914944</v>
      </c>
      <c r="C12" s="5">
        <f t="shared" ref="C12" si="8">SIN(B12)</f>
        <v>0.49999999999999994</v>
      </c>
      <c r="D12" s="6" t="s">
        <v>10</v>
      </c>
    </row>
    <row r="13" spans="1:4" x14ac:dyDescent="0.3">
      <c r="A13" s="5">
        <f>A12+15</f>
        <v>165</v>
      </c>
      <c r="B13" s="5">
        <f t="shared" si="1"/>
        <v>2.879793265790644</v>
      </c>
      <c r="C13" s="5">
        <f t="shared" ref="C13" si="9">COS(B13)</f>
        <v>-0.96592582628906831</v>
      </c>
      <c r="D13" s="5" t="s">
        <v>7</v>
      </c>
    </row>
    <row r="14" spans="1:4" x14ac:dyDescent="0.3">
      <c r="A14" s="5">
        <f t="shared" si="0"/>
        <v>180</v>
      </c>
      <c r="B14" s="5">
        <f t="shared" si="1"/>
        <v>3.1415926535897936</v>
      </c>
      <c r="C14" s="5">
        <f t="shared" ref="C14" si="10">-SIN(B14)</f>
        <v>3.2157436435920062E-16</v>
      </c>
      <c r="D14" s="6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8"/>
  <sheetViews>
    <sheetView zoomScale="70" zoomScaleNormal="70" workbookViewId="0">
      <selection activeCell="L21" sqref="L21"/>
    </sheetView>
  </sheetViews>
  <sheetFormatPr baseColWidth="10" defaultRowHeight="14.4" x14ac:dyDescent="0.3"/>
  <cols>
    <col min="1" max="1" width="6" customWidth="1"/>
    <col min="2" max="2" width="14.5546875" customWidth="1"/>
    <col min="3" max="3" width="14.44140625" customWidth="1"/>
    <col min="4" max="4" width="13.6640625" customWidth="1"/>
    <col min="5" max="5" width="14.88671875" customWidth="1"/>
    <col min="6" max="6" width="15.109375" customWidth="1"/>
    <col min="7" max="7" width="15.5546875" customWidth="1"/>
    <col min="8" max="8" width="14.33203125" customWidth="1"/>
    <col min="9" max="9" width="15.44140625" customWidth="1"/>
    <col min="10" max="10" width="14.77734375" customWidth="1"/>
    <col min="11" max="11" width="14.6640625" customWidth="1"/>
    <col min="13" max="13" width="13" customWidth="1"/>
  </cols>
  <sheetData>
    <row r="1" spans="1:14" s="224" customFormat="1" ht="28.8" x14ac:dyDescent="0.55000000000000004">
      <c r="A1" s="609" t="s">
        <v>28</v>
      </c>
      <c r="B1" s="609"/>
      <c r="C1" s="609"/>
      <c r="D1" s="609"/>
      <c r="E1" s="609"/>
      <c r="F1" s="609"/>
      <c r="G1" s="609"/>
      <c r="H1" s="609"/>
      <c r="I1" s="609"/>
      <c r="J1" s="609"/>
      <c r="K1" s="609"/>
      <c r="L1" s="609"/>
      <c r="M1" s="609"/>
      <c r="N1" s="609"/>
    </row>
    <row r="3" spans="1:14" x14ac:dyDescent="0.3">
      <c r="B3" t="s">
        <v>53</v>
      </c>
    </row>
    <row r="4" spans="1:14" ht="15" thickBot="1" x14ac:dyDescent="0.35"/>
    <row r="5" spans="1:14" ht="15" thickBot="1" x14ac:dyDescent="0.35">
      <c r="A5" s="10" t="s">
        <v>30</v>
      </c>
      <c r="B5" s="11" t="s">
        <v>29</v>
      </c>
      <c r="K5" s="10" t="s">
        <v>30</v>
      </c>
      <c r="L5" s="11" t="s">
        <v>31</v>
      </c>
      <c r="M5" s="12" t="s">
        <v>32</v>
      </c>
    </row>
    <row r="6" spans="1:14" x14ac:dyDescent="0.3">
      <c r="A6" s="13">
        <v>-5</v>
      </c>
      <c r="B6" s="14">
        <f>EXP(-A6)-A6</f>
        <v>153.4131591025766</v>
      </c>
      <c r="K6" s="13">
        <v>-5</v>
      </c>
      <c r="L6" s="14">
        <f>EXP(-K6)</f>
        <v>148.4131591025766</v>
      </c>
      <c r="M6" s="15">
        <f>K6</f>
        <v>-5</v>
      </c>
    </row>
    <row r="7" spans="1:14" x14ac:dyDescent="0.3">
      <c r="A7" s="16">
        <v>-4</v>
      </c>
      <c r="B7" s="17">
        <f t="shared" ref="B7:B16" si="0">EXP(-A7)-A7</f>
        <v>58.598150033144236</v>
      </c>
      <c r="K7" s="16">
        <v>-4</v>
      </c>
      <c r="L7" s="17">
        <f t="shared" ref="L7:L16" si="1">EXP(-K7)</f>
        <v>54.598150033144236</v>
      </c>
      <c r="M7" s="18">
        <f t="shared" ref="M7:M16" si="2">K7</f>
        <v>-4</v>
      </c>
    </row>
    <row r="8" spans="1:14" x14ac:dyDescent="0.3">
      <c r="A8" s="16">
        <v>-3</v>
      </c>
      <c r="B8" s="17">
        <f t="shared" si="0"/>
        <v>23.085536923187668</v>
      </c>
      <c r="K8" s="16">
        <v>-3</v>
      </c>
      <c r="L8" s="17">
        <f t="shared" si="1"/>
        <v>20.085536923187668</v>
      </c>
      <c r="M8" s="18">
        <f t="shared" si="2"/>
        <v>-3</v>
      </c>
    </row>
    <row r="9" spans="1:14" x14ac:dyDescent="0.3">
      <c r="A9" s="16">
        <v>-2</v>
      </c>
      <c r="B9" s="17">
        <f t="shared" si="0"/>
        <v>9.3890560989306504</v>
      </c>
      <c r="K9" s="16">
        <v>-2</v>
      </c>
      <c r="L9" s="17">
        <f t="shared" si="1"/>
        <v>7.3890560989306504</v>
      </c>
      <c r="M9" s="18">
        <f t="shared" si="2"/>
        <v>-2</v>
      </c>
    </row>
    <row r="10" spans="1:14" x14ac:dyDescent="0.3">
      <c r="A10" s="16">
        <v>-1</v>
      </c>
      <c r="B10" s="17">
        <f t="shared" si="0"/>
        <v>3.7182818284590451</v>
      </c>
      <c r="K10" s="16">
        <v>-1</v>
      </c>
      <c r="L10" s="17">
        <f t="shared" si="1"/>
        <v>2.7182818284590451</v>
      </c>
      <c r="M10" s="18">
        <f t="shared" si="2"/>
        <v>-1</v>
      </c>
    </row>
    <row r="11" spans="1:14" x14ac:dyDescent="0.3">
      <c r="A11" s="16">
        <v>0</v>
      </c>
      <c r="B11" s="17">
        <f t="shared" si="0"/>
        <v>1</v>
      </c>
      <c r="K11" s="16">
        <v>0</v>
      </c>
      <c r="L11" s="17">
        <f t="shared" si="1"/>
        <v>1</v>
      </c>
      <c r="M11" s="18">
        <f t="shared" si="2"/>
        <v>0</v>
      </c>
    </row>
    <row r="12" spans="1:14" x14ac:dyDescent="0.3">
      <c r="A12" s="16">
        <v>1</v>
      </c>
      <c r="B12" s="17">
        <f t="shared" si="0"/>
        <v>-0.63212055882855767</v>
      </c>
      <c r="K12" s="16">
        <v>1</v>
      </c>
      <c r="L12" s="17">
        <f t="shared" si="1"/>
        <v>0.36787944117144233</v>
      </c>
      <c r="M12" s="18">
        <f t="shared" si="2"/>
        <v>1</v>
      </c>
    </row>
    <row r="13" spans="1:14" x14ac:dyDescent="0.3">
      <c r="A13" s="16">
        <v>2</v>
      </c>
      <c r="B13" s="17">
        <f t="shared" si="0"/>
        <v>-1.8646647167633872</v>
      </c>
      <c r="K13" s="16">
        <v>2</v>
      </c>
      <c r="L13" s="17">
        <f t="shared" si="1"/>
        <v>0.1353352832366127</v>
      </c>
      <c r="M13" s="18">
        <f t="shared" si="2"/>
        <v>2</v>
      </c>
    </row>
    <row r="14" spans="1:14" x14ac:dyDescent="0.3">
      <c r="A14" s="16">
        <v>3</v>
      </c>
      <c r="B14" s="17">
        <f t="shared" si="0"/>
        <v>-2.9502129316321359</v>
      </c>
      <c r="K14" s="16">
        <v>3</v>
      </c>
      <c r="L14" s="17">
        <f t="shared" si="1"/>
        <v>4.9787068367863944E-2</v>
      </c>
      <c r="M14" s="18">
        <f t="shared" si="2"/>
        <v>3</v>
      </c>
    </row>
    <row r="15" spans="1:14" x14ac:dyDescent="0.3">
      <c r="A15" s="16">
        <v>4</v>
      </c>
      <c r="B15" s="17">
        <f t="shared" si="0"/>
        <v>-3.9816843611112658</v>
      </c>
      <c r="K15" s="16">
        <v>4</v>
      </c>
      <c r="L15" s="17">
        <f t="shared" si="1"/>
        <v>1.8315638888734179E-2</v>
      </c>
      <c r="M15" s="18">
        <f t="shared" si="2"/>
        <v>4</v>
      </c>
    </row>
    <row r="16" spans="1:14" ht="15" thickBot="1" x14ac:dyDescent="0.35">
      <c r="A16" s="19">
        <v>5</v>
      </c>
      <c r="B16" s="20">
        <f t="shared" si="0"/>
        <v>-4.9932620530009144</v>
      </c>
      <c r="K16" s="19">
        <v>5</v>
      </c>
      <c r="L16" s="20">
        <f t="shared" si="1"/>
        <v>6.737946999085467E-3</v>
      </c>
      <c r="M16" s="21">
        <f t="shared" si="2"/>
        <v>5</v>
      </c>
    </row>
    <row r="18" spans="1:13" ht="15" thickBot="1" x14ac:dyDescent="0.35">
      <c r="B18" t="s">
        <v>88</v>
      </c>
      <c r="D18" t="s">
        <v>89</v>
      </c>
    </row>
    <row r="19" spans="1:13" ht="15" thickBot="1" x14ac:dyDescent="0.35">
      <c r="A19" s="10" t="s">
        <v>33</v>
      </c>
      <c r="B19" s="11" t="s">
        <v>34</v>
      </c>
      <c r="C19" s="38" t="s">
        <v>36</v>
      </c>
      <c r="D19" s="11" t="s">
        <v>27</v>
      </c>
      <c r="E19" s="38" t="s">
        <v>37</v>
      </c>
      <c r="F19" s="11" t="s">
        <v>38</v>
      </c>
      <c r="G19" s="38" t="s">
        <v>39</v>
      </c>
      <c r="H19" s="11" t="s">
        <v>40</v>
      </c>
      <c r="I19" s="38" t="s">
        <v>41</v>
      </c>
      <c r="J19" s="11" t="s">
        <v>435</v>
      </c>
      <c r="K19" s="38" t="s">
        <v>436</v>
      </c>
      <c r="L19" s="11" t="s">
        <v>44</v>
      </c>
      <c r="M19" s="11" t="s">
        <v>95</v>
      </c>
    </row>
    <row r="20" spans="1:13" x14ac:dyDescent="0.3">
      <c r="A20" s="23">
        <v>1</v>
      </c>
      <c r="B20" s="603">
        <v>0</v>
      </c>
      <c r="C20" s="27">
        <f>(D20+B20)/2</f>
        <v>0.5</v>
      </c>
      <c r="D20" s="603">
        <v>1</v>
      </c>
      <c r="E20" s="27">
        <f>EXP(-B20)-B20</f>
        <v>1</v>
      </c>
      <c r="F20" s="26">
        <f>EXP(-D20)-D20</f>
        <v>-0.63212055882855767</v>
      </c>
      <c r="G20" s="27">
        <f>E20*F20</f>
        <v>-0.63212055882855767</v>
      </c>
      <c r="H20" s="35">
        <f>EXP(-C20)-C20</f>
        <v>0.10653065971263342</v>
      </c>
      <c r="I20" s="27">
        <f>E20*H20</f>
        <v>0.10653065971263342</v>
      </c>
      <c r="J20" s="26"/>
      <c r="K20" s="27"/>
      <c r="L20" s="26"/>
      <c r="M20" s="101" t="b">
        <f>L21&lt;1*10^(-4)</f>
        <v>0</v>
      </c>
    </row>
    <row r="21" spans="1:13" x14ac:dyDescent="0.3">
      <c r="A21" s="24">
        <v>2</v>
      </c>
      <c r="B21" s="604">
        <f>IF(I20&lt;0,B20,C20)</f>
        <v>0.5</v>
      </c>
      <c r="C21" s="27">
        <f t="shared" ref="C21:C40" si="3">(D21+B21)/2</f>
        <v>0.75</v>
      </c>
      <c r="D21" s="603">
        <f>IF(I20&lt;0,C20,D20)</f>
        <v>1</v>
      </c>
      <c r="E21" s="29">
        <f t="shared" ref="E21:F40" si="4">EXP(-B21)-B21</f>
        <v>0.10653065971263342</v>
      </c>
      <c r="F21" s="26">
        <f>EXP(-C21)-C21</f>
        <v>-0.27763344725898531</v>
      </c>
      <c r="G21" s="27">
        <f t="shared" ref="G21:G40" si="5">E21*F21</f>
        <v>-2.9576474294792324E-2</v>
      </c>
      <c r="H21" s="35">
        <f>EXP(-D21)-D21</f>
        <v>-0.63212055882855767</v>
      </c>
      <c r="I21" s="27">
        <f t="shared" ref="I21:I40" si="6">E21*H21</f>
        <v>-6.7340220149924759E-2</v>
      </c>
      <c r="J21" s="28">
        <f>ABS((C21-C20)/C21)</f>
        <v>0.33333333333333331</v>
      </c>
      <c r="K21" s="30">
        <f>ABS(J21/C21)</f>
        <v>0.44444444444444442</v>
      </c>
      <c r="L21" s="31">
        <f>K21</f>
        <v>0.44444444444444442</v>
      </c>
      <c r="M21" s="101" t="b">
        <f t="shared" ref="M21:M48" si="7">L22&lt;1*10^(-4)</f>
        <v>0</v>
      </c>
    </row>
    <row r="22" spans="1:13" x14ac:dyDescent="0.3">
      <c r="A22" s="24">
        <v>3</v>
      </c>
      <c r="B22" s="604">
        <f t="shared" ref="B22:B40" si="8">IF(I21&lt;0,B21,C21)</f>
        <v>0.5</v>
      </c>
      <c r="C22" s="27">
        <f t="shared" si="3"/>
        <v>0.625</v>
      </c>
      <c r="D22" s="603">
        <f t="shared" ref="D22:D40" si="9">IF(I21&lt;0,C21,D21)</f>
        <v>0.75</v>
      </c>
      <c r="E22" s="29">
        <f t="shared" si="4"/>
        <v>0.10653065971263342</v>
      </c>
      <c r="F22" s="26">
        <f t="shared" si="4"/>
        <v>-8.9738571481009721E-2</v>
      </c>
      <c r="G22" s="27">
        <f t="shared" si="5"/>
        <v>-9.5599092215412768E-3</v>
      </c>
      <c r="H22" s="35">
        <f t="shared" ref="H22:H40" si="10">EXP(-D22)-D22</f>
        <v>-0.27763344725898531</v>
      </c>
      <c r="I22" s="27">
        <f t="shared" si="6"/>
        <v>-2.9576474294792324E-2</v>
      </c>
      <c r="J22" s="28">
        <f t="shared" ref="J22:J40" si="11">ABS((C22-C21)/C22)</f>
        <v>0.2</v>
      </c>
      <c r="K22" s="30">
        <f t="shared" ref="K22:K40" si="12">ABS(J22/C22)</f>
        <v>0.32</v>
      </c>
      <c r="L22" s="31">
        <f t="shared" ref="L22:L29" si="13">K22</f>
        <v>0.32</v>
      </c>
      <c r="M22" s="101" t="b">
        <f t="shared" si="7"/>
        <v>0</v>
      </c>
    </row>
    <row r="23" spans="1:13" x14ac:dyDescent="0.3">
      <c r="A23" s="24">
        <v>4</v>
      </c>
      <c r="B23" s="604">
        <f>IF(I22&lt;0,B22,C22)</f>
        <v>0.5</v>
      </c>
      <c r="C23" s="27">
        <f t="shared" si="3"/>
        <v>0.5625</v>
      </c>
      <c r="D23" s="603">
        <f t="shared" si="9"/>
        <v>0.625</v>
      </c>
      <c r="E23" s="29">
        <f t="shared" si="4"/>
        <v>0.10653065971263342</v>
      </c>
      <c r="F23" s="26">
        <f t="shared" si="4"/>
        <v>7.2828247309230099E-3</v>
      </c>
      <c r="G23" s="27">
        <f t="shared" si="5"/>
        <v>7.7584412315671023E-4</v>
      </c>
      <c r="H23" s="35">
        <f t="shared" si="10"/>
        <v>-8.9738571481009721E-2</v>
      </c>
      <c r="I23" s="27">
        <f t="shared" si="6"/>
        <v>-9.5599092215412768E-3</v>
      </c>
      <c r="J23" s="28">
        <f t="shared" si="11"/>
        <v>0.1111111111111111</v>
      </c>
      <c r="K23" s="30">
        <f t="shared" si="12"/>
        <v>0.19753086419753085</v>
      </c>
      <c r="L23" s="31">
        <f t="shared" si="13"/>
        <v>0.19753086419753085</v>
      </c>
      <c r="M23" s="101" t="b">
        <f t="shared" si="7"/>
        <v>0</v>
      </c>
    </row>
    <row r="24" spans="1:13" x14ac:dyDescent="0.3">
      <c r="A24" s="24">
        <v>5</v>
      </c>
      <c r="B24" s="604">
        <f t="shared" si="8"/>
        <v>0.5</v>
      </c>
      <c r="C24" s="33">
        <f t="shared" si="3"/>
        <v>0.53125</v>
      </c>
      <c r="D24" s="603">
        <f t="shared" si="9"/>
        <v>0.5625</v>
      </c>
      <c r="E24" s="29">
        <f t="shared" si="4"/>
        <v>0.10653065971263342</v>
      </c>
      <c r="F24" s="26">
        <f t="shared" si="4"/>
        <v>5.6619673122346503E-2</v>
      </c>
      <c r="G24" s="27">
        <f t="shared" si="5"/>
        <v>6.0317311304372324E-3</v>
      </c>
      <c r="H24" s="35">
        <f t="shared" si="10"/>
        <v>7.2828247309230099E-3</v>
      </c>
      <c r="I24" s="27">
        <f t="shared" si="6"/>
        <v>7.7584412315671023E-4</v>
      </c>
      <c r="J24" s="28">
        <f t="shared" si="11"/>
        <v>5.8823529411764705E-2</v>
      </c>
      <c r="K24" s="30">
        <f t="shared" si="12"/>
        <v>0.11072664359861592</v>
      </c>
      <c r="L24" s="31">
        <f t="shared" si="13"/>
        <v>0.11072664359861592</v>
      </c>
      <c r="M24" s="101" t="b">
        <f t="shared" si="7"/>
        <v>0</v>
      </c>
    </row>
    <row r="25" spans="1:13" x14ac:dyDescent="0.3">
      <c r="A25" s="24">
        <v>6</v>
      </c>
      <c r="B25" s="604">
        <f t="shared" si="8"/>
        <v>0.53125</v>
      </c>
      <c r="C25" s="27">
        <f t="shared" si="3"/>
        <v>0.546875</v>
      </c>
      <c r="D25" s="603">
        <f t="shared" si="9"/>
        <v>0.5625</v>
      </c>
      <c r="E25" s="29">
        <f t="shared" si="4"/>
        <v>5.6619673122346503E-2</v>
      </c>
      <c r="F25" s="26">
        <f t="shared" si="4"/>
        <v>3.1880598612484268E-2</v>
      </c>
      <c r="G25" s="27">
        <f t="shared" si="5"/>
        <v>1.8050690723835927E-3</v>
      </c>
      <c r="H25" s="35">
        <f t="shared" si="10"/>
        <v>7.2828247309230099E-3</v>
      </c>
      <c r="I25" s="27">
        <f t="shared" si="6"/>
        <v>4.1235115567220195E-4</v>
      </c>
      <c r="J25" s="28">
        <f t="shared" si="11"/>
        <v>2.8571428571428571E-2</v>
      </c>
      <c r="K25" s="30">
        <f t="shared" si="12"/>
        <v>5.2244897959183668E-2</v>
      </c>
      <c r="L25" s="31">
        <f t="shared" si="13"/>
        <v>5.2244897959183668E-2</v>
      </c>
      <c r="M25" s="101" t="b">
        <f t="shared" si="7"/>
        <v>0</v>
      </c>
    </row>
    <row r="26" spans="1:13" x14ac:dyDescent="0.3">
      <c r="A26" s="24">
        <v>7</v>
      </c>
      <c r="B26" s="604">
        <f t="shared" si="8"/>
        <v>0.546875</v>
      </c>
      <c r="C26" s="27">
        <f t="shared" si="3"/>
        <v>0.5546875</v>
      </c>
      <c r="D26" s="603">
        <f t="shared" si="9"/>
        <v>0.5625</v>
      </c>
      <c r="E26" s="29">
        <f t="shared" si="4"/>
        <v>3.1880598612484268E-2</v>
      </c>
      <c r="F26" s="26">
        <f t="shared" si="4"/>
        <v>1.9564186811852124E-2</v>
      </c>
      <c r="G26" s="27">
        <f t="shared" si="5"/>
        <v>6.2371798692831585E-4</v>
      </c>
      <c r="H26" s="35">
        <f t="shared" si="10"/>
        <v>7.2828247309230099E-3</v>
      </c>
      <c r="I26" s="27">
        <f t="shared" si="6"/>
        <v>2.3218081201163021E-4</v>
      </c>
      <c r="J26" s="28">
        <f t="shared" si="11"/>
        <v>1.4084507042253521E-2</v>
      </c>
      <c r="K26" s="30">
        <f t="shared" si="12"/>
        <v>2.5391787343780996E-2</v>
      </c>
      <c r="L26" s="31">
        <f t="shared" si="13"/>
        <v>2.5391787343780996E-2</v>
      </c>
      <c r="M26" s="101" t="b">
        <f t="shared" si="7"/>
        <v>0</v>
      </c>
    </row>
    <row r="27" spans="1:13" x14ac:dyDescent="0.3">
      <c r="A27" s="24">
        <v>8</v>
      </c>
      <c r="B27" s="604">
        <f t="shared" si="8"/>
        <v>0.5546875</v>
      </c>
      <c r="C27" s="27">
        <f t="shared" si="3"/>
        <v>0.55859375</v>
      </c>
      <c r="D27" s="603">
        <f t="shared" si="9"/>
        <v>0.5625</v>
      </c>
      <c r="E27" s="29">
        <f t="shared" si="4"/>
        <v>1.9564186811852124E-2</v>
      </c>
      <c r="F27" s="26">
        <f t="shared" si="4"/>
        <v>1.3419141653810973E-2</v>
      </c>
      <c r="G27" s="27">
        <f t="shared" si="5"/>
        <v>2.6253459416986417E-4</v>
      </c>
      <c r="H27" s="35">
        <f t="shared" si="10"/>
        <v>7.2828247309230099E-3</v>
      </c>
      <c r="I27" s="27">
        <f t="shared" si="6"/>
        <v>1.4248254355375445E-4</v>
      </c>
      <c r="J27" s="28">
        <f t="shared" si="11"/>
        <v>6.993006993006993E-3</v>
      </c>
      <c r="K27" s="30">
        <f t="shared" si="12"/>
        <v>1.2518949581886644E-2</v>
      </c>
      <c r="L27" s="31">
        <f t="shared" si="13"/>
        <v>1.2518949581886644E-2</v>
      </c>
      <c r="M27" s="101" t="b">
        <f t="shared" si="7"/>
        <v>0</v>
      </c>
    </row>
    <row r="28" spans="1:13" x14ac:dyDescent="0.3">
      <c r="A28" s="24">
        <v>9</v>
      </c>
      <c r="B28" s="604">
        <f t="shared" si="8"/>
        <v>0.55859375</v>
      </c>
      <c r="C28" s="27">
        <f t="shared" si="3"/>
        <v>0.560546875</v>
      </c>
      <c r="D28" s="603">
        <f t="shared" si="9"/>
        <v>0.5625</v>
      </c>
      <c r="E28" s="29">
        <f t="shared" si="4"/>
        <v>1.3419141653810973E-2</v>
      </c>
      <c r="F28" s="26">
        <f t="shared" si="4"/>
        <v>1.0349894292848383E-2</v>
      </c>
      <c r="G28" s="27">
        <f t="shared" si="5"/>
        <v>1.388866976177022E-4</v>
      </c>
      <c r="H28" s="35">
        <f t="shared" si="10"/>
        <v>7.2828247309230099E-3</v>
      </c>
      <c r="I28" s="27">
        <f t="shared" si="6"/>
        <v>9.7729256704133657E-5</v>
      </c>
      <c r="J28" s="28">
        <f t="shared" si="11"/>
        <v>3.4843205574912892E-3</v>
      </c>
      <c r="K28" s="30">
        <f t="shared" si="12"/>
        <v>6.2159307506464813E-3</v>
      </c>
      <c r="L28" s="31">
        <f t="shared" si="13"/>
        <v>6.2159307506464813E-3</v>
      </c>
      <c r="M28" s="101" t="b">
        <f t="shared" si="7"/>
        <v>0</v>
      </c>
    </row>
    <row r="29" spans="1:13" x14ac:dyDescent="0.3">
      <c r="A29" s="24">
        <v>10</v>
      </c>
      <c r="B29" s="604">
        <f t="shared" si="8"/>
        <v>0.560546875</v>
      </c>
      <c r="C29" s="27">
        <f t="shared" si="3"/>
        <v>0.5615234375</v>
      </c>
      <c r="D29" s="603">
        <f t="shared" si="9"/>
        <v>0.5625</v>
      </c>
      <c r="E29" s="29">
        <f t="shared" si="4"/>
        <v>1.0349894292848383E-2</v>
      </c>
      <c r="F29" s="26">
        <f t="shared" si="4"/>
        <v>8.8160875527857341E-3</v>
      </c>
      <c r="G29" s="27">
        <f t="shared" si="5"/>
        <v>9.124557424782873E-5</v>
      </c>
      <c r="H29" s="35">
        <f t="shared" si="10"/>
        <v>7.2828247309230099E-3</v>
      </c>
      <c r="I29" s="27">
        <f t="shared" si="6"/>
        <v>7.5376466118395121E-5</v>
      </c>
      <c r="J29" s="28">
        <f t="shared" si="11"/>
        <v>1.7391304347826088E-3</v>
      </c>
      <c r="K29" s="30">
        <f t="shared" si="12"/>
        <v>3.0971644612476372E-3</v>
      </c>
      <c r="L29" s="31">
        <f t="shared" si="13"/>
        <v>3.0971644612476372E-3</v>
      </c>
      <c r="M29" s="101" t="b">
        <f t="shared" si="7"/>
        <v>0</v>
      </c>
    </row>
    <row r="30" spans="1:13" x14ac:dyDescent="0.3">
      <c r="A30" s="24">
        <v>11</v>
      </c>
      <c r="B30" s="604">
        <f t="shared" si="8"/>
        <v>0.5615234375</v>
      </c>
      <c r="C30" s="33">
        <f t="shared" si="3"/>
        <v>0.56201171875</v>
      </c>
      <c r="D30" s="606">
        <f t="shared" si="9"/>
        <v>0.5625</v>
      </c>
      <c r="E30" s="39">
        <f t="shared" si="4"/>
        <v>8.8160875527857341E-3</v>
      </c>
      <c r="F30" s="34">
        <f t="shared" si="4"/>
        <v>8.0493881852734539E-3</v>
      </c>
      <c r="G30" s="33">
        <f t="shared" si="5"/>
        <v>7.0964110987729851E-5</v>
      </c>
      <c r="H30" s="35">
        <f t="shared" si="10"/>
        <v>7.2828247309230099E-3</v>
      </c>
      <c r="I30" s="33">
        <f t="shared" si="6"/>
        <v>6.4206020459410467E-5</v>
      </c>
      <c r="J30" s="28">
        <f t="shared" si="11"/>
        <v>8.6880973066898344E-4</v>
      </c>
      <c r="K30" s="30">
        <f t="shared" si="12"/>
        <v>1.5458925529192686E-3</v>
      </c>
      <c r="L30" s="40">
        <f>K30</f>
        <v>1.5458925529192686E-3</v>
      </c>
      <c r="M30" s="101" t="b">
        <f t="shared" si="7"/>
        <v>0</v>
      </c>
    </row>
    <row r="31" spans="1:13" x14ac:dyDescent="0.3">
      <c r="A31" s="24">
        <v>12</v>
      </c>
      <c r="B31" s="604">
        <f t="shared" si="8"/>
        <v>0.56201171875</v>
      </c>
      <c r="C31" s="27">
        <f t="shared" si="3"/>
        <v>0.562255859375</v>
      </c>
      <c r="D31" s="603">
        <f t="shared" si="9"/>
        <v>0.5625</v>
      </c>
      <c r="E31" s="29">
        <f t="shared" si="4"/>
        <v>8.0493881852734539E-3</v>
      </c>
      <c r="F31" s="26">
        <f t="shared" si="4"/>
        <v>7.6660894731005458E-3</v>
      </c>
      <c r="G31" s="27">
        <f t="shared" si="5"/>
        <v>6.1707330032024737E-5</v>
      </c>
      <c r="H31" s="35">
        <f t="shared" si="10"/>
        <v>7.2828247309230099E-3</v>
      </c>
      <c r="I31" s="27">
        <f t="shared" si="6"/>
        <v>5.8622283344508997E-5</v>
      </c>
      <c r="J31" s="28">
        <f t="shared" si="11"/>
        <v>4.3421623968736432E-4</v>
      </c>
      <c r="K31" s="30">
        <f t="shared" si="12"/>
        <v>7.7227517054252899E-4</v>
      </c>
      <c r="L31" s="31">
        <f t="shared" ref="L31:L40" si="14">K31</f>
        <v>7.7227517054252899E-4</v>
      </c>
      <c r="M31" s="101" t="b">
        <f t="shared" si="7"/>
        <v>0</v>
      </c>
    </row>
    <row r="32" spans="1:13" x14ac:dyDescent="0.3">
      <c r="A32" s="24">
        <v>13</v>
      </c>
      <c r="B32" s="604">
        <f t="shared" si="8"/>
        <v>0.562255859375</v>
      </c>
      <c r="C32" s="27">
        <f t="shared" si="3"/>
        <v>0.5623779296875</v>
      </c>
      <c r="D32" s="603">
        <f t="shared" si="9"/>
        <v>0.5625</v>
      </c>
      <c r="E32" s="29">
        <f t="shared" si="4"/>
        <v>7.6660894731005458E-3</v>
      </c>
      <c r="F32" s="26">
        <f t="shared" si="4"/>
        <v>7.4744528562806778E-3</v>
      </c>
      <c r="G32" s="27">
        <f t="shared" si="5"/>
        <v>5.7299824358719607E-5</v>
      </c>
      <c r="H32" s="35">
        <f t="shared" si="10"/>
        <v>7.2828247309230099E-3</v>
      </c>
      <c r="I32" s="27">
        <f t="shared" si="6"/>
        <v>5.5830786004165202E-5</v>
      </c>
      <c r="J32" s="99">
        <f t="shared" si="11"/>
        <v>2.1706099413935315E-4</v>
      </c>
      <c r="K32" s="100">
        <f t="shared" si="12"/>
        <v>3.8596997264805319E-4</v>
      </c>
      <c r="L32" s="40">
        <f t="shared" si="14"/>
        <v>3.8596997264805319E-4</v>
      </c>
      <c r="M32" s="101" t="b">
        <f t="shared" si="7"/>
        <v>0</v>
      </c>
    </row>
    <row r="33" spans="1:13" x14ac:dyDescent="0.3">
      <c r="A33" s="24">
        <v>14</v>
      </c>
      <c r="B33" s="605">
        <f t="shared" si="8"/>
        <v>0.5623779296875</v>
      </c>
      <c r="C33" s="68">
        <f t="shared" si="3"/>
        <v>0.56243896484375</v>
      </c>
      <c r="D33" s="607">
        <f t="shared" si="9"/>
        <v>0.5625</v>
      </c>
      <c r="E33" s="104">
        <f t="shared" si="4"/>
        <v>7.4744528562806778E-3</v>
      </c>
      <c r="F33" s="35">
        <f t="shared" si="4"/>
        <v>7.3786377322337948E-3</v>
      </c>
      <c r="G33" s="68">
        <f t="shared" si="5"/>
        <v>5.5151279873155271E-5</v>
      </c>
      <c r="H33" s="35">
        <f t="shared" si="10"/>
        <v>7.2828247309230099E-3</v>
      </c>
      <c r="I33" s="68">
        <f t="shared" si="6"/>
        <v>5.4435130111839051E-5</v>
      </c>
      <c r="J33" s="32">
        <f t="shared" si="11"/>
        <v>1.0851871947911015E-4</v>
      </c>
      <c r="K33" s="36">
        <f t="shared" si="12"/>
        <v>1.9294310362948897E-4</v>
      </c>
      <c r="L33" s="37">
        <f t="shared" si="14"/>
        <v>1.9294310362948897E-4</v>
      </c>
      <c r="M33" s="105" t="b">
        <f t="shared" si="7"/>
        <v>1</v>
      </c>
    </row>
    <row r="34" spans="1:13" x14ac:dyDescent="0.3">
      <c r="A34" s="24">
        <v>15</v>
      </c>
      <c r="B34" s="604">
        <f t="shared" si="8"/>
        <v>0.56243896484375</v>
      </c>
      <c r="C34" s="27">
        <f t="shared" si="3"/>
        <v>0.562469482421875</v>
      </c>
      <c r="D34" s="603">
        <f t="shared" si="9"/>
        <v>0.5625</v>
      </c>
      <c r="E34" s="29">
        <f t="shared" si="4"/>
        <v>7.3786377322337948E-3</v>
      </c>
      <c r="F34" s="26">
        <f t="shared" si="4"/>
        <v>7.3307309662444808E-3</v>
      </c>
      <c r="G34" s="27">
        <f t="shared" si="5"/>
        <v>5.4090808112386231E-5</v>
      </c>
      <c r="H34" s="35">
        <f t="shared" si="10"/>
        <v>7.2828247309230099E-3</v>
      </c>
      <c r="I34" s="27">
        <f t="shared" si="6"/>
        <v>5.3737325356833954E-5</v>
      </c>
      <c r="J34" s="28">
        <f t="shared" si="11"/>
        <v>5.4256415821170855E-5</v>
      </c>
      <c r="K34" s="30">
        <f t="shared" si="12"/>
        <v>9.6461083697473089E-5</v>
      </c>
      <c r="L34" s="31">
        <f t="shared" si="14"/>
        <v>9.6461083697473089E-5</v>
      </c>
      <c r="M34" s="101" t="b">
        <f t="shared" si="7"/>
        <v>1</v>
      </c>
    </row>
    <row r="35" spans="1:13" x14ac:dyDescent="0.3">
      <c r="A35" s="24">
        <v>16</v>
      </c>
      <c r="B35" s="604">
        <f t="shared" si="8"/>
        <v>0.562469482421875</v>
      </c>
      <c r="C35" s="27">
        <f t="shared" si="3"/>
        <v>0.5624847412109375</v>
      </c>
      <c r="D35" s="603">
        <f t="shared" si="9"/>
        <v>0.5625</v>
      </c>
      <c r="E35" s="29">
        <f t="shared" si="4"/>
        <v>7.3307309662444808E-3</v>
      </c>
      <c r="F35" s="26">
        <f t="shared" si="4"/>
        <v>7.3067777822513058E-3</v>
      </c>
      <c r="G35" s="27">
        <f t="shared" si="5"/>
        <v>5.3564022151816823E-5</v>
      </c>
      <c r="H35" s="35">
        <f t="shared" si="10"/>
        <v>7.2828247309230099E-3</v>
      </c>
      <c r="I35" s="27">
        <f t="shared" si="6"/>
        <v>5.3388428776708439E-5</v>
      </c>
      <c r="J35" s="28">
        <f t="shared" si="11"/>
        <v>2.7127471990885171E-5</v>
      </c>
      <c r="K35" s="30">
        <f t="shared" si="12"/>
        <v>4.8227925138883176E-5</v>
      </c>
      <c r="L35" s="31">
        <f t="shared" si="14"/>
        <v>4.8227925138883176E-5</v>
      </c>
      <c r="M35" s="101" t="b">
        <f t="shared" si="7"/>
        <v>1</v>
      </c>
    </row>
    <row r="36" spans="1:13" x14ac:dyDescent="0.3">
      <c r="A36" s="24">
        <v>17</v>
      </c>
      <c r="B36" s="604">
        <f t="shared" si="8"/>
        <v>0.5624847412109375</v>
      </c>
      <c r="C36" s="27">
        <f t="shared" si="3"/>
        <v>0.56249237060546875</v>
      </c>
      <c r="D36" s="603">
        <f t="shared" si="9"/>
        <v>0.5625</v>
      </c>
      <c r="E36" s="29">
        <f t="shared" si="4"/>
        <v>7.3067777822513058E-3</v>
      </c>
      <c r="F36" s="26">
        <f t="shared" si="4"/>
        <v>7.2948012400041451E-3</v>
      </c>
      <c r="G36" s="27">
        <f t="shared" si="5"/>
        <v>5.3301491626401566E-5</v>
      </c>
      <c r="H36" s="35">
        <f t="shared" si="10"/>
        <v>7.2828247309230099E-3</v>
      </c>
      <c r="I36" s="27">
        <f t="shared" si="6"/>
        <v>5.3213981935938593E-5</v>
      </c>
      <c r="J36" s="28">
        <f t="shared" si="11"/>
        <v>1.3563552023003784E-5</v>
      </c>
      <c r="K36" s="30">
        <f t="shared" si="12"/>
        <v>2.4113308431906247E-5</v>
      </c>
      <c r="L36" s="31">
        <f t="shared" si="14"/>
        <v>2.4113308431906247E-5</v>
      </c>
      <c r="M36" s="101" t="b">
        <f t="shared" si="7"/>
        <v>1</v>
      </c>
    </row>
    <row r="37" spans="1:13" x14ac:dyDescent="0.3">
      <c r="A37" s="24">
        <v>18</v>
      </c>
      <c r="B37" s="604">
        <f t="shared" si="8"/>
        <v>0.56249237060546875</v>
      </c>
      <c r="C37" s="27">
        <f t="shared" si="3"/>
        <v>0.56249618530273438</v>
      </c>
      <c r="D37" s="603">
        <f t="shared" si="9"/>
        <v>0.5625</v>
      </c>
      <c r="E37" s="29">
        <f t="shared" si="4"/>
        <v>7.2948012400041451E-3</v>
      </c>
      <c r="F37" s="26">
        <f t="shared" si="4"/>
        <v>7.2888129813178937E-3</v>
      </c>
      <c r="G37" s="27">
        <f t="shared" si="5"/>
        <v>5.317044197427608E-5</v>
      </c>
      <c r="H37" s="35">
        <f t="shared" si="10"/>
        <v>7.2828247309230099E-3</v>
      </c>
      <c r="I37" s="27">
        <f t="shared" si="6"/>
        <v>5.3126758877870028E-5</v>
      </c>
      <c r="J37" s="28">
        <f t="shared" si="11"/>
        <v>6.7817300193279309E-6</v>
      </c>
      <c r="K37" s="30">
        <f t="shared" si="12"/>
        <v>1.2056490686559975E-5</v>
      </c>
      <c r="L37" s="31">
        <f t="shared" si="14"/>
        <v>1.2056490686559975E-5</v>
      </c>
      <c r="M37" s="101" t="b">
        <f t="shared" si="7"/>
        <v>1</v>
      </c>
    </row>
    <row r="38" spans="1:13" x14ac:dyDescent="0.3">
      <c r="A38" s="24">
        <v>19</v>
      </c>
      <c r="B38" s="604">
        <f t="shared" si="8"/>
        <v>0.56249618530273438</v>
      </c>
      <c r="C38" s="27">
        <f t="shared" si="3"/>
        <v>0.56249809265136719</v>
      </c>
      <c r="D38" s="603">
        <f t="shared" si="9"/>
        <v>0.5625</v>
      </c>
      <c r="E38" s="29">
        <f t="shared" si="4"/>
        <v>7.2888129813178937E-3</v>
      </c>
      <c r="F38" s="26">
        <f t="shared" si="4"/>
        <v>7.2858188550839476E-3</v>
      </c>
      <c r="G38" s="27">
        <f t="shared" si="5"/>
        <v>5.310497105046655E-5</v>
      </c>
      <c r="H38" s="35">
        <f t="shared" si="10"/>
        <v>7.2828247309230099E-3</v>
      </c>
      <c r="I38" s="27">
        <f t="shared" si="6"/>
        <v>5.3083147439414633E-5</v>
      </c>
      <c r="J38" s="28">
        <f t="shared" si="11"/>
        <v>3.3908535117374396E-6</v>
      </c>
      <c r="K38" s="30">
        <f t="shared" si="12"/>
        <v>6.0282044615555157E-6</v>
      </c>
      <c r="L38" s="31">
        <f t="shared" si="14"/>
        <v>6.0282044615555157E-6</v>
      </c>
      <c r="M38" s="101" t="b">
        <f t="shared" si="7"/>
        <v>1</v>
      </c>
    </row>
    <row r="39" spans="1:13" ht="15" thickBot="1" x14ac:dyDescent="0.35">
      <c r="A39" s="25">
        <v>20</v>
      </c>
      <c r="B39" s="604">
        <f t="shared" si="8"/>
        <v>0.56249809265136719</v>
      </c>
      <c r="C39" s="27">
        <f t="shared" si="3"/>
        <v>0.56249904632568359</v>
      </c>
      <c r="D39" s="603">
        <f t="shared" si="9"/>
        <v>0.5625</v>
      </c>
      <c r="E39" s="70">
        <f t="shared" si="4"/>
        <v>7.2858188550839476E-3</v>
      </c>
      <c r="F39" s="26">
        <f t="shared" si="4"/>
        <v>7.2843217927444082E-3</v>
      </c>
      <c r="G39" s="27">
        <f t="shared" si="5"/>
        <v>5.3072249064076115E-5</v>
      </c>
      <c r="H39" s="35">
        <f t="shared" si="10"/>
        <v>7.2828247309230099E-3</v>
      </c>
      <c r="I39" s="27">
        <f t="shared" si="6"/>
        <v>5.3061341742830539E-5</v>
      </c>
      <c r="J39" s="28">
        <f t="shared" si="11"/>
        <v>1.6954238814017086E-6</v>
      </c>
      <c r="K39" s="30">
        <f t="shared" si="12"/>
        <v>3.0140920104246156E-6</v>
      </c>
      <c r="L39" s="31">
        <f t="shared" si="14"/>
        <v>3.0140920104246156E-6</v>
      </c>
      <c r="M39" s="101" t="b">
        <f t="shared" si="7"/>
        <v>1</v>
      </c>
    </row>
    <row r="40" spans="1:13" x14ac:dyDescent="0.3">
      <c r="A40" s="24">
        <v>21</v>
      </c>
      <c r="B40" s="604">
        <f t="shared" si="8"/>
        <v>0.56249904632568359</v>
      </c>
      <c r="C40" s="27">
        <f t="shared" si="3"/>
        <v>0.5624995231628418</v>
      </c>
      <c r="D40" s="608">
        <f t="shared" si="9"/>
        <v>0.5625</v>
      </c>
      <c r="E40" s="71">
        <f t="shared" si="4"/>
        <v>7.2843217927444082E-3</v>
      </c>
      <c r="F40" s="69">
        <f t="shared" si="4"/>
        <v>7.283573261768872E-3</v>
      </c>
      <c r="G40" s="27">
        <f t="shared" si="5"/>
        <v>5.3055891439753468E-5</v>
      </c>
      <c r="H40" s="35">
        <f t="shared" si="10"/>
        <v>7.2828247309230099E-3</v>
      </c>
      <c r="I40" s="27">
        <f t="shared" si="6"/>
        <v>5.3050438900200413E-5</v>
      </c>
      <c r="J40" s="28">
        <f t="shared" si="11"/>
        <v>8.4771122208592905E-7</v>
      </c>
      <c r="K40" s="30">
        <f t="shared" si="12"/>
        <v>1.5070434501337692E-6</v>
      </c>
      <c r="L40" s="31">
        <f t="shared" si="14"/>
        <v>1.5070434501337692E-6</v>
      </c>
      <c r="M40" s="101" t="b">
        <f t="shared" si="7"/>
        <v>1</v>
      </c>
    </row>
    <row r="41" spans="1:13" x14ac:dyDescent="0.3">
      <c r="A41" s="24">
        <v>22</v>
      </c>
      <c r="B41" s="604">
        <f t="shared" ref="B41:B42" si="15">IF(I40&lt;0,B40,C40)</f>
        <v>0.5624995231628418</v>
      </c>
      <c r="C41" s="27">
        <f t="shared" ref="C41:C42" si="16">(D41+B41)/2</f>
        <v>0.5624997615814209</v>
      </c>
      <c r="D41" s="608">
        <f t="shared" ref="D41:D42" si="17">IF(I40&lt;0,C40,D40)</f>
        <v>0.5625</v>
      </c>
      <c r="E41" s="71">
        <f t="shared" ref="E41:E42" si="18">EXP(-B41)-B41</f>
        <v>7.283573261768872E-3</v>
      </c>
      <c r="F41" s="69">
        <f t="shared" ref="F41:F42" si="19">EXP(-C41)-C41</f>
        <v>7.2831989963297872E-3</v>
      </c>
      <c r="G41" s="27">
        <f t="shared" ref="G41:G42" si="20">E41*F41</f>
        <v>5.304771346980952E-5</v>
      </c>
      <c r="H41" s="35">
        <f t="shared" ref="H41:H42" si="21">EXP(-D41)-D41</f>
        <v>7.2828247309230099E-3</v>
      </c>
      <c r="I41" s="27">
        <f t="shared" ref="I41:I42" si="22">E41*H41</f>
        <v>5.3044987480299911E-5</v>
      </c>
      <c r="J41" s="28">
        <f t="shared" ref="J41:J42" si="23">ABS((C41-C40)/C41)</f>
        <v>4.2385543138946171E-7</v>
      </c>
      <c r="K41" s="30">
        <f t="shared" ref="K41:K42" si="24">ABS(J41/C41)</f>
        <v>7.5352108629846827E-7</v>
      </c>
      <c r="L41" s="31">
        <f t="shared" ref="L41:L42" si="25">K41</f>
        <v>7.5352108629846827E-7</v>
      </c>
      <c r="M41" s="101" t="b">
        <f t="shared" si="7"/>
        <v>1</v>
      </c>
    </row>
    <row r="42" spans="1:13" x14ac:dyDescent="0.3">
      <c r="A42" s="24">
        <v>23</v>
      </c>
      <c r="B42" s="604">
        <f t="shared" si="15"/>
        <v>0.5624997615814209</v>
      </c>
      <c r="C42" s="27">
        <f t="shared" si="16"/>
        <v>0.56249988079071045</v>
      </c>
      <c r="D42" s="608">
        <f t="shared" si="17"/>
        <v>0.5625</v>
      </c>
      <c r="E42" s="71">
        <f t="shared" si="18"/>
        <v>7.2831989963297872E-3</v>
      </c>
      <c r="F42" s="69">
        <f t="shared" si="19"/>
        <v>7.2830118636223462E-3</v>
      </c>
      <c r="G42" s="27">
        <f t="shared" si="20"/>
        <v>5.3043624695392204E-5</v>
      </c>
      <c r="H42" s="35">
        <f t="shared" si="21"/>
        <v>7.2828247309230099E-3</v>
      </c>
      <c r="I42" s="27">
        <f t="shared" si="22"/>
        <v>5.3042261770704218E-5</v>
      </c>
      <c r="J42" s="28">
        <f t="shared" si="23"/>
        <v>2.1192767078138367E-7</v>
      </c>
      <c r="K42" s="30">
        <f t="shared" si="24"/>
        <v>3.7676038345728234E-7</v>
      </c>
      <c r="L42" s="31">
        <f t="shared" si="25"/>
        <v>3.7676038345728234E-7</v>
      </c>
      <c r="M42" s="101" t="b">
        <f t="shared" si="7"/>
        <v>1</v>
      </c>
    </row>
    <row r="43" spans="1:13" x14ac:dyDescent="0.3">
      <c r="A43" s="24">
        <v>24</v>
      </c>
      <c r="B43" s="604">
        <f t="shared" ref="B43:B46" si="26">IF(I42&lt;0,B42,C42)</f>
        <v>0.56249988079071045</v>
      </c>
      <c r="C43" s="27">
        <f t="shared" ref="C43:C46" si="27">(D43+B43)/2</f>
        <v>0.56249994039535522</v>
      </c>
      <c r="D43" s="608">
        <f t="shared" ref="D43:D46" si="28">IF(I42&lt;0,C42,D42)</f>
        <v>0.5625</v>
      </c>
      <c r="E43" s="71">
        <f t="shared" ref="E43:E46" si="29">EXP(-B43)-B43</f>
        <v>7.2830118636223462E-3</v>
      </c>
      <c r="F43" s="69">
        <f t="shared" ref="F43:F46" si="30">EXP(-C43)-C43</f>
        <v>7.2829182972716788E-3</v>
      </c>
      <c r="G43" s="27">
        <f t="shared" ref="G43:G46" si="31">E43*F43</f>
        <v>5.3041580360821896E-5</v>
      </c>
      <c r="H43" s="35">
        <f t="shared" ref="H43:H46" si="32">EXP(-D43)-D43</f>
        <v>7.2828247309230099E-3</v>
      </c>
      <c r="I43" s="27">
        <f t="shared" ref="I43:I46" si="33">E43*H43</f>
        <v>5.3040898915994504E-5</v>
      </c>
      <c r="J43" s="28">
        <f t="shared" ref="J43:J46" si="34">ABS((C43-C42)/C43)</f>
        <v>1.0596382416235862E-7</v>
      </c>
      <c r="K43" s="30">
        <f t="shared" ref="K43:K46" si="35">ABS(J43/C43)</f>
        <v>1.8838015180567226E-7</v>
      </c>
      <c r="L43" s="31">
        <f t="shared" ref="L43:L46" si="36">K43</f>
        <v>1.8838015180567226E-7</v>
      </c>
      <c r="M43" s="101" t="b">
        <f t="shared" si="7"/>
        <v>1</v>
      </c>
    </row>
    <row r="44" spans="1:13" x14ac:dyDescent="0.3">
      <c r="A44" s="24">
        <v>25</v>
      </c>
      <c r="B44" s="604">
        <f t="shared" si="26"/>
        <v>0.56249994039535522</v>
      </c>
      <c r="C44" s="27">
        <f t="shared" si="27"/>
        <v>0.56249997019767761</v>
      </c>
      <c r="D44" s="608">
        <f t="shared" si="28"/>
        <v>0.5625</v>
      </c>
      <c r="E44" s="71">
        <f t="shared" si="29"/>
        <v>7.2829182972716788E-3</v>
      </c>
      <c r="F44" s="69">
        <f t="shared" si="30"/>
        <v>7.2828715140971223E-3</v>
      </c>
      <c r="G44" s="27">
        <f t="shared" si="31"/>
        <v>5.3040558206696626E-5</v>
      </c>
      <c r="H44" s="35">
        <f t="shared" si="32"/>
        <v>7.2828247309230099E-3</v>
      </c>
      <c r="I44" s="27">
        <f t="shared" si="33"/>
        <v>5.304021748866188E-5</v>
      </c>
      <c r="J44" s="28">
        <f t="shared" si="34"/>
        <v>5.2981909274096452E-8</v>
      </c>
      <c r="K44" s="30">
        <f t="shared" si="35"/>
        <v>9.4190065922096288E-8</v>
      </c>
      <c r="L44" s="31">
        <f t="shared" si="36"/>
        <v>9.4190065922096288E-8</v>
      </c>
      <c r="M44" s="101" t="b">
        <f t="shared" si="7"/>
        <v>1</v>
      </c>
    </row>
    <row r="45" spans="1:13" x14ac:dyDescent="0.3">
      <c r="A45" s="24">
        <v>26</v>
      </c>
      <c r="B45" s="604">
        <f t="shared" si="26"/>
        <v>0.56249997019767761</v>
      </c>
      <c r="C45" s="27">
        <f t="shared" si="27"/>
        <v>0.56249998509883881</v>
      </c>
      <c r="D45" s="608">
        <f t="shared" si="28"/>
        <v>0.5625</v>
      </c>
      <c r="E45" s="71">
        <f t="shared" si="29"/>
        <v>7.2828715140971223E-3</v>
      </c>
      <c r="F45" s="69">
        <f t="shared" si="30"/>
        <v>7.2828481225100106E-3</v>
      </c>
      <c r="G45" s="27">
        <f t="shared" si="31"/>
        <v>5.3040047132923866E-5</v>
      </c>
      <c r="H45" s="35">
        <f t="shared" si="32"/>
        <v>7.2828247309230099E-3</v>
      </c>
      <c r="I45" s="27">
        <f t="shared" si="33"/>
        <v>5.3039876775001226E-5</v>
      </c>
      <c r="J45" s="28">
        <f t="shared" si="34"/>
        <v>2.6490953935277565E-8</v>
      </c>
      <c r="K45" s="30">
        <f t="shared" si="35"/>
        <v>4.7095030465863478E-8</v>
      </c>
      <c r="L45" s="31">
        <f t="shared" si="36"/>
        <v>4.7095030465863478E-8</v>
      </c>
      <c r="M45" s="101" t="b">
        <f t="shared" si="7"/>
        <v>1</v>
      </c>
    </row>
    <row r="46" spans="1:13" x14ac:dyDescent="0.3">
      <c r="A46" s="24">
        <v>27</v>
      </c>
      <c r="B46" s="604">
        <f t="shared" si="26"/>
        <v>0.56249998509883881</v>
      </c>
      <c r="C46" s="27">
        <f t="shared" si="27"/>
        <v>0.5624999925494194</v>
      </c>
      <c r="D46" s="608">
        <f t="shared" si="28"/>
        <v>0.5625</v>
      </c>
      <c r="E46" s="71">
        <f t="shared" si="29"/>
        <v>7.2828481225100106E-3</v>
      </c>
      <c r="F46" s="69">
        <f t="shared" si="30"/>
        <v>7.2828364267164547E-3</v>
      </c>
      <c r="G46" s="27">
        <f t="shared" si="31"/>
        <v>5.3039791596859444E-5</v>
      </c>
      <c r="H46" s="35">
        <f t="shared" si="32"/>
        <v>7.2828247309230099E-3</v>
      </c>
      <c r="I46" s="27">
        <f t="shared" si="33"/>
        <v>5.3039706418172112E-5</v>
      </c>
      <c r="J46" s="28">
        <f t="shared" si="34"/>
        <v>1.3245476792196125E-8</v>
      </c>
      <c r="K46" s="30">
        <f t="shared" si="35"/>
        <v>2.3547514609135609E-8</v>
      </c>
      <c r="L46" s="31">
        <f t="shared" si="36"/>
        <v>2.3547514609135609E-8</v>
      </c>
      <c r="M46" s="101" t="b">
        <f t="shared" si="7"/>
        <v>1</v>
      </c>
    </row>
    <row r="47" spans="1:13" x14ac:dyDescent="0.3">
      <c r="A47" s="24">
        <v>28</v>
      </c>
      <c r="B47" s="604">
        <f t="shared" ref="B47" si="37">IF(I46&lt;0,B46,C46)</f>
        <v>0.5624999925494194</v>
      </c>
      <c r="C47" s="27">
        <f t="shared" ref="C47" si="38">(D47+B47)/2</f>
        <v>0.5624999962747097</v>
      </c>
      <c r="D47" s="608">
        <f t="shared" ref="D47" si="39">IF(I46&lt;0,C46,D46)</f>
        <v>0.5625</v>
      </c>
      <c r="E47" s="71">
        <f t="shared" ref="E47" si="40">EXP(-B47)-B47</f>
        <v>7.2828364267164547E-3</v>
      </c>
      <c r="F47" s="69">
        <f t="shared" ref="F47" si="41">EXP(-C47)-C47</f>
        <v>7.2828305788197323E-3</v>
      </c>
      <c r="G47" s="27">
        <f t="shared" ref="G47" si="42">E47*F47</f>
        <v>5.3039663829032832E-5</v>
      </c>
      <c r="H47" s="35">
        <f t="shared" ref="H47" si="43">EXP(-D47)-D47</f>
        <v>7.2828247309230099E-3</v>
      </c>
      <c r="I47" s="27">
        <f t="shared" ref="I47" si="44">E47*H47</f>
        <v>5.3039621239757558E-5</v>
      </c>
      <c r="J47" s="28">
        <f t="shared" ref="J47" si="45">ABS((C47-C46)/C47)</f>
        <v>6.6227383522373988E-9</v>
      </c>
      <c r="K47" s="30">
        <f t="shared" ref="K47" si="46">ABS(J47/C47)</f>
        <v>1.1773757148618777E-8</v>
      </c>
      <c r="L47" s="31">
        <f t="shared" ref="L47" si="47">K47</f>
        <v>1.1773757148618777E-8</v>
      </c>
      <c r="M47" s="101" t="b">
        <f t="shared" si="7"/>
        <v>1</v>
      </c>
    </row>
    <row r="48" spans="1:13" x14ac:dyDescent="0.3">
      <c r="M48" s="101" t="b">
        <f t="shared" si="7"/>
        <v>1</v>
      </c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0"/>
  <sheetViews>
    <sheetView topLeftCell="A46" workbookViewId="0">
      <selection activeCell="E22" sqref="E22"/>
    </sheetView>
  </sheetViews>
  <sheetFormatPr baseColWidth="10" defaultRowHeight="14.4" x14ac:dyDescent="0.3"/>
  <cols>
    <col min="4" max="4" width="12.6640625" bestFit="1" customWidth="1"/>
    <col min="5" max="5" width="12" bestFit="1" customWidth="1"/>
    <col min="7" max="7" width="18.44140625" bestFit="1" customWidth="1"/>
    <col min="9" max="9" width="17.44140625" bestFit="1" customWidth="1"/>
    <col min="14" max="14" width="13.6640625" customWidth="1"/>
  </cols>
  <sheetData>
    <row r="1" spans="1:14" s="61" customFormat="1" ht="28.8" x14ac:dyDescent="0.55000000000000004">
      <c r="A1" s="610" t="s">
        <v>98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4" ht="21" x14ac:dyDescent="0.4">
      <c r="C2" s="41" t="s">
        <v>97</v>
      </c>
    </row>
    <row r="3" spans="1:14" x14ac:dyDescent="0.3">
      <c r="B3" s="42"/>
    </row>
    <row r="4" spans="1:14" x14ac:dyDescent="0.3">
      <c r="B4" s="43" t="s">
        <v>45</v>
      </c>
      <c r="C4" s="43" t="s">
        <v>30</v>
      </c>
      <c r="D4" s="43" t="s">
        <v>46</v>
      </c>
      <c r="E4" s="43" t="s">
        <v>47</v>
      </c>
    </row>
    <row r="5" spans="1:14" x14ac:dyDescent="0.3">
      <c r="B5" s="44">
        <v>0</v>
      </c>
      <c r="C5" s="44">
        <v>0</v>
      </c>
      <c r="D5" s="44">
        <f t="shared" ref="D5:D17" si="0">COS(C5)</f>
        <v>1</v>
      </c>
      <c r="E5" s="44">
        <f t="shared" ref="E5:E17" si="1">SIN(C5)</f>
        <v>0</v>
      </c>
    </row>
    <row r="6" spans="1:14" x14ac:dyDescent="0.3">
      <c r="B6" s="44">
        <v>30</v>
      </c>
      <c r="C6" s="44">
        <f>C5+PI()/6</f>
        <v>0.52359877559829882</v>
      </c>
      <c r="D6" s="44">
        <f t="shared" si="0"/>
        <v>0.86602540378443871</v>
      </c>
      <c r="E6" s="44">
        <f t="shared" si="1"/>
        <v>0.49999999999999994</v>
      </c>
    </row>
    <row r="7" spans="1:14" x14ac:dyDescent="0.3">
      <c r="B7" s="44">
        <f>B6+30</f>
        <v>60</v>
      </c>
      <c r="C7" s="44">
        <f t="shared" ref="C7:C17" si="2">C6+PI()/6</f>
        <v>1.0471975511965976</v>
      </c>
      <c r="D7" s="44">
        <f t="shared" si="0"/>
        <v>0.50000000000000011</v>
      </c>
      <c r="E7" s="44">
        <f t="shared" si="1"/>
        <v>0.8660254037844386</v>
      </c>
    </row>
    <row r="8" spans="1:14" x14ac:dyDescent="0.3">
      <c r="B8" s="44">
        <f t="shared" ref="B8:B17" si="3">B7+30</f>
        <v>90</v>
      </c>
      <c r="C8" s="44">
        <f t="shared" si="2"/>
        <v>1.5707963267948966</v>
      </c>
      <c r="D8" s="44">
        <f t="shared" si="0"/>
        <v>6.1257422745431001E-17</v>
      </c>
      <c r="E8" s="44">
        <f t="shared" si="1"/>
        <v>1</v>
      </c>
    </row>
    <row r="9" spans="1:14" x14ac:dyDescent="0.3">
      <c r="B9" s="44">
        <f t="shared" si="3"/>
        <v>120</v>
      </c>
      <c r="C9" s="44">
        <f t="shared" si="2"/>
        <v>2.0943951023931953</v>
      </c>
      <c r="D9" s="44">
        <f t="shared" si="0"/>
        <v>-0.49999999999999978</v>
      </c>
      <c r="E9" s="44">
        <f t="shared" si="1"/>
        <v>0.86602540378443871</v>
      </c>
    </row>
    <row r="10" spans="1:14" x14ac:dyDescent="0.3">
      <c r="B10" s="44">
        <f t="shared" si="3"/>
        <v>150</v>
      </c>
      <c r="C10" s="44">
        <f t="shared" si="2"/>
        <v>2.617993877991494</v>
      </c>
      <c r="D10" s="44">
        <f t="shared" si="0"/>
        <v>-0.86602540378443849</v>
      </c>
      <c r="E10" s="44">
        <f t="shared" si="1"/>
        <v>0.50000000000000033</v>
      </c>
    </row>
    <row r="11" spans="1:14" x14ac:dyDescent="0.3">
      <c r="B11" s="44">
        <f t="shared" si="3"/>
        <v>180</v>
      </c>
      <c r="C11" s="44">
        <f t="shared" si="2"/>
        <v>3.1415926535897927</v>
      </c>
      <c r="D11" s="44">
        <f t="shared" si="0"/>
        <v>-1</v>
      </c>
      <c r="E11" s="44">
        <f t="shared" si="1"/>
        <v>5.6660405534092462E-16</v>
      </c>
    </row>
    <row r="12" spans="1:14" x14ac:dyDescent="0.3">
      <c r="B12" s="44">
        <f t="shared" si="3"/>
        <v>210</v>
      </c>
      <c r="C12" s="44">
        <f t="shared" si="2"/>
        <v>3.6651914291880914</v>
      </c>
      <c r="D12" s="44">
        <f t="shared" si="0"/>
        <v>-0.86602540378443904</v>
      </c>
      <c r="E12" s="44">
        <f t="shared" si="1"/>
        <v>-0.49999999999999939</v>
      </c>
    </row>
    <row r="13" spans="1:14" x14ac:dyDescent="0.3">
      <c r="B13" s="44">
        <f t="shared" si="3"/>
        <v>240</v>
      </c>
      <c r="C13" s="44">
        <f t="shared" si="2"/>
        <v>4.1887902047863905</v>
      </c>
      <c r="D13" s="44">
        <f t="shared" si="0"/>
        <v>-0.50000000000000044</v>
      </c>
      <c r="E13" s="44">
        <f t="shared" si="1"/>
        <v>-0.86602540378443837</v>
      </c>
    </row>
    <row r="14" spans="1:14" x14ac:dyDescent="0.3">
      <c r="B14" s="44">
        <f t="shared" si="3"/>
        <v>270</v>
      </c>
      <c r="C14" s="44">
        <f t="shared" si="2"/>
        <v>4.7123889803846897</v>
      </c>
      <c r="D14" s="44">
        <f t="shared" si="0"/>
        <v>-1.83772268236293E-16</v>
      </c>
      <c r="E14" s="44">
        <f t="shared" si="1"/>
        <v>-1</v>
      </c>
    </row>
    <row r="15" spans="1:14" x14ac:dyDescent="0.3">
      <c r="B15" s="44">
        <f t="shared" si="3"/>
        <v>300</v>
      </c>
      <c r="C15" s="44">
        <f t="shared" si="2"/>
        <v>5.2359877559829888</v>
      </c>
      <c r="D15" s="44">
        <f t="shared" si="0"/>
        <v>0.50000000000000011</v>
      </c>
      <c r="E15" s="44">
        <f t="shared" si="1"/>
        <v>-0.8660254037844386</v>
      </c>
    </row>
    <row r="16" spans="1:14" x14ac:dyDescent="0.3">
      <c r="B16" s="44">
        <f>B15+30</f>
        <v>330</v>
      </c>
      <c r="C16" s="44">
        <f t="shared" si="2"/>
        <v>5.759586531581288</v>
      </c>
      <c r="D16" s="44">
        <f t="shared" si="0"/>
        <v>0.86602540378443882</v>
      </c>
      <c r="E16" s="44">
        <f t="shared" si="1"/>
        <v>-0.49999999999999967</v>
      </c>
    </row>
    <row r="17" spans="2:14" x14ac:dyDescent="0.3">
      <c r="B17" s="44">
        <f t="shared" si="3"/>
        <v>360</v>
      </c>
      <c r="C17" s="44">
        <f t="shared" si="2"/>
        <v>6.2831853071795871</v>
      </c>
      <c r="D17" s="44">
        <f t="shared" si="0"/>
        <v>1</v>
      </c>
      <c r="E17" s="44">
        <f t="shared" si="1"/>
        <v>6.4314872871840123E-16</v>
      </c>
    </row>
    <row r="19" spans="2:14" ht="15" thickBot="1" x14ac:dyDescent="0.35">
      <c r="B19" s="96" t="s">
        <v>97</v>
      </c>
    </row>
    <row r="20" spans="2:14" ht="15" thickBot="1" x14ac:dyDescent="0.35">
      <c r="B20" s="10" t="s">
        <v>33</v>
      </c>
      <c r="C20" s="11" t="s">
        <v>34</v>
      </c>
      <c r="D20" s="38" t="s">
        <v>36</v>
      </c>
      <c r="E20" s="11" t="s">
        <v>27</v>
      </c>
      <c r="F20" s="38" t="s">
        <v>37</v>
      </c>
      <c r="G20" s="11" t="s">
        <v>38</v>
      </c>
      <c r="H20" s="38" t="s">
        <v>39</v>
      </c>
      <c r="I20" s="11" t="s">
        <v>40</v>
      </c>
      <c r="J20" s="38" t="s">
        <v>41</v>
      </c>
      <c r="K20" s="11" t="s">
        <v>42</v>
      </c>
      <c r="L20" s="38" t="s">
        <v>43</v>
      </c>
      <c r="M20" s="11" t="s">
        <v>44</v>
      </c>
      <c r="N20" s="11" t="s">
        <v>95</v>
      </c>
    </row>
    <row r="21" spans="2:14" x14ac:dyDescent="0.3">
      <c r="B21" s="23">
        <v>1</v>
      </c>
      <c r="C21" s="26">
        <v>0</v>
      </c>
      <c r="D21" s="27">
        <f>(E21+C21)/2</f>
        <v>0.5</v>
      </c>
      <c r="E21" s="26">
        <v>1</v>
      </c>
      <c r="F21" s="27">
        <f>SIN(C21)-COS(C21)</f>
        <v>-1</v>
      </c>
      <c r="G21" s="97">
        <f>SIN(E21)-COS(E21)</f>
        <v>0.30116867893975674</v>
      </c>
      <c r="H21" s="27">
        <f>F21*G21</f>
        <v>-0.30116867893975674</v>
      </c>
      <c r="I21" s="98">
        <f>SIN(D21)-COS(D21)</f>
        <v>-0.39815702328616975</v>
      </c>
      <c r="J21" s="27">
        <f>F21*I21</f>
        <v>0.39815702328616975</v>
      </c>
      <c r="K21" s="26"/>
      <c r="L21" s="27"/>
      <c r="M21" s="26"/>
      <c r="N21" s="101" t="b">
        <f>M22&lt;1*10^(-4)</f>
        <v>0</v>
      </c>
    </row>
    <row r="22" spans="2:14" x14ac:dyDescent="0.3">
      <c r="B22" s="24">
        <v>2</v>
      </c>
      <c r="C22" s="28">
        <f>IF(J21&lt;0,C21,D21)</f>
        <v>0.5</v>
      </c>
      <c r="D22" s="27">
        <f t="shared" ref="D22:D40" si="4">(E22+C22)/2</f>
        <v>0.75</v>
      </c>
      <c r="E22" s="26">
        <f>IF(J21&lt;0,D21,E21)</f>
        <v>1</v>
      </c>
      <c r="F22" s="27">
        <f t="shared" ref="F22:F40" si="5">SIN(C22)-COS(C22)</f>
        <v>-0.39815702328616975</v>
      </c>
      <c r="G22" s="97">
        <f t="shared" ref="G22:G40" si="6">SIN(E22)-COS(E22)</f>
        <v>0.30116867893975674</v>
      </c>
      <c r="H22" s="27">
        <f t="shared" ref="H22:H40" si="7">F22*G22</f>
        <v>-0.1199124247136817</v>
      </c>
      <c r="I22" s="98">
        <f t="shared" ref="I22:I40" si="8">SIN(D22)-COS(D22)</f>
        <v>-5.0050108850486774E-2</v>
      </c>
      <c r="J22" s="27">
        <f t="shared" ref="J22:J40" si="9">F22*I22</f>
        <v>1.9927802355058595E-2</v>
      </c>
      <c r="K22" s="28">
        <f>ABS((D22-D21)/D22)</f>
        <v>0.33333333333333331</v>
      </c>
      <c r="L22" s="30">
        <f>ABS(K22/D22)</f>
        <v>0.44444444444444442</v>
      </c>
      <c r="M22" s="31">
        <f t="shared" ref="M22:M30" si="10">L22</f>
        <v>0.44444444444444442</v>
      </c>
      <c r="N22" s="102" t="b">
        <f t="shared" ref="N22:N40" si="11">M23&lt;1*10^(-4)</f>
        <v>0</v>
      </c>
    </row>
    <row r="23" spans="2:14" x14ac:dyDescent="0.3">
      <c r="B23" s="24">
        <v>3</v>
      </c>
      <c r="C23" s="28">
        <f t="shared" ref="C23:C40" si="12">IF(J22&lt;0,C22,D22)</f>
        <v>0.75</v>
      </c>
      <c r="D23" s="27">
        <f t="shared" si="4"/>
        <v>0.875</v>
      </c>
      <c r="E23" s="26">
        <f t="shared" ref="E23:E40" si="13">IF(J22&lt;0,D22,E22)</f>
        <v>1</v>
      </c>
      <c r="F23" s="27">
        <f t="shared" si="5"/>
        <v>-5.0050108850486774E-2</v>
      </c>
      <c r="G23" s="97">
        <f t="shared" si="6"/>
        <v>0.30116867893975674</v>
      </c>
      <c r="H23" s="27">
        <f t="shared" si="7"/>
        <v>-1.5073525163292129E-2</v>
      </c>
      <c r="I23" s="98">
        <f t="shared" si="8"/>
        <v>0.126546644072702</v>
      </c>
      <c r="J23" s="27">
        <f t="shared" si="9"/>
        <v>-6.3336733105025418E-3</v>
      </c>
      <c r="K23" s="28">
        <f t="shared" ref="K23:K40" si="14">ABS((D23-D22)/D23)</f>
        <v>0.14285714285714285</v>
      </c>
      <c r="L23" s="30">
        <f t="shared" ref="L23:L40" si="15">ABS(K23/D23)</f>
        <v>0.16326530612244897</v>
      </c>
      <c r="M23" s="31">
        <f t="shared" si="10"/>
        <v>0.16326530612244897</v>
      </c>
      <c r="N23" s="102" t="b">
        <f t="shared" si="11"/>
        <v>0</v>
      </c>
    </row>
    <row r="24" spans="2:14" x14ac:dyDescent="0.3">
      <c r="B24" s="24">
        <v>4</v>
      </c>
      <c r="C24" s="28">
        <f t="shared" si="12"/>
        <v>0.75</v>
      </c>
      <c r="D24" s="27">
        <f t="shared" si="4"/>
        <v>0.8125</v>
      </c>
      <c r="E24" s="26">
        <f t="shared" si="13"/>
        <v>0.875</v>
      </c>
      <c r="F24" s="27">
        <f t="shared" si="5"/>
        <v>-5.0050108850486774E-2</v>
      </c>
      <c r="G24" s="97">
        <f t="shared" si="6"/>
        <v>0.126546644072702</v>
      </c>
      <c r="H24" s="27">
        <f t="shared" si="7"/>
        <v>-6.3336733105025418E-3</v>
      </c>
      <c r="I24" s="98">
        <f t="shared" si="8"/>
        <v>3.8323093040207756E-2</v>
      </c>
      <c r="J24" s="27">
        <f t="shared" si="9"/>
        <v>-1.9180749781497303E-3</v>
      </c>
      <c r="K24" s="28">
        <f t="shared" si="14"/>
        <v>7.6923076923076927E-2</v>
      </c>
      <c r="L24" s="30">
        <f t="shared" si="15"/>
        <v>9.4674556213017763E-2</v>
      </c>
      <c r="M24" s="31">
        <f t="shared" si="10"/>
        <v>9.4674556213017763E-2</v>
      </c>
      <c r="N24" s="102" t="b">
        <f t="shared" si="11"/>
        <v>0</v>
      </c>
    </row>
    <row r="25" spans="2:14" x14ac:dyDescent="0.3">
      <c r="B25" s="24">
        <v>5</v>
      </c>
      <c r="C25" s="28">
        <f t="shared" si="12"/>
        <v>0.75</v>
      </c>
      <c r="D25" s="33">
        <f t="shared" si="4"/>
        <v>0.78125</v>
      </c>
      <c r="E25" s="26">
        <f t="shared" si="13"/>
        <v>0.8125</v>
      </c>
      <c r="F25" s="27">
        <f t="shared" si="5"/>
        <v>-5.0050108850486774E-2</v>
      </c>
      <c r="G25" s="97">
        <f t="shared" si="6"/>
        <v>3.8323093040207756E-2</v>
      </c>
      <c r="H25" s="27">
        <f t="shared" si="7"/>
        <v>-1.9180749781497303E-3</v>
      </c>
      <c r="I25" s="98">
        <f t="shared" si="8"/>
        <v>-5.8663721115459477E-3</v>
      </c>
      <c r="J25" s="27">
        <f t="shared" si="9"/>
        <v>2.9361256274033464E-4</v>
      </c>
      <c r="K25" s="28">
        <f t="shared" si="14"/>
        <v>0.04</v>
      </c>
      <c r="L25" s="30">
        <f t="shared" si="15"/>
        <v>5.1200000000000002E-2</v>
      </c>
      <c r="M25" s="31">
        <f t="shared" si="10"/>
        <v>5.1200000000000002E-2</v>
      </c>
      <c r="N25" s="102" t="b">
        <f t="shared" si="11"/>
        <v>0</v>
      </c>
    </row>
    <row r="26" spans="2:14" x14ac:dyDescent="0.3">
      <c r="B26" s="24">
        <v>6</v>
      </c>
      <c r="C26" s="28">
        <f t="shared" si="12"/>
        <v>0.78125</v>
      </c>
      <c r="D26" s="27">
        <f t="shared" si="4"/>
        <v>0.796875</v>
      </c>
      <c r="E26" s="26">
        <f t="shared" si="13"/>
        <v>0.8125</v>
      </c>
      <c r="F26" s="27">
        <f t="shared" si="5"/>
        <v>-5.8663721115459477E-3</v>
      </c>
      <c r="G26" s="97">
        <f t="shared" si="6"/>
        <v>3.8323093040207756E-2</v>
      </c>
      <c r="H26" s="27">
        <f t="shared" si="7"/>
        <v>-2.248175242392554E-4</v>
      </c>
      <c r="I26" s="98">
        <f t="shared" si="8"/>
        <v>1.623034166690196E-2</v>
      </c>
      <c r="J26" s="27">
        <f t="shared" si="9"/>
        <v>-9.521322371557582E-5</v>
      </c>
      <c r="K26" s="28">
        <f t="shared" si="14"/>
        <v>1.9607843137254902E-2</v>
      </c>
      <c r="L26" s="30">
        <f t="shared" si="15"/>
        <v>2.4605920799692427E-2</v>
      </c>
      <c r="M26" s="31">
        <f t="shared" si="10"/>
        <v>2.4605920799692427E-2</v>
      </c>
      <c r="N26" s="102" t="b">
        <f t="shared" si="11"/>
        <v>0</v>
      </c>
    </row>
    <row r="27" spans="2:14" x14ac:dyDescent="0.3">
      <c r="B27" s="24">
        <v>7</v>
      </c>
      <c r="C27" s="28">
        <f t="shared" si="12"/>
        <v>0.78125</v>
      </c>
      <c r="D27" s="27">
        <f t="shared" si="4"/>
        <v>0.7890625</v>
      </c>
      <c r="E27" s="26">
        <f t="shared" si="13"/>
        <v>0.796875</v>
      </c>
      <c r="F27" s="27">
        <f t="shared" si="5"/>
        <v>-5.8663721115459477E-3</v>
      </c>
      <c r="G27" s="97">
        <f t="shared" si="6"/>
        <v>1.623034166690196E-2</v>
      </c>
      <c r="H27" s="27">
        <f t="shared" si="7"/>
        <v>-9.521322371557582E-5</v>
      </c>
      <c r="I27" s="98">
        <f t="shared" si="8"/>
        <v>5.1821429233250837E-3</v>
      </c>
      <c r="J27" s="27">
        <f t="shared" si="9"/>
        <v>-3.0400378723439461E-5</v>
      </c>
      <c r="K27" s="28">
        <f t="shared" si="14"/>
        <v>9.9009900990099011E-3</v>
      </c>
      <c r="L27" s="30">
        <f t="shared" si="15"/>
        <v>1.2547789432408588E-2</v>
      </c>
      <c r="M27" s="31">
        <f t="shared" si="10"/>
        <v>1.2547789432408588E-2</v>
      </c>
      <c r="N27" s="102" t="b">
        <f t="shared" si="11"/>
        <v>0</v>
      </c>
    </row>
    <row r="28" spans="2:14" x14ac:dyDescent="0.3">
      <c r="B28" s="24">
        <v>8</v>
      </c>
      <c r="C28" s="28">
        <f t="shared" si="12"/>
        <v>0.78125</v>
      </c>
      <c r="D28" s="27">
        <f t="shared" si="4"/>
        <v>0.78515625</v>
      </c>
      <c r="E28" s="26">
        <f t="shared" si="13"/>
        <v>0.7890625</v>
      </c>
      <c r="F28" s="27">
        <f t="shared" si="5"/>
        <v>-5.8663721115459477E-3</v>
      </c>
      <c r="G28" s="97">
        <f t="shared" si="6"/>
        <v>5.1821429233250837E-3</v>
      </c>
      <c r="H28" s="27">
        <f t="shared" si="7"/>
        <v>-3.0400378723439461E-5</v>
      </c>
      <c r="I28" s="98">
        <f t="shared" si="8"/>
        <v>-3.4211720425425529E-4</v>
      </c>
      <c r="J28" s="27">
        <f t="shared" si="9"/>
        <v>2.006986825917232E-6</v>
      </c>
      <c r="K28" s="28">
        <f t="shared" si="14"/>
        <v>4.9751243781094526E-3</v>
      </c>
      <c r="L28" s="30">
        <f t="shared" si="15"/>
        <v>6.3364768198806961E-3</v>
      </c>
      <c r="M28" s="31">
        <f t="shared" si="10"/>
        <v>6.3364768198806961E-3</v>
      </c>
      <c r="N28" s="102" t="b">
        <f t="shared" si="11"/>
        <v>0</v>
      </c>
    </row>
    <row r="29" spans="2:14" x14ac:dyDescent="0.3">
      <c r="B29" s="24">
        <v>9</v>
      </c>
      <c r="C29" s="28">
        <f t="shared" si="12"/>
        <v>0.78515625</v>
      </c>
      <c r="D29" s="27">
        <f t="shared" si="4"/>
        <v>0.787109375</v>
      </c>
      <c r="E29" s="26">
        <f t="shared" si="13"/>
        <v>0.7890625</v>
      </c>
      <c r="F29" s="27">
        <f t="shared" si="5"/>
        <v>-3.4211720425425529E-4</v>
      </c>
      <c r="G29" s="97">
        <f t="shared" si="6"/>
        <v>5.1821429233250837E-3</v>
      </c>
      <c r="H29" s="27">
        <f t="shared" si="7"/>
        <v>-1.7729002489739514E-6</v>
      </c>
      <c r="I29" s="98">
        <f t="shared" si="8"/>
        <v>2.4200174753510328E-3</v>
      </c>
      <c r="J29" s="27">
        <f t="shared" si="9"/>
        <v>-8.2792961291353657E-7</v>
      </c>
      <c r="K29" s="28">
        <f t="shared" si="14"/>
        <v>2.4813895781637717E-3</v>
      </c>
      <c r="L29" s="30">
        <f t="shared" si="15"/>
        <v>3.1525346501733277E-3</v>
      </c>
      <c r="M29" s="31">
        <f t="shared" si="10"/>
        <v>3.1525346501733277E-3</v>
      </c>
      <c r="N29" s="102" t="b">
        <f t="shared" si="11"/>
        <v>0</v>
      </c>
    </row>
    <row r="30" spans="2:14" x14ac:dyDescent="0.3">
      <c r="B30" s="24">
        <v>10</v>
      </c>
      <c r="C30" s="28">
        <f t="shared" si="12"/>
        <v>0.78515625</v>
      </c>
      <c r="D30" s="27">
        <f t="shared" si="4"/>
        <v>0.7861328125</v>
      </c>
      <c r="E30" s="26">
        <f t="shared" si="13"/>
        <v>0.787109375</v>
      </c>
      <c r="F30" s="27">
        <f t="shared" si="5"/>
        <v>-3.4211720425425529E-4</v>
      </c>
      <c r="G30" s="97">
        <f t="shared" si="6"/>
        <v>2.4200174753510328E-3</v>
      </c>
      <c r="H30" s="27">
        <f t="shared" si="7"/>
        <v>-8.2792961291353657E-7</v>
      </c>
      <c r="I30" s="98">
        <f t="shared" si="8"/>
        <v>1.0389506309586016E-3</v>
      </c>
      <c r="J30" s="27">
        <f t="shared" si="9"/>
        <v>-3.5544288522175131E-7</v>
      </c>
      <c r="K30" s="28">
        <f t="shared" si="14"/>
        <v>1.2422360248447205E-3</v>
      </c>
      <c r="L30" s="30">
        <f t="shared" si="15"/>
        <v>1.5801859496161414E-3</v>
      </c>
      <c r="M30" s="31">
        <f t="shared" si="10"/>
        <v>1.5801859496161414E-3</v>
      </c>
      <c r="N30" s="102" t="b">
        <f t="shared" si="11"/>
        <v>0</v>
      </c>
    </row>
    <row r="31" spans="2:14" x14ac:dyDescent="0.3">
      <c r="B31" s="24">
        <v>11</v>
      </c>
      <c r="C31" s="28">
        <f t="shared" si="12"/>
        <v>0.78515625</v>
      </c>
      <c r="D31" s="33">
        <f t="shared" si="4"/>
        <v>0.78564453125</v>
      </c>
      <c r="E31" s="34">
        <f t="shared" si="13"/>
        <v>0.7861328125</v>
      </c>
      <c r="F31" s="27">
        <f t="shared" si="5"/>
        <v>-3.4211720425425529E-4</v>
      </c>
      <c r="G31" s="97">
        <f t="shared" si="6"/>
        <v>1.0389506309586016E-3</v>
      </c>
      <c r="H31" s="33">
        <f t="shared" si="7"/>
        <v>-3.5544288522175131E-7</v>
      </c>
      <c r="I31" s="98">
        <f t="shared" si="8"/>
        <v>3.4841675488672674E-4</v>
      </c>
      <c r="J31" s="33">
        <f t="shared" si="9"/>
        <v>-1.1919936609718709E-7</v>
      </c>
      <c r="K31" s="28">
        <f t="shared" si="14"/>
        <v>6.215040397762585E-4</v>
      </c>
      <c r="L31" s="30">
        <f t="shared" si="15"/>
        <v>7.9107537194641228E-4</v>
      </c>
      <c r="M31" s="40">
        <f>L31</f>
        <v>7.9107537194641228E-4</v>
      </c>
      <c r="N31" s="102" t="b">
        <f t="shared" si="11"/>
        <v>0</v>
      </c>
    </row>
    <row r="32" spans="2:14" x14ac:dyDescent="0.3">
      <c r="B32" s="24">
        <v>12</v>
      </c>
      <c r="C32" s="28">
        <f t="shared" si="12"/>
        <v>0.78515625</v>
      </c>
      <c r="D32" s="27">
        <f t="shared" si="4"/>
        <v>0.785400390625</v>
      </c>
      <c r="E32" s="26">
        <f t="shared" si="13"/>
        <v>0.78564453125</v>
      </c>
      <c r="F32" s="27">
        <f t="shared" si="5"/>
        <v>-3.4211720425425529E-4</v>
      </c>
      <c r="G32" s="97">
        <f t="shared" si="6"/>
        <v>3.4841675488672674E-4</v>
      </c>
      <c r="H32" s="27">
        <f t="shared" si="7"/>
        <v>-1.1919936609718709E-7</v>
      </c>
      <c r="I32" s="98">
        <f t="shared" si="8"/>
        <v>3.1497754101605935E-6</v>
      </c>
      <c r="J32" s="27">
        <f t="shared" si="9"/>
        <v>-1.0775923573529426E-9</v>
      </c>
      <c r="K32" s="28">
        <f t="shared" si="14"/>
        <v>3.1084861672365556E-4</v>
      </c>
      <c r="L32" s="30">
        <f t="shared" si="15"/>
        <v>3.9578362887786545E-4</v>
      </c>
      <c r="M32" s="31">
        <f t="shared" ref="M32:M40" si="16">L32</f>
        <v>3.9578362887786545E-4</v>
      </c>
      <c r="N32" s="102" t="b">
        <f t="shared" si="11"/>
        <v>0</v>
      </c>
    </row>
    <row r="33" spans="2:14" x14ac:dyDescent="0.3">
      <c r="B33" s="24">
        <v>13</v>
      </c>
      <c r="C33" s="28">
        <f t="shared" si="12"/>
        <v>0.78515625</v>
      </c>
      <c r="D33" s="27">
        <f t="shared" si="4"/>
        <v>0.7852783203125</v>
      </c>
      <c r="E33" s="26">
        <f t="shared" si="13"/>
        <v>0.785400390625</v>
      </c>
      <c r="F33" s="27">
        <f t="shared" si="5"/>
        <v>-3.4211720425425529E-4</v>
      </c>
      <c r="G33" s="97">
        <f t="shared" si="6"/>
        <v>3.1497754101605935E-6</v>
      </c>
      <c r="H33" s="27">
        <f t="shared" si="7"/>
        <v>-1.0775923573529426E-9</v>
      </c>
      <c r="I33" s="98">
        <f t="shared" si="8"/>
        <v>-1.6948371568481502E-4</v>
      </c>
      <c r="J33" s="27">
        <f t="shared" si="9"/>
        <v>5.7983294976711989E-8</v>
      </c>
      <c r="K33" s="99">
        <f t="shared" si="14"/>
        <v>1.55448468832582E-4</v>
      </c>
      <c r="L33" s="100">
        <f t="shared" si="15"/>
        <v>1.9795334317993343E-4</v>
      </c>
      <c r="M33" s="40">
        <f t="shared" si="16"/>
        <v>1.9795334317993343E-4</v>
      </c>
      <c r="N33" s="102" t="b">
        <f t="shared" si="11"/>
        <v>1</v>
      </c>
    </row>
    <row r="34" spans="2:14" x14ac:dyDescent="0.3">
      <c r="B34" s="24">
        <v>14</v>
      </c>
      <c r="C34" s="28">
        <f t="shared" si="12"/>
        <v>0.7852783203125</v>
      </c>
      <c r="D34" s="27">
        <f t="shared" si="4"/>
        <v>0.78533935546875</v>
      </c>
      <c r="E34" s="26">
        <f t="shared" si="13"/>
        <v>0.785400390625</v>
      </c>
      <c r="F34" s="27">
        <f t="shared" si="5"/>
        <v>-1.6948371568481502E-4</v>
      </c>
      <c r="G34" s="97">
        <f t="shared" si="6"/>
        <v>3.1497754101605935E-6</v>
      </c>
      <c r="H34" s="27">
        <f t="shared" si="7"/>
        <v>-5.3383564008667964E-10</v>
      </c>
      <c r="I34" s="98">
        <f t="shared" si="8"/>
        <v>-8.3166970292314346E-5</v>
      </c>
      <c r="J34" s="27">
        <f t="shared" si="9"/>
        <v>1.4095447147390061E-8</v>
      </c>
      <c r="K34" s="28">
        <f t="shared" si="14"/>
        <v>7.7718193829175411E-5</v>
      </c>
      <c r="L34" s="30">
        <f t="shared" si="15"/>
        <v>9.8961287611503058E-5</v>
      </c>
      <c r="M34" s="31">
        <f t="shared" si="16"/>
        <v>9.8961287611503058E-5</v>
      </c>
      <c r="N34" s="102" t="b">
        <f>M35&lt;1*10^(-4)</f>
        <v>1</v>
      </c>
    </row>
    <row r="35" spans="2:14" x14ac:dyDescent="0.3">
      <c r="B35" s="24">
        <v>15</v>
      </c>
      <c r="C35" s="28">
        <f t="shared" si="12"/>
        <v>0.78533935546875</v>
      </c>
      <c r="D35" s="27">
        <f t="shared" si="4"/>
        <v>0.785369873046875</v>
      </c>
      <c r="E35" s="26">
        <f t="shared" si="13"/>
        <v>0.785400390625</v>
      </c>
      <c r="F35" s="27">
        <f t="shared" si="5"/>
        <v>-8.3166970292314346E-5</v>
      </c>
      <c r="G35" s="97">
        <f t="shared" si="6"/>
        <v>3.1497754101605935E-6</v>
      </c>
      <c r="H35" s="27">
        <f t="shared" si="7"/>
        <v>-2.6195727796428832E-10</v>
      </c>
      <c r="I35" s="98">
        <f t="shared" si="8"/>
        <v>-4.0008597459784134E-5</v>
      </c>
      <c r="J35" s="27">
        <f t="shared" si="9"/>
        <v>3.3273938363750304E-9</v>
      </c>
      <c r="K35" s="28">
        <f t="shared" si="14"/>
        <v>3.8857586943850786E-5</v>
      </c>
      <c r="L35" s="30">
        <f t="shared" si="15"/>
        <v>4.9476798483625511E-5</v>
      </c>
      <c r="M35" s="31">
        <f t="shared" si="16"/>
        <v>4.9476798483625511E-5</v>
      </c>
      <c r="N35" s="102" t="b">
        <f t="shared" si="11"/>
        <v>1</v>
      </c>
    </row>
    <row r="36" spans="2:14" x14ac:dyDescent="0.3">
      <c r="B36" s="24">
        <v>16</v>
      </c>
      <c r="C36" s="28">
        <f t="shared" si="12"/>
        <v>0.785369873046875</v>
      </c>
      <c r="D36" s="27">
        <f t="shared" si="4"/>
        <v>0.7853851318359375</v>
      </c>
      <c r="E36" s="26">
        <f t="shared" si="13"/>
        <v>0.785400390625</v>
      </c>
      <c r="F36" s="27">
        <f t="shared" si="5"/>
        <v>-4.0008597459784134E-5</v>
      </c>
      <c r="G36" s="97">
        <f t="shared" si="6"/>
        <v>3.1497754101605935E-6</v>
      </c>
      <c r="H36" s="27">
        <f t="shared" si="7"/>
        <v>-1.2601809647384166E-10</v>
      </c>
      <c r="I36" s="98">
        <f t="shared" si="8"/>
        <v>-1.8429411026921194E-5</v>
      </c>
      <c r="J36" s="27">
        <f t="shared" si="9"/>
        <v>7.37334887196997E-10</v>
      </c>
      <c r="K36" s="28">
        <f t="shared" si="14"/>
        <v>1.942841600124342E-5</v>
      </c>
      <c r="L36" s="30">
        <f t="shared" si="15"/>
        <v>2.4737437995327246E-5</v>
      </c>
      <c r="M36" s="31">
        <f t="shared" si="16"/>
        <v>2.4737437995327246E-5</v>
      </c>
      <c r="N36" s="102" t="b">
        <f t="shared" si="11"/>
        <v>1</v>
      </c>
    </row>
    <row r="37" spans="2:14" x14ac:dyDescent="0.3">
      <c r="B37" s="24">
        <v>17</v>
      </c>
      <c r="C37" s="28">
        <f t="shared" si="12"/>
        <v>0.7853851318359375</v>
      </c>
      <c r="D37" s="27">
        <f t="shared" si="4"/>
        <v>0.78539276123046875</v>
      </c>
      <c r="E37" s="26">
        <f t="shared" si="13"/>
        <v>0.785400390625</v>
      </c>
      <c r="F37" s="27">
        <f t="shared" si="5"/>
        <v>-1.8429411026921194E-5</v>
      </c>
      <c r="G37" s="97">
        <f t="shared" si="6"/>
        <v>3.1497754101605935E-6</v>
      </c>
      <c r="H37" s="27">
        <f t="shared" si="7"/>
        <v>-5.804850567633887E-11</v>
      </c>
      <c r="I37" s="98">
        <f t="shared" si="8"/>
        <v>-7.6398178087133672E-6</v>
      </c>
      <c r="J37" s="27">
        <f t="shared" si="9"/>
        <v>1.4079734256757104E-10</v>
      </c>
      <c r="K37" s="28">
        <f t="shared" si="14"/>
        <v>9.7141136357013097E-6</v>
      </c>
      <c r="L37" s="30">
        <f t="shared" si="15"/>
        <v>1.2368478696547041E-5</v>
      </c>
      <c r="M37" s="31">
        <f t="shared" si="16"/>
        <v>1.2368478696547041E-5</v>
      </c>
      <c r="N37" s="102" t="b">
        <f t="shared" si="11"/>
        <v>1</v>
      </c>
    </row>
    <row r="38" spans="2:14" x14ac:dyDescent="0.3">
      <c r="B38" s="24">
        <v>18</v>
      </c>
      <c r="C38" s="28">
        <f t="shared" si="12"/>
        <v>0.78539276123046875</v>
      </c>
      <c r="D38" s="27">
        <f t="shared" si="4"/>
        <v>0.78539657592773438</v>
      </c>
      <c r="E38" s="26">
        <f t="shared" si="13"/>
        <v>0.785400390625</v>
      </c>
      <c r="F38" s="27">
        <f t="shared" si="5"/>
        <v>-7.6398178087133672E-6</v>
      </c>
      <c r="G38" s="97">
        <f t="shared" si="6"/>
        <v>3.1497754101605935E-6</v>
      </c>
      <c r="H38" s="27">
        <f t="shared" si="7"/>
        <v>-2.4063710271992354E-11</v>
      </c>
      <c r="I38" s="98">
        <f t="shared" si="8"/>
        <v>-2.2450211992763869E-6</v>
      </c>
      <c r="J38" s="27">
        <f t="shared" si="9"/>
        <v>1.7151552939170781E-11</v>
      </c>
      <c r="K38" s="28">
        <f t="shared" si="14"/>
        <v>4.8570332269643058E-6</v>
      </c>
      <c r="L38" s="30">
        <f t="shared" si="15"/>
        <v>6.1841792743074162E-6</v>
      </c>
      <c r="M38" s="31">
        <f t="shared" si="16"/>
        <v>6.1841792743074162E-6</v>
      </c>
      <c r="N38" s="102" t="b">
        <f t="shared" si="11"/>
        <v>1</v>
      </c>
    </row>
    <row r="39" spans="2:14" x14ac:dyDescent="0.3">
      <c r="B39" s="24">
        <v>19</v>
      </c>
      <c r="C39" s="28">
        <f t="shared" si="12"/>
        <v>0.78539657592773438</v>
      </c>
      <c r="D39" s="27">
        <f t="shared" si="4"/>
        <v>0.78539848327636719</v>
      </c>
      <c r="E39" s="26">
        <f t="shared" si="13"/>
        <v>0.785400390625</v>
      </c>
      <c r="F39" s="27">
        <f t="shared" si="5"/>
        <v>-2.2450211992763869E-6</v>
      </c>
      <c r="G39" s="97">
        <f t="shared" si="6"/>
        <v>3.1497754101605935E-6</v>
      </c>
      <c r="H39" s="27">
        <f t="shared" si="7"/>
        <v>-7.0713125687700088E-12</v>
      </c>
      <c r="I39" s="98">
        <f t="shared" si="8"/>
        <v>4.523771054421033E-7</v>
      </c>
      <c r="J39" s="27">
        <f t="shared" si="9"/>
        <v>-1.0155961917848112E-12</v>
      </c>
      <c r="K39" s="28">
        <f t="shared" si="14"/>
        <v>2.4285107158035333E-6</v>
      </c>
      <c r="L39" s="30">
        <f t="shared" si="15"/>
        <v>3.0920746188263078E-6</v>
      </c>
      <c r="M39" s="31">
        <f t="shared" si="16"/>
        <v>3.0920746188263078E-6</v>
      </c>
      <c r="N39" s="102" t="b">
        <f t="shared" si="11"/>
        <v>1</v>
      </c>
    </row>
    <row r="40" spans="2:14" ht="15" thickBot="1" x14ac:dyDescent="0.35">
      <c r="B40" s="25">
        <v>20</v>
      </c>
      <c r="C40" s="28">
        <f t="shared" si="12"/>
        <v>0.78539657592773438</v>
      </c>
      <c r="D40" s="27">
        <f t="shared" si="4"/>
        <v>0.78539752960205078</v>
      </c>
      <c r="E40" s="26">
        <f t="shared" si="13"/>
        <v>0.78539848327636719</v>
      </c>
      <c r="F40" s="27">
        <f t="shared" si="5"/>
        <v>-2.2450211992763869E-6</v>
      </c>
      <c r="G40" s="97">
        <f t="shared" si="6"/>
        <v>4.523771054421033E-7</v>
      </c>
      <c r="H40" s="27">
        <f t="shared" si="7"/>
        <v>-1.0155961917848112E-12</v>
      </c>
      <c r="I40" s="98">
        <f t="shared" si="8"/>
        <v>-8.9632204691714179E-7</v>
      </c>
      <c r="J40" s="27">
        <f t="shared" si="9"/>
        <v>2.0122619967077877E-12</v>
      </c>
      <c r="K40" s="28">
        <f t="shared" si="14"/>
        <v>1.2142568323196313E-6</v>
      </c>
      <c r="L40" s="30">
        <f t="shared" si="15"/>
        <v>1.5460410639881655E-6</v>
      </c>
      <c r="M40" s="31">
        <f t="shared" si="16"/>
        <v>1.5460410639881655E-6</v>
      </c>
      <c r="N40" s="103" t="b">
        <f t="shared" si="11"/>
        <v>1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6"/>
  <sheetViews>
    <sheetView workbookViewId="0">
      <selection activeCell="J18" sqref="J18"/>
    </sheetView>
  </sheetViews>
  <sheetFormatPr baseColWidth="10" defaultRowHeight="14.4" x14ac:dyDescent="0.3"/>
  <cols>
    <col min="3" max="3" width="15" customWidth="1"/>
    <col min="8" max="8" width="15" customWidth="1"/>
    <col min="12" max="12" width="12.5546875" customWidth="1"/>
  </cols>
  <sheetData>
    <row r="1" spans="1:14" s="61" customFormat="1" ht="28.8" x14ac:dyDescent="0.55000000000000004">
      <c r="A1" s="610" t="s">
        <v>93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B3" s="5" t="s">
        <v>22</v>
      </c>
      <c r="C3" s="5" t="s">
        <v>25</v>
      </c>
    </row>
    <row r="4" spans="1:14" x14ac:dyDescent="0.3">
      <c r="B4" s="107">
        <v>-5</v>
      </c>
      <c r="C4" s="107">
        <f>B4^2+3*B4-12</f>
        <v>-2</v>
      </c>
    </row>
    <row r="5" spans="1:14" x14ac:dyDescent="0.3">
      <c r="B5" s="107">
        <v>-4</v>
      </c>
      <c r="C5" s="107">
        <f t="shared" ref="C5:C14" si="0">B5^2+3*B5-12</f>
        <v>-8</v>
      </c>
    </row>
    <row r="6" spans="1:14" x14ac:dyDescent="0.3">
      <c r="B6" s="107">
        <v>-3</v>
      </c>
      <c r="C6" s="107">
        <f t="shared" si="0"/>
        <v>-12</v>
      </c>
    </row>
    <row r="7" spans="1:14" x14ac:dyDescent="0.3">
      <c r="B7" s="107">
        <v>-2</v>
      </c>
      <c r="C7" s="107">
        <f t="shared" si="0"/>
        <v>-14</v>
      </c>
    </row>
    <row r="8" spans="1:14" x14ac:dyDescent="0.3">
      <c r="B8" s="107">
        <v>-1</v>
      </c>
      <c r="C8" s="107">
        <f t="shared" si="0"/>
        <v>-14</v>
      </c>
    </row>
    <row r="9" spans="1:14" x14ac:dyDescent="0.3">
      <c r="B9" s="107">
        <v>0</v>
      </c>
      <c r="C9" s="107">
        <f t="shared" si="0"/>
        <v>-12</v>
      </c>
    </row>
    <row r="10" spans="1:14" x14ac:dyDescent="0.3">
      <c r="B10" s="107">
        <v>1</v>
      </c>
      <c r="C10" s="107">
        <f t="shared" si="0"/>
        <v>-8</v>
      </c>
    </row>
    <row r="11" spans="1:14" x14ac:dyDescent="0.3">
      <c r="B11" s="107">
        <v>2</v>
      </c>
      <c r="C11" s="107">
        <f t="shared" si="0"/>
        <v>-2</v>
      </c>
    </row>
    <row r="12" spans="1:14" x14ac:dyDescent="0.3">
      <c r="B12" s="107">
        <v>3</v>
      </c>
      <c r="C12" s="107">
        <f t="shared" si="0"/>
        <v>6</v>
      </c>
    </row>
    <row r="13" spans="1:14" x14ac:dyDescent="0.3">
      <c r="B13" s="107">
        <v>4</v>
      </c>
      <c r="C13" s="107">
        <f t="shared" si="0"/>
        <v>16</v>
      </c>
    </row>
    <row r="14" spans="1:14" x14ac:dyDescent="0.3">
      <c r="B14" s="107">
        <v>5</v>
      </c>
      <c r="C14" s="107">
        <f t="shared" si="0"/>
        <v>28</v>
      </c>
    </row>
    <row r="16" spans="1:14" x14ac:dyDescent="0.3">
      <c r="A16" s="114" t="s">
        <v>48</v>
      </c>
      <c r="B16" s="114" t="s">
        <v>26</v>
      </c>
      <c r="C16" s="114" t="s">
        <v>27</v>
      </c>
      <c r="D16" s="114" t="s">
        <v>49</v>
      </c>
      <c r="E16" s="114" t="s">
        <v>50</v>
      </c>
      <c r="F16" s="114" t="s">
        <v>36</v>
      </c>
      <c r="G16" s="114" t="s">
        <v>51</v>
      </c>
      <c r="H16" s="114" t="s">
        <v>52</v>
      </c>
      <c r="I16" s="114" t="s">
        <v>42</v>
      </c>
      <c r="J16" s="114" t="s">
        <v>43</v>
      </c>
      <c r="K16" s="114" t="s">
        <v>44</v>
      </c>
      <c r="L16" s="106" t="s">
        <v>95</v>
      </c>
    </row>
    <row r="17" spans="1:12" x14ac:dyDescent="0.3">
      <c r="A17" s="108">
        <v>1</v>
      </c>
      <c r="B17" s="108">
        <v>2</v>
      </c>
      <c r="C17" s="108">
        <v>3</v>
      </c>
      <c r="D17" s="109">
        <f>B17^2+3*B17-12</f>
        <v>-2</v>
      </c>
      <c r="E17" s="110">
        <f>C17^2+3*C17-12</f>
        <v>6</v>
      </c>
      <c r="F17" s="110">
        <f>C17-((E17*(B17-C17))/(D17-E17))</f>
        <v>2.25</v>
      </c>
      <c r="G17" s="111">
        <f>F17^2+3*F17-12</f>
        <v>-0.1875</v>
      </c>
      <c r="H17" s="111">
        <f>D17*G17</f>
        <v>0.375</v>
      </c>
      <c r="I17" s="108"/>
      <c r="J17" s="108"/>
      <c r="K17" s="108"/>
      <c r="L17" s="102" t="b">
        <f>K18&lt;1*10^(-4)</f>
        <v>0</v>
      </c>
    </row>
    <row r="18" spans="1:12" x14ac:dyDescent="0.3">
      <c r="A18" s="108">
        <v>2</v>
      </c>
      <c r="B18" s="108">
        <f>IF(H17&lt;0,B17,F17)</f>
        <v>2.25</v>
      </c>
      <c r="C18" s="108">
        <f>IF(H17&lt;0,F17,C17)</f>
        <v>3</v>
      </c>
      <c r="D18" s="109">
        <f t="shared" ref="D18:D34" si="1">B18^2+3*B18-12</f>
        <v>-0.1875</v>
      </c>
      <c r="E18" s="110">
        <f t="shared" ref="E18:E34" si="2">C18^2+3*C18-12</f>
        <v>6</v>
      </c>
      <c r="F18" s="110">
        <f>C18-((E18*(B18-C18))/(D18-E18))</f>
        <v>2.2727272727272725</v>
      </c>
      <c r="G18" s="111">
        <f t="shared" ref="G18:G34" si="3">F18^2+3*F18-12</f>
        <v>-1.6528925619837764E-2</v>
      </c>
      <c r="H18" s="111">
        <f>D18*G18</f>
        <v>3.0991735537195808E-3</v>
      </c>
      <c r="I18" s="112">
        <f>ABS(F18-F17)</f>
        <v>2.2727272727272485E-2</v>
      </c>
      <c r="J18" s="112">
        <f>I18/F17</f>
        <v>1.0101010101009993E-2</v>
      </c>
      <c r="K18" s="113">
        <f>J18</f>
        <v>1.0101010101009993E-2</v>
      </c>
      <c r="L18" s="102" t="b">
        <f t="shared" ref="L18:L34" si="4">K19&lt;1*10^(-4)</f>
        <v>0</v>
      </c>
    </row>
    <row r="19" spans="1:12" x14ac:dyDescent="0.3">
      <c r="A19" s="227">
        <v>3</v>
      </c>
      <c r="B19" s="227">
        <f>IF(H18&lt;0,B18,F18)</f>
        <v>2.2727272727272725</v>
      </c>
      <c r="C19" s="227">
        <f>IF(H18&lt;0,F18,C18)</f>
        <v>3</v>
      </c>
      <c r="D19" s="228">
        <f t="shared" si="1"/>
        <v>-1.6528925619837764E-2</v>
      </c>
      <c r="E19" s="229">
        <f t="shared" si="2"/>
        <v>6</v>
      </c>
      <c r="F19" s="229">
        <f>C19-((E19*(B19-C19))/(D19-E19))</f>
        <v>2.2747252747252746</v>
      </c>
      <c r="G19" s="230">
        <f t="shared" si="3"/>
        <v>-1.4491003502001831E-3</v>
      </c>
      <c r="H19" s="230">
        <f>D19*G19</f>
        <v>2.3952071904139683E-5</v>
      </c>
      <c r="I19" s="231">
        <f>ABS(F19-F18)</f>
        <v>1.9980019980021524E-3</v>
      </c>
      <c r="J19" s="231">
        <f>I19/F18</f>
        <v>8.791208791209471E-4</v>
      </c>
      <c r="K19" s="232">
        <f>J19</f>
        <v>8.791208791209471E-4</v>
      </c>
      <c r="L19" s="233" t="b">
        <f t="shared" si="4"/>
        <v>1</v>
      </c>
    </row>
    <row r="20" spans="1:12" x14ac:dyDescent="0.3">
      <c r="A20" s="108">
        <v>4</v>
      </c>
      <c r="B20" s="108">
        <f t="shared" ref="B20:B34" si="5">IF(H19&lt;0,B19,F19)</f>
        <v>2.2747252747252746</v>
      </c>
      <c r="C20" s="108">
        <f t="shared" ref="C20:C34" si="6">IF(H19&lt;0,F19,C19)</f>
        <v>3</v>
      </c>
      <c r="D20" s="109">
        <f t="shared" si="1"/>
        <v>-1.4491003502001831E-3</v>
      </c>
      <c r="E20" s="110">
        <f t="shared" si="2"/>
        <v>6</v>
      </c>
      <c r="F20" s="110">
        <f t="shared" ref="F20:F34" si="7">C20-((E20*(B20-C20))/(D20-E20))</f>
        <v>2.2749003984063743</v>
      </c>
      <c r="G20" s="111">
        <f t="shared" si="3"/>
        <v>-1.2698211139650084E-4</v>
      </c>
      <c r="H20" s="111">
        <f t="shared" ref="H20:H34" si="8">D20*G20</f>
        <v>1.8400982209382804E-7</v>
      </c>
      <c r="I20" s="112">
        <f t="shared" ref="I20:I34" si="9">ABS(F20-F19)</f>
        <v>1.751236810996204E-4</v>
      </c>
      <c r="J20" s="112">
        <f t="shared" ref="J20:J34" si="10">I20/F19</f>
        <v>7.6986739034132635E-5</v>
      </c>
      <c r="K20" s="113">
        <f t="shared" ref="K20:K34" si="11">J20</f>
        <v>7.6986739034132635E-5</v>
      </c>
      <c r="L20" s="102" t="b">
        <f t="shared" si="4"/>
        <v>1</v>
      </c>
    </row>
    <row r="21" spans="1:12" x14ac:dyDescent="0.3">
      <c r="A21" s="108">
        <v>5</v>
      </c>
      <c r="B21" s="108">
        <f t="shared" si="5"/>
        <v>2.2749003984063743</v>
      </c>
      <c r="C21" s="108">
        <f t="shared" si="6"/>
        <v>3</v>
      </c>
      <c r="D21" s="109">
        <f t="shared" si="1"/>
        <v>-1.2698211139650084E-4</v>
      </c>
      <c r="E21" s="110">
        <f t="shared" si="2"/>
        <v>6</v>
      </c>
      <c r="F21" s="110">
        <f t="shared" si="7"/>
        <v>2.2749157438613383</v>
      </c>
      <c r="G21" s="111">
        <f t="shared" si="3"/>
        <v>-1.1126747800460635E-5</v>
      </c>
      <c r="H21" s="111">
        <f t="shared" si="8"/>
        <v>1.4128979286788629E-9</v>
      </c>
      <c r="I21" s="112">
        <f t="shared" si="9"/>
        <v>1.5345454964066363E-5</v>
      </c>
      <c r="J21" s="112">
        <f>I21/F20</f>
        <v>6.7455502556578938E-6</v>
      </c>
      <c r="K21" s="113">
        <f t="shared" si="11"/>
        <v>6.7455502556578938E-6</v>
      </c>
      <c r="L21" s="102" t="b">
        <f t="shared" si="4"/>
        <v>1</v>
      </c>
    </row>
    <row r="22" spans="1:12" x14ac:dyDescent="0.3">
      <c r="A22" s="108">
        <v>6</v>
      </c>
      <c r="B22" s="108">
        <f t="shared" si="5"/>
        <v>2.2749157438613383</v>
      </c>
      <c r="C22" s="108">
        <f t="shared" si="6"/>
        <v>3</v>
      </c>
      <c r="D22" s="109">
        <f t="shared" si="1"/>
        <v>-1.1126747800460635E-5</v>
      </c>
      <c r="E22" s="110">
        <f t="shared" si="2"/>
        <v>6</v>
      </c>
      <c r="F22" s="110">
        <f t="shared" si="7"/>
        <v>2.2749170884971202</v>
      </c>
      <c r="G22" s="111">
        <f t="shared" si="3"/>
        <v>-9.7497242634858594E-7</v>
      </c>
      <c r="H22" s="111">
        <f t="shared" si="8"/>
        <v>1.0848272300383897E-11</v>
      </c>
      <c r="I22" s="112">
        <f t="shared" si="9"/>
        <v>1.3446357818303056E-6</v>
      </c>
      <c r="J22" s="112">
        <f t="shared" si="10"/>
        <v>5.9107058600244334E-7</v>
      </c>
      <c r="K22" s="113">
        <f t="shared" si="11"/>
        <v>5.9107058600244334E-7</v>
      </c>
      <c r="L22" s="102" t="b">
        <f t="shared" si="4"/>
        <v>1</v>
      </c>
    </row>
    <row r="23" spans="1:12" x14ac:dyDescent="0.3">
      <c r="A23" s="108">
        <v>7</v>
      </c>
      <c r="B23" s="108">
        <f t="shared" si="5"/>
        <v>2.2749170884971202</v>
      </c>
      <c r="C23" s="108">
        <f t="shared" si="6"/>
        <v>3</v>
      </c>
      <c r="D23" s="109">
        <f t="shared" si="1"/>
        <v>-9.7497242634858594E-7</v>
      </c>
      <c r="E23" s="110">
        <f t="shared" si="2"/>
        <v>6</v>
      </c>
      <c r="F23" s="110">
        <f t="shared" si="7"/>
        <v>2.274917206319742</v>
      </c>
      <c r="G23" s="111">
        <f t="shared" si="3"/>
        <v>-8.5431153706849727E-8</v>
      </c>
      <c r="H23" s="111">
        <f t="shared" si="8"/>
        <v>8.3293019215326271E-14</v>
      </c>
      <c r="I23" s="112">
        <f t="shared" si="9"/>
        <v>1.1782262188120285E-7</v>
      </c>
      <c r="J23" s="112">
        <f t="shared" si="10"/>
        <v>5.1792051005709437E-8</v>
      </c>
      <c r="K23" s="113">
        <f t="shared" si="11"/>
        <v>5.1792051005709437E-8</v>
      </c>
      <c r="L23" s="102" t="b">
        <f t="shared" si="4"/>
        <v>1</v>
      </c>
    </row>
    <row r="24" spans="1:12" x14ac:dyDescent="0.3">
      <c r="A24" s="108">
        <v>8</v>
      </c>
      <c r="B24" s="108">
        <f t="shared" si="5"/>
        <v>2.274917206319742</v>
      </c>
      <c r="C24" s="108">
        <f t="shared" si="6"/>
        <v>3</v>
      </c>
      <c r="D24" s="109">
        <f t="shared" si="1"/>
        <v>-8.5431153706849727E-8</v>
      </c>
      <c r="E24" s="110">
        <f t="shared" si="2"/>
        <v>6</v>
      </c>
      <c r="F24" s="110">
        <f t="shared" si="7"/>
        <v>2.2749172166438516</v>
      </c>
      <c r="G24" s="111">
        <f t="shared" si="3"/>
        <v>-7.4858359511154049E-9</v>
      </c>
      <c r="H24" s="111">
        <f t="shared" si="8"/>
        <v>6.3952360176400178E-16</v>
      </c>
      <c r="I24" s="112">
        <f t="shared" si="9"/>
        <v>1.0324109567250161E-8</v>
      </c>
      <c r="J24" s="112">
        <f t="shared" si="10"/>
        <v>4.5382352986604021E-9</v>
      </c>
      <c r="K24" s="113">
        <f t="shared" si="11"/>
        <v>4.5382352986604021E-9</v>
      </c>
      <c r="L24" s="102" t="b">
        <f t="shared" si="4"/>
        <v>1</v>
      </c>
    </row>
    <row r="25" spans="1:12" x14ac:dyDescent="0.3">
      <c r="A25" s="108">
        <v>9</v>
      </c>
      <c r="B25" s="108">
        <f t="shared" si="5"/>
        <v>2.2749172166438516</v>
      </c>
      <c r="C25" s="108">
        <f t="shared" si="6"/>
        <v>3</v>
      </c>
      <c r="D25" s="109">
        <f t="shared" si="1"/>
        <v>-7.4858359511154049E-9</v>
      </c>
      <c r="E25" s="110">
        <f t="shared" si="2"/>
        <v>6</v>
      </c>
      <c r="F25" s="110">
        <f t="shared" si="7"/>
        <v>2.2749172175484933</v>
      </c>
      <c r="G25" s="111">
        <f t="shared" si="3"/>
        <v>-6.5594107923061529E-10</v>
      </c>
      <c r="H25" s="111">
        <f t="shared" si="8"/>
        <v>4.9102673127179781E-18</v>
      </c>
      <c r="I25" s="112">
        <f t="shared" si="9"/>
        <v>9.0464169488768675E-10</v>
      </c>
      <c r="J25" s="112">
        <f t="shared" si="10"/>
        <v>3.9765917118614538E-10</v>
      </c>
      <c r="K25" s="113">
        <f t="shared" si="11"/>
        <v>3.9765917118614538E-10</v>
      </c>
      <c r="L25" s="102" t="b">
        <f t="shared" si="4"/>
        <v>1</v>
      </c>
    </row>
    <row r="26" spans="1:12" x14ac:dyDescent="0.3">
      <c r="A26" s="108">
        <v>10</v>
      </c>
      <c r="B26" s="108">
        <f t="shared" si="5"/>
        <v>2.2749172175484933</v>
      </c>
      <c r="C26" s="108">
        <f t="shared" si="6"/>
        <v>3</v>
      </c>
      <c r="D26" s="109">
        <f t="shared" si="1"/>
        <v>-6.5594107923061529E-10</v>
      </c>
      <c r="E26" s="110">
        <f t="shared" si="2"/>
        <v>6</v>
      </c>
      <c r="F26" s="110">
        <f t="shared" si="7"/>
        <v>2.2749172176277619</v>
      </c>
      <c r="G26" s="111">
        <f t="shared" si="3"/>
        <v>-5.7475801895634504E-11</v>
      </c>
      <c r="H26" s="111">
        <f t="shared" si="8"/>
        <v>3.7700739525067541E-20</v>
      </c>
      <c r="I26" s="112">
        <f t="shared" si="9"/>
        <v>7.9268591690606627E-11</v>
      </c>
      <c r="J26" s="112">
        <f t="shared" si="10"/>
        <v>3.4844604928538195E-11</v>
      </c>
      <c r="K26" s="113">
        <f t="shared" si="11"/>
        <v>3.4844604928538195E-11</v>
      </c>
      <c r="L26" s="102" t="b">
        <f t="shared" si="4"/>
        <v>1</v>
      </c>
    </row>
    <row r="27" spans="1:12" x14ac:dyDescent="0.3">
      <c r="A27" s="108">
        <v>11</v>
      </c>
      <c r="B27" s="108">
        <f t="shared" si="5"/>
        <v>2.2749172176277619</v>
      </c>
      <c r="C27" s="108">
        <f t="shared" si="6"/>
        <v>3</v>
      </c>
      <c r="D27" s="109">
        <f t="shared" si="1"/>
        <v>-5.7475801895634504E-11</v>
      </c>
      <c r="E27" s="110">
        <f t="shared" si="2"/>
        <v>6</v>
      </c>
      <c r="F27" s="110">
        <f t="shared" si="7"/>
        <v>2.2749172176347079</v>
      </c>
      <c r="G27" s="111">
        <f t="shared" si="3"/>
        <v>-5.0341952828603098E-12</v>
      </c>
      <c r="H27" s="111">
        <f t="shared" si="8"/>
        <v>2.8934441078161687E-22</v>
      </c>
      <c r="I27" s="112">
        <f t="shared" si="9"/>
        <v>6.9459993312648294E-12</v>
      </c>
      <c r="J27" s="112">
        <f t="shared" si="10"/>
        <v>3.0532976221912716E-12</v>
      </c>
      <c r="K27" s="113">
        <f t="shared" si="11"/>
        <v>3.0532976221912716E-12</v>
      </c>
      <c r="L27" s="102" t="b">
        <f t="shared" si="4"/>
        <v>1</v>
      </c>
    </row>
    <row r="28" spans="1:12" x14ac:dyDescent="0.3">
      <c r="A28" s="108">
        <v>12</v>
      </c>
      <c r="B28" s="108">
        <f t="shared" si="5"/>
        <v>2.2749172176347079</v>
      </c>
      <c r="C28" s="108">
        <f t="shared" si="6"/>
        <v>3</v>
      </c>
      <c r="D28" s="109">
        <f t="shared" si="1"/>
        <v>-5.0341952828603098E-12</v>
      </c>
      <c r="E28" s="110">
        <f t="shared" si="2"/>
        <v>6</v>
      </c>
      <c r="F28" s="110">
        <f t="shared" si="7"/>
        <v>2.2749172176353163</v>
      </c>
      <c r="G28" s="111">
        <f t="shared" si="3"/>
        <v>-4.4231285301066237E-13</v>
      </c>
      <c r="H28" s="111">
        <f t="shared" si="8"/>
        <v>2.2266892781747621E-24</v>
      </c>
      <c r="I28" s="112">
        <f t="shared" si="9"/>
        <v>6.0840221749458578E-13</v>
      </c>
      <c r="J28" s="112">
        <f t="shared" si="10"/>
        <v>2.674392776925561E-13</v>
      </c>
      <c r="K28" s="113">
        <f t="shared" si="11"/>
        <v>2.674392776925561E-13</v>
      </c>
      <c r="L28" s="102" t="b">
        <f t="shared" si="4"/>
        <v>1</v>
      </c>
    </row>
    <row r="29" spans="1:12" x14ac:dyDescent="0.3">
      <c r="A29" s="108">
        <v>13</v>
      </c>
      <c r="B29" s="108">
        <f t="shared" si="5"/>
        <v>2.2749172176353163</v>
      </c>
      <c r="C29" s="108">
        <f t="shared" si="6"/>
        <v>3</v>
      </c>
      <c r="D29" s="109">
        <f t="shared" si="1"/>
        <v>-4.4231285301066237E-13</v>
      </c>
      <c r="E29" s="110">
        <f t="shared" si="2"/>
        <v>6</v>
      </c>
      <c r="F29" s="110">
        <f t="shared" si="7"/>
        <v>2.2749172176353696</v>
      </c>
      <c r="G29" s="111">
        <f t="shared" si="3"/>
        <v>-3.907985046680551E-14</v>
      </c>
      <c r="H29" s="111">
        <f t="shared" si="8"/>
        <v>1.7285520155202811E-26</v>
      </c>
      <c r="I29" s="112">
        <f t="shared" si="9"/>
        <v>5.3290705182007514E-14</v>
      </c>
      <c r="J29" s="112">
        <f t="shared" si="10"/>
        <v>2.3425338192042449E-14</v>
      </c>
      <c r="K29" s="113">
        <f t="shared" si="11"/>
        <v>2.3425338192042449E-14</v>
      </c>
      <c r="L29" s="102" t="b">
        <f t="shared" si="4"/>
        <v>1</v>
      </c>
    </row>
    <row r="30" spans="1:12" x14ac:dyDescent="0.3">
      <c r="A30" s="108">
        <v>14</v>
      </c>
      <c r="B30" s="108">
        <f t="shared" si="5"/>
        <v>2.2749172176353696</v>
      </c>
      <c r="C30" s="108">
        <f t="shared" si="6"/>
        <v>3</v>
      </c>
      <c r="D30" s="109">
        <f t="shared" si="1"/>
        <v>-3.907985046680551E-14</v>
      </c>
      <c r="E30" s="110">
        <f t="shared" si="2"/>
        <v>6</v>
      </c>
      <c r="F30" s="110">
        <f t="shared" si="7"/>
        <v>2.2749172176353745</v>
      </c>
      <c r="G30" s="111">
        <f t="shared" si="3"/>
        <v>0</v>
      </c>
      <c r="H30" s="111">
        <f t="shared" si="8"/>
        <v>0</v>
      </c>
      <c r="I30" s="112">
        <f t="shared" si="9"/>
        <v>4.8849813083506888E-15</v>
      </c>
      <c r="J30" s="112">
        <f t="shared" si="10"/>
        <v>2.1473226676038408E-15</v>
      </c>
      <c r="K30" s="113">
        <f t="shared" si="11"/>
        <v>2.1473226676038408E-15</v>
      </c>
      <c r="L30" s="102" t="b">
        <f t="shared" si="4"/>
        <v>1</v>
      </c>
    </row>
    <row r="31" spans="1:12" x14ac:dyDescent="0.3">
      <c r="A31" s="108">
        <v>15</v>
      </c>
      <c r="B31" s="108">
        <f t="shared" si="5"/>
        <v>2.2749172176353745</v>
      </c>
      <c r="C31" s="108">
        <f t="shared" si="6"/>
        <v>3</v>
      </c>
      <c r="D31" s="109">
        <f t="shared" si="1"/>
        <v>0</v>
      </c>
      <c r="E31" s="110">
        <f t="shared" si="2"/>
        <v>6</v>
      </c>
      <c r="F31" s="110">
        <f t="shared" si="7"/>
        <v>2.2749172176353745</v>
      </c>
      <c r="G31" s="111">
        <f t="shared" si="3"/>
        <v>0</v>
      </c>
      <c r="H31" s="111">
        <f t="shared" si="8"/>
        <v>0</v>
      </c>
      <c r="I31" s="112">
        <f t="shared" si="9"/>
        <v>0</v>
      </c>
      <c r="J31" s="112">
        <f t="shared" si="10"/>
        <v>0</v>
      </c>
      <c r="K31" s="113">
        <f t="shared" si="11"/>
        <v>0</v>
      </c>
      <c r="L31" s="102" t="b">
        <f t="shared" si="4"/>
        <v>1</v>
      </c>
    </row>
    <row r="32" spans="1:12" x14ac:dyDescent="0.3">
      <c r="A32" s="108">
        <v>16</v>
      </c>
      <c r="B32" s="108">
        <f t="shared" si="5"/>
        <v>2.2749172176353745</v>
      </c>
      <c r="C32" s="108">
        <f t="shared" si="6"/>
        <v>3</v>
      </c>
      <c r="D32" s="109">
        <f t="shared" si="1"/>
        <v>0</v>
      </c>
      <c r="E32" s="110">
        <f t="shared" si="2"/>
        <v>6</v>
      </c>
      <c r="F32" s="110">
        <f t="shared" si="7"/>
        <v>2.2749172176353745</v>
      </c>
      <c r="G32" s="111">
        <f t="shared" si="3"/>
        <v>0</v>
      </c>
      <c r="H32" s="111">
        <f t="shared" si="8"/>
        <v>0</v>
      </c>
      <c r="I32" s="112">
        <f t="shared" si="9"/>
        <v>0</v>
      </c>
      <c r="J32" s="112">
        <f t="shared" si="10"/>
        <v>0</v>
      </c>
      <c r="K32" s="113">
        <f t="shared" si="11"/>
        <v>0</v>
      </c>
      <c r="L32" s="102" t="b">
        <f t="shared" si="4"/>
        <v>1</v>
      </c>
    </row>
    <row r="33" spans="1:12" x14ac:dyDescent="0.3">
      <c r="A33" s="108">
        <v>17</v>
      </c>
      <c r="B33" s="108">
        <f t="shared" si="5"/>
        <v>2.2749172176353745</v>
      </c>
      <c r="C33" s="108">
        <f t="shared" si="6"/>
        <v>3</v>
      </c>
      <c r="D33" s="109">
        <f t="shared" si="1"/>
        <v>0</v>
      </c>
      <c r="E33" s="110">
        <f t="shared" si="2"/>
        <v>6</v>
      </c>
      <c r="F33" s="110">
        <f t="shared" si="7"/>
        <v>2.2749172176353745</v>
      </c>
      <c r="G33" s="111">
        <f t="shared" si="3"/>
        <v>0</v>
      </c>
      <c r="H33" s="111">
        <f t="shared" si="8"/>
        <v>0</v>
      </c>
      <c r="I33" s="112">
        <f t="shared" si="9"/>
        <v>0</v>
      </c>
      <c r="J33" s="112">
        <f t="shared" si="10"/>
        <v>0</v>
      </c>
      <c r="K33" s="113">
        <f t="shared" si="11"/>
        <v>0</v>
      </c>
      <c r="L33" s="102" t="b">
        <f t="shared" si="4"/>
        <v>1</v>
      </c>
    </row>
    <row r="34" spans="1:12" x14ac:dyDescent="0.3">
      <c r="A34" s="237">
        <v>18</v>
      </c>
      <c r="B34" s="237">
        <f t="shared" si="5"/>
        <v>2.2749172176353745</v>
      </c>
      <c r="C34" s="237">
        <f t="shared" si="6"/>
        <v>3</v>
      </c>
      <c r="D34" s="238">
        <f t="shared" si="1"/>
        <v>0</v>
      </c>
      <c r="E34" s="239">
        <f t="shared" si="2"/>
        <v>6</v>
      </c>
      <c r="F34" s="239">
        <f t="shared" si="7"/>
        <v>2.2749172176353745</v>
      </c>
      <c r="G34" s="240">
        <f t="shared" si="3"/>
        <v>0</v>
      </c>
      <c r="H34" s="240">
        <f t="shared" si="8"/>
        <v>0</v>
      </c>
      <c r="I34" s="241">
        <f t="shared" si="9"/>
        <v>0</v>
      </c>
      <c r="J34" s="241">
        <f t="shared" si="10"/>
        <v>0</v>
      </c>
      <c r="K34" s="242">
        <f t="shared" si="11"/>
        <v>0</v>
      </c>
      <c r="L34" s="243" t="b">
        <f t="shared" si="4"/>
        <v>1</v>
      </c>
    </row>
    <row r="35" spans="1:12" x14ac:dyDescent="0.3">
      <c r="A35" s="45"/>
      <c r="B35" s="46"/>
      <c r="C35" s="46"/>
      <c r="D35" s="46"/>
      <c r="E35" s="46"/>
      <c r="F35" s="46"/>
      <c r="G35" s="46"/>
      <c r="H35" s="47"/>
      <c r="I35" s="46"/>
      <c r="J35" s="46"/>
      <c r="K35" s="48"/>
      <c r="L35" s="49"/>
    </row>
    <row r="36" spans="1:12" x14ac:dyDescent="0.3">
      <c r="A36" s="45"/>
      <c r="B36" s="46"/>
      <c r="C36" s="46"/>
      <c r="D36" s="46"/>
      <c r="E36" s="46"/>
      <c r="F36" s="46"/>
      <c r="G36" s="46"/>
      <c r="H36" s="47"/>
      <c r="I36" s="46"/>
      <c r="J36" s="46"/>
      <c r="K36" s="48"/>
      <c r="L36" s="49"/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92"/>
  <sheetViews>
    <sheetView topLeftCell="A4" workbookViewId="0">
      <selection activeCell="C20" sqref="C20"/>
    </sheetView>
  </sheetViews>
  <sheetFormatPr baseColWidth="10" defaultRowHeight="14.4" x14ac:dyDescent="0.3"/>
  <cols>
    <col min="4" max="4" width="12.33203125" bestFit="1" customWidth="1"/>
    <col min="5" max="5" width="13.33203125" customWidth="1"/>
    <col min="7" max="7" width="18.44140625" bestFit="1" customWidth="1"/>
    <col min="9" max="9" width="12.6640625" customWidth="1"/>
    <col min="10" max="10" width="15.109375" customWidth="1"/>
    <col min="12" max="12" width="12.88671875" customWidth="1"/>
  </cols>
  <sheetData>
    <row r="1" spans="1:14" s="61" customFormat="1" ht="28.8" x14ac:dyDescent="0.55000000000000004">
      <c r="A1" s="610" t="s">
        <v>93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4" ht="15" thickBot="1" x14ac:dyDescent="0.35">
      <c r="B2" s="96" t="s">
        <v>54</v>
      </c>
    </row>
    <row r="3" spans="1:14" ht="15" thickBot="1" x14ac:dyDescent="0.35">
      <c r="A3" s="52" t="s">
        <v>30</v>
      </c>
      <c r="B3" s="53" t="s">
        <v>54</v>
      </c>
    </row>
    <row r="4" spans="1:14" x14ac:dyDescent="0.3">
      <c r="A4" s="13">
        <v>-5</v>
      </c>
      <c r="B4" s="14">
        <f>((A4)^10)-1</f>
        <v>9765624</v>
      </c>
    </row>
    <row r="5" spans="1:14" x14ac:dyDescent="0.3">
      <c r="A5" s="16">
        <v>-4</v>
      </c>
      <c r="B5" s="14">
        <f t="shared" ref="B5:B14" si="0">((A5)^10)-1</f>
        <v>1048575</v>
      </c>
    </row>
    <row r="6" spans="1:14" x14ac:dyDescent="0.3">
      <c r="A6" s="16">
        <v>-3</v>
      </c>
      <c r="B6" s="14">
        <f t="shared" si="0"/>
        <v>59048</v>
      </c>
    </row>
    <row r="7" spans="1:14" x14ac:dyDescent="0.3">
      <c r="A7" s="16">
        <v>-2</v>
      </c>
      <c r="B7" s="14">
        <f t="shared" si="0"/>
        <v>1023</v>
      </c>
    </row>
    <row r="8" spans="1:14" x14ac:dyDescent="0.3">
      <c r="A8" s="16">
        <v>-1</v>
      </c>
      <c r="B8" s="14">
        <f t="shared" si="0"/>
        <v>0</v>
      </c>
    </row>
    <row r="9" spans="1:14" x14ac:dyDescent="0.3">
      <c r="A9" s="16">
        <v>0</v>
      </c>
      <c r="B9" s="14">
        <f t="shared" si="0"/>
        <v>-1</v>
      </c>
    </row>
    <row r="10" spans="1:14" x14ac:dyDescent="0.3">
      <c r="A10" s="16">
        <v>1</v>
      </c>
      <c r="B10" s="14">
        <f t="shared" si="0"/>
        <v>0</v>
      </c>
    </row>
    <row r="11" spans="1:14" x14ac:dyDescent="0.3">
      <c r="A11" s="16">
        <v>2</v>
      </c>
      <c r="B11" s="14">
        <f t="shared" si="0"/>
        <v>1023</v>
      </c>
    </row>
    <row r="12" spans="1:14" x14ac:dyDescent="0.3">
      <c r="A12" s="16">
        <v>3</v>
      </c>
      <c r="B12" s="14">
        <f t="shared" si="0"/>
        <v>59048</v>
      </c>
    </row>
    <row r="13" spans="1:14" x14ac:dyDescent="0.3">
      <c r="A13" s="16">
        <v>4</v>
      </c>
      <c r="B13" s="14">
        <f t="shared" si="0"/>
        <v>1048575</v>
      </c>
    </row>
    <row r="14" spans="1:14" ht="15" thickBot="1" x14ac:dyDescent="0.35">
      <c r="A14" s="19">
        <v>5</v>
      </c>
      <c r="B14" s="14">
        <f t="shared" si="0"/>
        <v>9765624</v>
      </c>
    </row>
    <row r="17" spans="1:12" x14ac:dyDescent="0.3">
      <c r="B17" t="s">
        <v>54</v>
      </c>
    </row>
    <row r="18" spans="1:12" ht="15" thickBot="1" x14ac:dyDescent="0.35"/>
    <row r="19" spans="1:12" ht="15" thickBot="1" x14ac:dyDescent="0.35">
      <c r="A19" s="89" t="s">
        <v>48</v>
      </c>
      <c r="B19" s="90" t="s">
        <v>34</v>
      </c>
      <c r="C19" s="90" t="s">
        <v>35</v>
      </c>
      <c r="D19" s="91" t="s">
        <v>37</v>
      </c>
      <c r="E19" s="92" t="s">
        <v>38</v>
      </c>
      <c r="F19" s="93" t="s">
        <v>36</v>
      </c>
      <c r="G19" s="94" t="s">
        <v>40</v>
      </c>
      <c r="H19" s="95" t="s">
        <v>99</v>
      </c>
      <c r="I19" s="121" t="s">
        <v>42</v>
      </c>
      <c r="J19" s="121" t="s">
        <v>96</v>
      </c>
      <c r="K19" s="121" t="s">
        <v>44</v>
      </c>
      <c r="L19" s="126" t="s">
        <v>95</v>
      </c>
    </row>
    <row r="20" spans="1:12" x14ac:dyDescent="0.3">
      <c r="A20" s="81">
        <v>0</v>
      </c>
      <c r="B20" s="82">
        <v>0</v>
      </c>
      <c r="C20" s="83">
        <v>1.3</v>
      </c>
      <c r="D20" s="84">
        <f>B20^10-1</f>
        <v>-1</v>
      </c>
      <c r="E20" s="84">
        <f>C20^10-1</f>
        <v>12.785849184900005</v>
      </c>
      <c r="F20" s="86">
        <f>C20-(E20*(B20-C20))/(D20-E20)</f>
        <v>9.4299595372327349E-2</v>
      </c>
      <c r="G20" s="129">
        <f>F20^10-1</f>
        <v>-0.99999999994439703</v>
      </c>
      <c r="H20" s="88">
        <f>D20*G20</f>
        <v>0.99999999994439703</v>
      </c>
      <c r="I20" s="122"/>
      <c r="J20" s="122"/>
      <c r="K20" s="123"/>
      <c r="L20" s="127"/>
    </row>
    <row r="21" spans="1:12" x14ac:dyDescent="0.3">
      <c r="A21" s="75">
        <v>1</v>
      </c>
      <c r="B21" s="9">
        <f>IF(H20&lt;0,B20,F20)</f>
        <v>9.4299595372327349E-2</v>
      </c>
      <c r="C21" s="72">
        <f>IF(H20&lt;0,F20,C20)</f>
        <v>1.3</v>
      </c>
      <c r="D21" s="84">
        <f t="shared" ref="D21:D35" si="1">B21^10-1</f>
        <v>-0.99999999994439703</v>
      </c>
      <c r="E21" s="84">
        <f t="shared" ref="E21:E35" si="2">C21^10-1</f>
        <v>12.785849184900005</v>
      </c>
      <c r="F21" s="79">
        <f>C21-(E21*(B21-C21))/(D21-E21)</f>
        <v>0.1817588725190793</v>
      </c>
      <c r="G21" s="129">
        <f t="shared" ref="G21:G67" si="3">F21^10-1</f>
        <v>-0.99999996064896135</v>
      </c>
      <c r="H21" s="80">
        <f>D21*G21</f>
        <v>0.99999996059335838</v>
      </c>
      <c r="I21" s="5">
        <f>ABS(F21-F20)</f>
        <v>8.7459277146751946E-2</v>
      </c>
      <c r="J21" s="5">
        <f>I21/F20</f>
        <v>0.92746184966576506</v>
      </c>
      <c r="K21" s="124">
        <f>J21</f>
        <v>0.92746184966576506</v>
      </c>
      <c r="L21" s="127" t="b">
        <f>K21&lt;1*10^(-4)</f>
        <v>0</v>
      </c>
    </row>
    <row r="22" spans="1:12" x14ac:dyDescent="0.3">
      <c r="A22" s="75">
        <v>2</v>
      </c>
      <c r="B22" s="9">
        <f t="shared" ref="B22:B29" si="4">IF(H21&lt;0,B21,F21)</f>
        <v>0.1817588725190793</v>
      </c>
      <c r="C22" s="72">
        <f t="shared" ref="C22:C35" si="5">IF(H21&lt;0,F21,C21)</f>
        <v>1.3</v>
      </c>
      <c r="D22" s="84">
        <f t="shared" si="1"/>
        <v>-0.99999996064896135</v>
      </c>
      <c r="E22" s="84">
        <f t="shared" si="2"/>
        <v>12.785849184900005</v>
      </c>
      <c r="F22" s="79">
        <f t="shared" ref="F22:F35" si="6">C22-(E22*(B22-C22))/(D22-E22)</f>
        <v>0.26287401252030418</v>
      </c>
      <c r="G22" s="129">
        <f t="shared" si="3"/>
        <v>-0.99999842428908714</v>
      </c>
      <c r="H22" s="80">
        <f t="shared" ref="H22:H35" si="7">D22*G22</f>
        <v>0.99999838493811044</v>
      </c>
      <c r="I22" s="5">
        <f t="shared" ref="I22:I35" si="8">ABS(F22-F21)</f>
        <v>8.1115140001224884E-2</v>
      </c>
      <c r="J22" s="5">
        <f t="shared" ref="J22:J35" si="9">I22/F21</f>
        <v>0.44627884667754086</v>
      </c>
      <c r="K22" s="124">
        <f t="shared" ref="K22:K67" si="10">J22</f>
        <v>0.44627884667754086</v>
      </c>
      <c r="L22" s="127" t="b">
        <f t="shared" ref="L22:L67" si="11">K22&lt;1*10^(-4)</f>
        <v>0</v>
      </c>
    </row>
    <row r="23" spans="1:12" x14ac:dyDescent="0.3">
      <c r="A23" s="75">
        <v>3</v>
      </c>
      <c r="B23" s="9">
        <f t="shared" si="4"/>
        <v>0.26287401252030418</v>
      </c>
      <c r="C23" s="72">
        <f t="shared" si="5"/>
        <v>1.3</v>
      </c>
      <c r="D23" s="84">
        <f t="shared" si="1"/>
        <v>-0.99999842428908714</v>
      </c>
      <c r="E23" s="84">
        <f t="shared" si="2"/>
        <v>12.785849184900005</v>
      </c>
      <c r="F23" s="79">
        <f t="shared" si="6"/>
        <v>0.3381051033222694</v>
      </c>
      <c r="G23" s="129">
        <f t="shared" si="3"/>
        <v>-0.99998047831682779</v>
      </c>
      <c r="H23" s="80">
        <f t="shared" si="7"/>
        <v>0.99997890263667544</v>
      </c>
      <c r="I23" s="5">
        <f t="shared" si="8"/>
        <v>7.5231090801965217E-2</v>
      </c>
      <c r="J23" s="5">
        <f t="shared" si="9"/>
        <v>0.28618686982667951</v>
      </c>
      <c r="K23" s="124">
        <f t="shared" si="10"/>
        <v>0.28618686982667951</v>
      </c>
      <c r="L23" s="127" t="b">
        <f t="shared" si="11"/>
        <v>0</v>
      </c>
    </row>
    <row r="24" spans="1:12" x14ac:dyDescent="0.3">
      <c r="A24" s="75">
        <v>4</v>
      </c>
      <c r="B24" s="9">
        <f t="shared" si="4"/>
        <v>0.3381051033222694</v>
      </c>
      <c r="C24" s="72">
        <f t="shared" si="5"/>
        <v>1.3</v>
      </c>
      <c r="D24" s="84">
        <f t="shared" si="1"/>
        <v>-0.99998047831682779</v>
      </c>
      <c r="E24" s="84">
        <f t="shared" si="2"/>
        <v>12.785849184900005</v>
      </c>
      <c r="F24" s="79">
        <f t="shared" si="6"/>
        <v>0.40787791659275241</v>
      </c>
      <c r="G24" s="129">
        <f t="shared" si="3"/>
        <v>-0.99987256112676282</v>
      </c>
      <c r="H24" s="80">
        <f t="shared" si="7"/>
        <v>0.99985304193141189</v>
      </c>
      <c r="I24" s="5">
        <f t="shared" si="8"/>
        <v>6.9772813270483014E-2</v>
      </c>
      <c r="J24" s="5">
        <f t="shared" si="9"/>
        <v>0.20636427130169083</v>
      </c>
      <c r="K24" s="124">
        <f t="shared" si="10"/>
        <v>0.20636427130169083</v>
      </c>
      <c r="L24" s="127" t="b">
        <f t="shared" si="11"/>
        <v>0</v>
      </c>
    </row>
    <row r="25" spans="1:12" x14ac:dyDescent="0.3">
      <c r="A25" s="130">
        <v>5</v>
      </c>
      <c r="B25" s="131">
        <f t="shared" si="4"/>
        <v>0.40787791659275241</v>
      </c>
      <c r="C25" s="132">
        <f t="shared" si="5"/>
        <v>1.3</v>
      </c>
      <c r="D25" s="133">
        <f t="shared" si="1"/>
        <v>-0.99987256112676282</v>
      </c>
      <c r="E25" s="133">
        <f t="shared" si="2"/>
        <v>12.785849184900005</v>
      </c>
      <c r="F25" s="134">
        <f t="shared" si="6"/>
        <v>0.47258315356239</v>
      </c>
      <c r="G25" s="135">
        <f t="shared" si="3"/>
        <v>-0.99944437425539023</v>
      </c>
      <c r="H25" s="136">
        <f t="shared" si="7"/>
        <v>0.99931700619047192</v>
      </c>
      <c r="I25" s="137">
        <f t="shared" si="8"/>
        <v>6.4705236969637592E-2</v>
      </c>
      <c r="J25" s="137">
        <f t="shared" si="9"/>
        <v>0.15863873560539643</v>
      </c>
      <c r="K25" s="138">
        <f t="shared" si="10"/>
        <v>0.15863873560539643</v>
      </c>
      <c r="L25" s="139" t="b">
        <f t="shared" si="11"/>
        <v>0</v>
      </c>
    </row>
    <row r="26" spans="1:12" x14ac:dyDescent="0.3">
      <c r="A26" s="75">
        <v>6</v>
      </c>
      <c r="B26" s="9">
        <f t="shared" si="4"/>
        <v>0.47258315356239</v>
      </c>
      <c r="C26" s="72">
        <f t="shared" si="5"/>
        <v>1.3</v>
      </c>
      <c r="D26" s="84">
        <f t="shared" si="1"/>
        <v>-0.99944437425539023</v>
      </c>
      <c r="E26" s="84">
        <f t="shared" si="2"/>
        <v>12.785849184900005</v>
      </c>
      <c r="F26" s="79">
        <f t="shared" si="6"/>
        <v>0.53257151063201424</v>
      </c>
      <c r="G26" s="129">
        <f t="shared" si="3"/>
        <v>-0.99816439468783758</v>
      </c>
      <c r="H26" s="80">
        <f t="shared" si="7"/>
        <v>0.99760978885279616</v>
      </c>
      <c r="I26" s="5">
        <f t="shared" si="8"/>
        <v>5.9988357069624243E-2</v>
      </c>
      <c r="J26" s="5">
        <f t="shared" si="9"/>
        <v>0.12693714665329184</v>
      </c>
      <c r="K26" s="124">
        <f t="shared" si="10"/>
        <v>0.12693714665329184</v>
      </c>
      <c r="L26" s="127" t="b">
        <f t="shared" si="11"/>
        <v>0</v>
      </c>
    </row>
    <row r="27" spans="1:12" x14ac:dyDescent="0.3">
      <c r="A27" s="75">
        <v>7</v>
      </c>
      <c r="B27" s="9">
        <f t="shared" si="4"/>
        <v>0.53257151063201424</v>
      </c>
      <c r="C27" s="72">
        <f t="shared" si="5"/>
        <v>1.3</v>
      </c>
      <c r="D27" s="84">
        <f t="shared" si="1"/>
        <v>-0.99816439468783758</v>
      </c>
      <c r="E27" s="84">
        <f t="shared" si="2"/>
        <v>12.785849184900005</v>
      </c>
      <c r="F27" s="79">
        <f t="shared" si="6"/>
        <v>0.58814456917067981</v>
      </c>
      <c r="G27" s="129">
        <f t="shared" si="3"/>
        <v>-0.99504731266457369</v>
      </c>
      <c r="H27" s="80">
        <f t="shared" si="7"/>
        <v>0.99322079853159362</v>
      </c>
      <c r="I27" s="5">
        <f t="shared" si="8"/>
        <v>5.5573058538665565E-2</v>
      </c>
      <c r="J27" s="5">
        <f t="shared" si="9"/>
        <v>0.10434853804462016</v>
      </c>
      <c r="K27" s="124">
        <f t="shared" si="10"/>
        <v>0.10434853804462016</v>
      </c>
      <c r="L27" s="127" t="b">
        <f t="shared" si="11"/>
        <v>0</v>
      </c>
    </row>
    <row r="28" spans="1:12" x14ac:dyDescent="0.3">
      <c r="A28" s="75">
        <v>8</v>
      </c>
      <c r="B28" s="9">
        <f t="shared" si="4"/>
        <v>0.58814456917067981</v>
      </c>
      <c r="C28" s="72">
        <f t="shared" si="5"/>
        <v>1.3</v>
      </c>
      <c r="D28" s="84">
        <f t="shared" si="1"/>
        <v>-0.99504731266457369</v>
      </c>
      <c r="E28" s="84">
        <f t="shared" si="2"/>
        <v>12.785849184900005</v>
      </c>
      <c r="F28" s="79">
        <f t="shared" si="6"/>
        <v>0.63954397076821567</v>
      </c>
      <c r="G28" s="129">
        <f t="shared" si="3"/>
        <v>-0.98855267296367633</v>
      </c>
      <c r="H28" s="80">
        <f t="shared" si="7"/>
        <v>0.98365668065988732</v>
      </c>
      <c r="I28" s="5">
        <f t="shared" si="8"/>
        <v>5.1399401597535865E-2</v>
      </c>
      <c r="J28" s="5">
        <f t="shared" si="9"/>
        <v>8.7392461465745058E-2</v>
      </c>
      <c r="K28" s="124">
        <f t="shared" si="10"/>
        <v>8.7392461465745058E-2</v>
      </c>
      <c r="L28" s="127" t="b">
        <f t="shared" si="11"/>
        <v>0</v>
      </c>
    </row>
    <row r="29" spans="1:12" x14ac:dyDescent="0.3">
      <c r="A29" s="75">
        <v>9</v>
      </c>
      <c r="B29" s="9">
        <f t="shared" si="4"/>
        <v>0.63954397076821567</v>
      </c>
      <c r="C29" s="72">
        <f t="shared" si="5"/>
        <v>1.3</v>
      </c>
      <c r="D29" s="84">
        <f t="shared" si="1"/>
        <v>-0.98855267296367633</v>
      </c>
      <c r="E29" s="84">
        <f t="shared" si="2"/>
        <v>12.785849184900005</v>
      </c>
      <c r="F29" s="79">
        <f t="shared" si="6"/>
        <v>0.6869431667412389</v>
      </c>
      <c r="G29" s="129">
        <f t="shared" si="3"/>
        <v>-0.9766004191471247</v>
      </c>
      <c r="H29" s="80">
        <f t="shared" si="7"/>
        <v>0.96542095476533674</v>
      </c>
      <c r="I29" s="5">
        <f t="shared" si="8"/>
        <v>4.7399195973023223E-2</v>
      </c>
      <c r="J29" s="5">
        <f t="shared" si="9"/>
        <v>7.411405335599934E-2</v>
      </c>
      <c r="K29" s="124">
        <f t="shared" si="10"/>
        <v>7.411405335599934E-2</v>
      </c>
      <c r="L29" s="127" t="b">
        <f t="shared" si="11"/>
        <v>0</v>
      </c>
    </row>
    <row r="30" spans="1:12" x14ac:dyDescent="0.3">
      <c r="A30" s="75">
        <v>10</v>
      </c>
      <c r="B30" s="9">
        <f>IF(H29&lt;0,B29,F29)</f>
        <v>0.6869431667412389</v>
      </c>
      <c r="C30" s="72">
        <f t="shared" si="5"/>
        <v>1.3</v>
      </c>
      <c r="D30" s="84">
        <f t="shared" si="1"/>
        <v>-0.9766004191471247</v>
      </c>
      <c r="E30" s="84">
        <f t="shared" si="2"/>
        <v>12.785849184900005</v>
      </c>
      <c r="F30" s="79">
        <f t="shared" si="6"/>
        <v>0.73044643669293796</v>
      </c>
      <c r="G30" s="129">
        <f t="shared" si="3"/>
        <v>-0.95676019286286362</v>
      </c>
      <c r="H30" s="80">
        <f t="shared" si="7"/>
        <v>0.93437240537315647</v>
      </c>
      <c r="I30" s="5">
        <f t="shared" si="8"/>
        <v>4.3503269951699064E-2</v>
      </c>
      <c r="J30" s="5">
        <f t="shared" si="9"/>
        <v>6.332877602971497E-2</v>
      </c>
      <c r="K30" s="124">
        <f t="shared" si="10"/>
        <v>6.332877602971497E-2</v>
      </c>
      <c r="L30" s="127" t="b">
        <f t="shared" si="11"/>
        <v>0</v>
      </c>
    </row>
    <row r="31" spans="1:12" x14ac:dyDescent="0.3">
      <c r="A31" s="75">
        <v>11</v>
      </c>
      <c r="B31" s="9">
        <f t="shared" ref="B31:B35" si="12">IF(H30&lt;0,B30,F30)</f>
        <v>0.73044643669293796</v>
      </c>
      <c r="C31" s="72">
        <f t="shared" si="5"/>
        <v>1.3</v>
      </c>
      <c r="D31" s="84">
        <f t="shared" si="1"/>
        <v>-0.95676019286286362</v>
      </c>
      <c r="E31" s="84">
        <f t="shared" si="2"/>
        <v>12.785849184900005</v>
      </c>
      <c r="F31" s="79">
        <f t="shared" si="6"/>
        <v>0.77009874449680737</v>
      </c>
      <c r="G31" s="129">
        <f t="shared" si="3"/>
        <v>-0.92663918397312961</v>
      </c>
      <c r="H31" s="80">
        <f t="shared" si="7"/>
        <v>0.88657148437241806</v>
      </c>
      <c r="I31" s="5">
        <f t="shared" si="8"/>
        <v>3.9652307803869413E-2</v>
      </c>
      <c r="J31" s="5">
        <f t="shared" si="9"/>
        <v>5.4285031471155341E-2</v>
      </c>
      <c r="K31" s="124">
        <f t="shared" si="10"/>
        <v>5.4285031471155341E-2</v>
      </c>
      <c r="L31" s="127" t="b">
        <f t="shared" si="11"/>
        <v>0</v>
      </c>
    </row>
    <row r="32" spans="1:12" x14ac:dyDescent="0.3">
      <c r="A32" s="75">
        <v>12</v>
      </c>
      <c r="B32" s="9">
        <f t="shared" si="12"/>
        <v>0.77009874449680737</v>
      </c>
      <c r="C32" s="72">
        <f t="shared" si="5"/>
        <v>1.3</v>
      </c>
      <c r="D32" s="84">
        <f t="shared" si="1"/>
        <v>-0.92663918397312961</v>
      </c>
      <c r="E32" s="84">
        <f t="shared" si="2"/>
        <v>12.785849184900005</v>
      </c>
      <c r="F32" s="79">
        <f t="shared" si="6"/>
        <v>0.80590750901692387</v>
      </c>
      <c r="G32" s="129">
        <f t="shared" si="3"/>
        <v>-0.88442816119895717</v>
      </c>
      <c r="H32" s="80">
        <f t="shared" si="7"/>
        <v>0.81954578957625723</v>
      </c>
      <c r="I32" s="5">
        <f t="shared" si="8"/>
        <v>3.5808764520116498E-2</v>
      </c>
      <c r="J32" s="5">
        <f t="shared" si="9"/>
        <v>4.6498925983205458E-2</v>
      </c>
      <c r="K32" s="124">
        <f t="shared" si="10"/>
        <v>4.6498925983205458E-2</v>
      </c>
      <c r="L32" s="127" t="b">
        <f t="shared" si="11"/>
        <v>0</v>
      </c>
    </row>
    <row r="33" spans="1:12" x14ac:dyDescent="0.3">
      <c r="A33" s="75">
        <v>13</v>
      </c>
      <c r="B33" s="9">
        <f t="shared" si="12"/>
        <v>0.80590750901692387</v>
      </c>
      <c r="C33" s="72">
        <f t="shared" si="5"/>
        <v>1.3</v>
      </c>
      <c r="D33" s="84">
        <f t="shared" si="1"/>
        <v>-0.88442816119895717</v>
      </c>
      <c r="E33" s="84">
        <f t="shared" si="2"/>
        <v>12.785849184900005</v>
      </c>
      <c r="F33" s="79">
        <f t="shared" si="6"/>
        <v>0.83787389142445257</v>
      </c>
      <c r="G33" s="129">
        <f t="shared" si="3"/>
        <v>-0.82947558121748832</v>
      </c>
      <c r="H33" s="80">
        <f t="shared" si="7"/>
        <v>0.73361156305561948</v>
      </c>
      <c r="I33" s="5">
        <f t="shared" si="8"/>
        <v>3.1966382407528693E-2</v>
      </c>
      <c r="J33" s="5">
        <f t="shared" si="9"/>
        <v>3.966507576846192E-2</v>
      </c>
      <c r="K33" s="124">
        <f t="shared" si="10"/>
        <v>3.966507576846192E-2</v>
      </c>
      <c r="L33" s="127" t="b">
        <f t="shared" si="11"/>
        <v>0</v>
      </c>
    </row>
    <row r="34" spans="1:12" x14ac:dyDescent="0.3">
      <c r="A34" s="75">
        <v>14</v>
      </c>
      <c r="B34" s="9">
        <f t="shared" si="12"/>
        <v>0.83787389142445257</v>
      </c>
      <c r="C34" s="72">
        <f t="shared" si="5"/>
        <v>1.3</v>
      </c>
      <c r="D34" s="84">
        <f t="shared" si="1"/>
        <v>-0.82947558121748832</v>
      </c>
      <c r="E34" s="84">
        <f t="shared" si="2"/>
        <v>12.785849184900005</v>
      </c>
      <c r="F34" s="79">
        <f t="shared" si="6"/>
        <v>0.866027632087356</v>
      </c>
      <c r="G34" s="129">
        <f t="shared" si="3"/>
        <v>-0.76268920652611283</v>
      </c>
      <c r="H34" s="80">
        <f t="shared" si="7"/>
        <v>0.63263207287155243</v>
      </c>
      <c r="I34" s="5">
        <f t="shared" si="8"/>
        <v>2.8153740662903437E-2</v>
      </c>
      <c r="J34" s="5">
        <f t="shared" si="9"/>
        <v>3.3601405833328719E-2</v>
      </c>
      <c r="K34" s="124">
        <f t="shared" si="10"/>
        <v>3.3601405833328719E-2</v>
      </c>
      <c r="L34" s="127" t="b">
        <f t="shared" si="11"/>
        <v>0</v>
      </c>
    </row>
    <row r="35" spans="1:12" x14ac:dyDescent="0.3">
      <c r="A35" s="75">
        <v>15</v>
      </c>
      <c r="B35" s="9">
        <f t="shared" si="12"/>
        <v>0.866027632087356</v>
      </c>
      <c r="C35" s="72">
        <f t="shared" si="5"/>
        <v>1.3</v>
      </c>
      <c r="D35" s="84">
        <f t="shared" si="1"/>
        <v>-0.76268920652611283</v>
      </c>
      <c r="E35" s="84">
        <f t="shared" si="2"/>
        <v>12.785849184900005</v>
      </c>
      <c r="F35" s="79">
        <f t="shared" si="6"/>
        <v>0.89045728135099989</v>
      </c>
      <c r="G35" s="129">
        <f t="shared" si="3"/>
        <v>-0.6865769768806137</v>
      </c>
      <c r="H35" s="80">
        <f t="shared" si="7"/>
        <v>0.52364484971617253</v>
      </c>
      <c r="I35" s="5">
        <f t="shared" si="8"/>
        <v>2.4429649263643882E-2</v>
      </c>
      <c r="J35" s="5">
        <f t="shared" si="9"/>
        <v>2.8208856575121E-2</v>
      </c>
      <c r="K35" s="124">
        <f t="shared" si="10"/>
        <v>2.8208856575121E-2</v>
      </c>
      <c r="L35" s="127" t="b">
        <f t="shared" si="11"/>
        <v>0</v>
      </c>
    </row>
    <row r="36" spans="1:12" x14ac:dyDescent="0.3">
      <c r="A36" s="75">
        <v>16</v>
      </c>
      <c r="B36" s="9">
        <f t="shared" ref="B36:B37" si="13">IF(H35&lt;0,B35,F35)</f>
        <v>0.89045728135099989</v>
      </c>
      <c r="C36" s="72">
        <f t="shared" ref="C36:C37" si="14">IF(H35&lt;0,F35,C35)</f>
        <v>1.3</v>
      </c>
      <c r="D36" s="84">
        <f t="shared" ref="D36:D37" si="15">B36^10-1</f>
        <v>-0.6865769768806137</v>
      </c>
      <c r="E36" s="84">
        <f t="shared" ref="E36:E37" si="16">C36^10-1</f>
        <v>12.785849184900005</v>
      </c>
      <c r="F36" s="79">
        <f t="shared" ref="F36:F37" si="17">C36-(E36*(B36-C36))/(D36-E36)</f>
        <v>0.91132825130822814</v>
      </c>
      <c r="G36" s="129">
        <f t="shared" si="3"/>
        <v>-0.60486241905757487</v>
      </c>
      <c r="H36" s="80">
        <f t="shared" ref="H36:H37" si="18">D36*G36</f>
        <v>0.41528461110524467</v>
      </c>
      <c r="I36" s="5">
        <f t="shared" ref="I36:I37" si="19">ABS(F36-F35)</f>
        <v>2.0870969957228258E-2</v>
      </c>
      <c r="J36" s="5">
        <f t="shared" ref="J36:J37" si="20">I36/F35</f>
        <v>2.3438485365140555E-2</v>
      </c>
      <c r="K36" s="124">
        <f t="shared" si="10"/>
        <v>2.3438485365140555E-2</v>
      </c>
      <c r="L36" s="127" t="b">
        <f t="shared" si="11"/>
        <v>0</v>
      </c>
    </row>
    <row r="37" spans="1:12" x14ac:dyDescent="0.3">
      <c r="A37" s="75">
        <v>17</v>
      </c>
      <c r="B37" s="9">
        <f t="shared" si="13"/>
        <v>0.91132825130822814</v>
      </c>
      <c r="C37" s="72">
        <f t="shared" si="14"/>
        <v>1.3</v>
      </c>
      <c r="D37" s="84">
        <f t="shared" si="15"/>
        <v>-0.60486241905757487</v>
      </c>
      <c r="E37" s="84">
        <f t="shared" si="16"/>
        <v>12.785849184900005</v>
      </c>
      <c r="F37" s="79">
        <f t="shared" si="17"/>
        <v>0.92888466959921434</v>
      </c>
      <c r="G37" s="129">
        <f t="shared" si="3"/>
        <v>-0.5217907713760489</v>
      </c>
      <c r="H37" s="80">
        <f t="shared" si="18"/>
        <v>0.31561162821643496</v>
      </c>
      <c r="I37" s="5">
        <f t="shared" si="19"/>
        <v>1.7556418290986198E-2</v>
      </c>
      <c r="J37" s="5">
        <f t="shared" si="20"/>
        <v>1.9264648347929129E-2</v>
      </c>
      <c r="K37" s="124">
        <f t="shared" si="10"/>
        <v>1.9264648347929129E-2</v>
      </c>
      <c r="L37" s="127" t="b">
        <f t="shared" si="11"/>
        <v>0</v>
      </c>
    </row>
    <row r="38" spans="1:12" x14ac:dyDescent="0.3">
      <c r="A38" s="75">
        <v>18</v>
      </c>
      <c r="B38" s="9">
        <f t="shared" ref="B38:B67" si="21">IF(H37&lt;0,B37,F37)</f>
        <v>0.92888466959921434</v>
      </c>
      <c r="C38" s="72">
        <f t="shared" ref="C38:C67" si="22">IF(H37&lt;0,F37,C37)</f>
        <v>1.3</v>
      </c>
      <c r="D38" s="84">
        <f t="shared" ref="D38:D67" si="23">B38^10-1</f>
        <v>-0.5217907713760489</v>
      </c>
      <c r="E38" s="84">
        <f t="shared" ref="E38:E67" si="24">C38^10-1</f>
        <v>12.785849184900005</v>
      </c>
      <c r="F38" s="79">
        <f t="shared" ref="F38:F67" si="25">C38-(E38*(B38-C38))/(D38-E38)</f>
        <v>0.94343605174928347</v>
      </c>
      <c r="G38" s="129">
        <f t="shared" si="3"/>
        <v>-0.44136945275864226</v>
      </c>
      <c r="H38" s="80">
        <f t="shared" ref="H38:H67" si="26">D38*G38</f>
        <v>0.23030250721675652</v>
      </c>
      <c r="I38" s="5">
        <f t="shared" ref="I38:I67" si="27">ABS(F38-F37)</f>
        <v>1.4551382150069125E-2</v>
      </c>
      <c r="J38" s="5">
        <f t="shared" ref="J38:J67" si="28">I38/F37</f>
        <v>1.5665434715751748E-2</v>
      </c>
      <c r="K38" s="124">
        <f t="shared" si="10"/>
        <v>1.5665434715751748E-2</v>
      </c>
      <c r="L38" s="127" t="b">
        <f t="shared" si="11"/>
        <v>0</v>
      </c>
    </row>
    <row r="39" spans="1:12" x14ac:dyDescent="0.3">
      <c r="A39" s="75">
        <v>19</v>
      </c>
      <c r="B39" s="9">
        <f t="shared" si="21"/>
        <v>0.94343605174928347</v>
      </c>
      <c r="C39" s="72">
        <f t="shared" si="22"/>
        <v>1.3</v>
      </c>
      <c r="D39" s="84">
        <f t="shared" si="23"/>
        <v>-0.44136945275864226</v>
      </c>
      <c r="E39" s="84">
        <f t="shared" si="24"/>
        <v>12.785849184900005</v>
      </c>
      <c r="F39" s="79">
        <f t="shared" si="25"/>
        <v>0.95533397519214702</v>
      </c>
      <c r="G39" s="129">
        <f t="shared" si="3"/>
        <v>-0.36678348780213421</v>
      </c>
      <c r="H39" s="80">
        <f t="shared" si="26"/>
        <v>0.16188702729213411</v>
      </c>
      <c r="I39" s="5">
        <f t="shared" si="27"/>
        <v>1.1897923442863556E-2</v>
      </c>
      <c r="J39" s="5">
        <f t="shared" si="28"/>
        <v>1.2611266466659691E-2</v>
      </c>
      <c r="K39" s="124">
        <f t="shared" si="10"/>
        <v>1.2611266466659691E-2</v>
      </c>
      <c r="L39" s="127" t="b">
        <f t="shared" si="11"/>
        <v>0</v>
      </c>
    </row>
    <row r="40" spans="1:12" x14ac:dyDescent="0.3">
      <c r="A40" s="75">
        <v>20</v>
      </c>
      <c r="B40" s="9">
        <f t="shared" si="21"/>
        <v>0.95533397519214702</v>
      </c>
      <c r="C40" s="72">
        <f t="shared" si="22"/>
        <v>1.3</v>
      </c>
      <c r="D40" s="84">
        <f t="shared" si="23"/>
        <v>-0.36678348780213421</v>
      </c>
      <c r="E40" s="84">
        <f t="shared" si="24"/>
        <v>12.785849184900005</v>
      </c>
      <c r="F40" s="79">
        <f t="shared" si="25"/>
        <v>0.96494557234168932</v>
      </c>
      <c r="G40" s="129">
        <f t="shared" si="3"/>
        <v>-0.30011259685187686</v>
      </c>
      <c r="H40" s="80">
        <f t="shared" si="26"/>
        <v>0.1100763450066872</v>
      </c>
      <c r="I40" s="5">
        <f t="shared" si="27"/>
        <v>9.6115971495422947E-3</v>
      </c>
      <c r="J40" s="5">
        <f t="shared" si="28"/>
        <v>1.0060981184730824E-2</v>
      </c>
      <c r="K40" s="124">
        <f t="shared" si="10"/>
        <v>1.0060981184730824E-2</v>
      </c>
      <c r="L40" s="127" t="b">
        <f t="shared" si="11"/>
        <v>0</v>
      </c>
    </row>
    <row r="41" spans="1:12" x14ac:dyDescent="0.3">
      <c r="A41" s="75">
        <v>21</v>
      </c>
      <c r="B41" s="9">
        <f t="shared" si="21"/>
        <v>0.96494557234168932</v>
      </c>
      <c r="C41" s="72">
        <f t="shared" si="22"/>
        <v>1.3</v>
      </c>
      <c r="D41" s="84">
        <f t="shared" si="23"/>
        <v>-0.30011259685187686</v>
      </c>
      <c r="E41" s="84">
        <f t="shared" si="24"/>
        <v>12.785849184900005</v>
      </c>
      <c r="F41" s="79">
        <f t="shared" si="25"/>
        <v>0.97262968880544631</v>
      </c>
      <c r="G41" s="129">
        <f t="shared" si="3"/>
        <v>-0.2423384998655842</v>
      </c>
      <c r="H41" s="80">
        <f t="shared" si="26"/>
        <v>7.272883651184868E-2</v>
      </c>
      <c r="I41" s="5">
        <f t="shared" si="27"/>
        <v>7.6841164637569959E-3</v>
      </c>
      <c r="J41" s="5">
        <f t="shared" si="28"/>
        <v>7.9632641301306817E-3</v>
      </c>
      <c r="K41" s="124">
        <f t="shared" si="10"/>
        <v>7.9632641301306817E-3</v>
      </c>
      <c r="L41" s="127" t="b">
        <f t="shared" si="11"/>
        <v>0</v>
      </c>
    </row>
    <row r="42" spans="1:12" x14ac:dyDescent="0.3">
      <c r="A42" s="75">
        <v>22</v>
      </c>
      <c r="B42" s="9">
        <f t="shared" si="21"/>
        <v>0.97262968880544631</v>
      </c>
      <c r="C42" s="72">
        <f t="shared" si="22"/>
        <v>1.3</v>
      </c>
      <c r="D42" s="84">
        <f t="shared" si="23"/>
        <v>-0.2423384998655842</v>
      </c>
      <c r="E42" s="84">
        <f t="shared" si="24"/>
        <v>12.785849184900005</v>
      </c>
      <c r="F42" s="79">
        <f t="shared" si="25"/>
        <v>0.9787191336334623</v>
      </c>
      <c r="G42" s="129">
        <f t="shared" si="3"/>
        <v>-0.19354379619863771</v>
      </c>
      <c r="H42" s="80">
        <f t="shared" si="26"/>
        <v>4.6903113229068219E-2</v>
      </c>
      <c r="I42" s="5">
        <f t="shared" si="27"/>
        <v>6.0894448280159885E-3</v>
      </c>
      <c r="J42" s="5">
        <f t="shared" si="28"/>
        <v>6.2608050094531418E-3</v>
      </c>
      <c r="K42" s="124">
        <f t="shared" si="10"/>
        <v>6.2608050094531418E-3</v>
      </c>
      <c r="L42" s="127" t="b">
        <f t="shared" si="11"/>
        <v>0</v>
      </c>
    </row>
    <row r="43" spans="1:12" x14ac:dyDescent="0.3">
      <c r="A43" s="75">
        <v>23</v>
      </c>
      <c r="B43" s="9">
        <f t="shared" si="21"/>
        <v>0.9787191336334623</v>
      </c>
      <c r="C43" s="72">
        <f t="shared" si="22"/>
        <v>1.3</v>
      </c>
      <c r="D43" s="84">
        <f t="shared" si="23"/>
        <v>-0.19354379619863771</v>
      </c>
      <c r="E43" s="84">
        <f t="shared" si="24"/>
        <v>12.785849184900005</v>
      </c>
      <c r="F43" s="79">
        <f t="shared" si="25"/>
        <v>0.98350995232684191</v>
      </c>
      <c r="G43" s="129">
        <f t="shared" si="3"/>
        <v>-0.15318685702739998</v>
      </c>
      <c r="H43" s="80">
        <f t="shared" si="26"/>
        <v>2.9648365836820956E-2</v>
      </c>
      <c r="I43" s="5">
        <f t="shared" si="27"/>
        <v>4.790818693379606E-3</v>
      </c>
      <c r="J43" s="5">
        <f t="shared" si="28"/>
        <v>4.8949882849371202E-3</v>
      </c>
      <c r="K43" s="124">
        <f t="shared" si="10"/>
        <v>4.8949882849371202E-3</v>
      </c>
      <c r="L43" s="127" t="b">
        <f t="shared" si="11"/>
        <v>0</v>
      </c>
    </row>
    <row r="44" spans="1:12" x14ac:dyDescent="0.3">
      <c r="A44" s="75">
        <v>24</v>
      </c>
      <c r="B44" s="9">
        <f t="shared" si="21"/>
        <v>0.98350995232684191</v>
      </c>
      <c r="C44" s="72">
        <f t="shared" si="22"/>
        <v>1.3</v>
      </c>
      <c r="D44" s="84">
        <f t="shared" si="23"/>
        <v>-0.15318685702739998</v>
      </c>
      <c r="E44" s="84">
        <f t="shared" si="24"/>
        <v>12.785849184900005</v>
      </c>
      <c r="F44" s="79">
        <f t="shared" si="25"/>
        <v>0.98725691736553589</v>
      </c>
      <c r="G44" s="129">
        <f t="shared" si="3"/>
        <v>-0.1203663116318836</v>
      </c>
      <c r="H44" s="80">
        <f t="shared" si="26"/>
        <v>1.8438536970868825E-2</v>
      </c>
      <c r="I44" s="5">
        <f t="shared" si="27"/>
        <v>3.7469650386939835E-3</v>
      </c>
      <c r="J44" s="5">
        <f t="shared" si="28"/>
        <v>3.8097886349082767E-3</v>
      </c>
      <c r="K44" s="124">
        <f t="shared" si="10"/>
        <v>3.8097886349082767E-3</v>
      </c>
      <c r="L44" s="127" t="b">
        <f t="shared" si="11"/>
        <v>0</v>
      </c>
    </row>
    <row r="45" spans="1:12" x14ac:dyDescent="0.3">
      <c r="A45" s="75">
        <v>25</v>
      </c>
      <c r="B45" s="9">
        <f t="shared" si="21"/>
        <v>0.98725691736553589</v>
      </c>
      <c r="C45" s="72">
        <f t="shared" si="22"/>
        <v>1.3</v>
      </c>
      <c r="D45" s="84">
        <f t="shared" si="23"/>
        <v>-0.1203663116318836</v>
      </c>
      <c r="E45" s="84">
        <f t="shared" si="24"/>
        <v>12.785849184900005</v>
      </c>
      <c r="F45" s="79">
        <f t="shared" si="25"/>
        <v>0.99017363073943021</v>
      </c>
      <c r="G45" s="129">
        <f t="shared" si="3"/>
        <v>-9.4030525818307509E-2</v>
      </c>
      <c r="H45" s="80">
        <f t="shared" si="26"/>
        <v>1.1318107573556278E-2</v>
      </c>
      <c r="I45" s="5">
        <f t="shared" si="27"/>
        <v>2.9167133738943196E-3</v>
      </c>
      <c r="J45" s="5">
        <f t="shared" si="28"/>
        <v>2.9543610407688787E-3</v>
      </c>
      <c r="K45" s="124">
        <f t="shared" si="10"/>
        <v>2.9543610407688787E-3</v>
      </c>
      <c r="L45" s="127" t="b">
        <f t="shared" si="11"/>
        <v>0</v>
      </c>
    </row>
    <row r="46" spans="1:12" x14ac:dyDescent="0.3">
      <c r="A46" s="75">
        <v>26</v>
      </c>
      <c r="B46" s="9">
        <f t="shared" si="21"/>
        <v>0.99017363073943021</v>
      </c>
      <c r="C46" s="72">
        <f t="shared" si="22"/>
        <v>1.3</v>
      </c>
      <c r="D46" s="84">
        <f t="shared" si="23"/>
        <v>-9.4030525818307509E-2</v>
      </c>
      <c r="E46" s="84">
        <f t="shared" si="24"/>
        <v>12.785849184900005</v>
      </c>
      <c r="F46" s="79">
        <f t="shared" si="25"/>
        <v>0.99243554133706602</v>
      </c>
      <c r="G46" s="129">
        <f t="shared" si="3"/>
        <v>-7.3120900209341144E-2</v>
      </c>
      <c r="H46" s="80">
        <f t="shared" si="26"/>
        <v>6.8755966949923392E-3</v>
      </c>
      <c r="I46" s="5">
        <f t="shared" si="27"/>
        <v>2.2619105976358078E-3</v>
      </c>
      <c r="J46" s="5">
        <f t="shared" si="28"/>
        <v>2.2843575383306104E-3</v>
      </c>
      <c r="K46" s="124">
        <f t="shared" si="10"/>
        <v>2.2843575383306104E-3</v>
      </c>
      <c r="L46" s="127" t="b">
        <f t="shared" si="11"/>
        <v>0</v>
      </c>
    </row>
    <row r="47" spans="1:12" x14ac:dyDescent="0.3">
      <c r="A47" s="75">
        <v>27</v>
      </c>
      <c r="B47" s="9">
        <f t="shared" si="21"/>
        <v>0.99243554133706602</v>
      </c>
      <c r="C47" s="72">
        <f t="shared" si="22"/>
        <v>1.3</v>
      </c>
      <c r="D47" s="84">
        <f t="shared" si="23"/>
        <v>-7.3120900209341144E-2</v>
      </c>
      <c r="E47" s="84">
        <f t="shared" si="24"/>
        <v>12.785849184900005</v>
      </c>
      <c r="F47" s="79">
        <f t="shared" si="25"/>
        <v>0.99418446756840351</v>
      </c>
      <c r="G47" s="129">
        <f t="shared" si="3"/>
        <v>-5.6656769044139632E-2</v>
      </c>
      <c r="H47" s="80">
        <f t="shared" si="26"/>
        <v>4.1427939554602227E-3</v>
      </c>
      <c r="I47" s="5">
        <f t="shared" si="27"/>
        <v>1.7489262313374887E-3</v>
      </c>
      <c r="J47" s="5">
        <f t="shared" si="28"/>
        <v>1.7622567496738731E-3</v>
      </c>
      <c r="K47" s="124">
        <f t="shared" si="10"/>
        <v>1.7622567496738731E-3</v>
      </c>
      <c r="L47" s="127" t="b">
        <f t="shared" si="11"/>
        <v>0</v>
      </c>
    </row>
    <row r="48" spans="1:12" x14ac:dyDescent="0.3">
      <c r="A48" s="75">
        <v>28</v>
      </c>
      <c r="B48" s="9">
        <f t="shared" si="21"/>
        <v>0.99418446756840351</v>
      </c>
      <c r="C48" s="72">
        <f t="shared" si="22"/>
        <v>1.3</v>
      </c>
      <c r="D48" s="84">
        <f t="shared" si="23"/>
        <v>-5.6656769044139632E-2</v>
      </c>
      <c r="E48" s="84">
        <f t="shared" si="24"/>
        <v>12.785849184900005</v>
      </c>
      <c r="F48" s="79">
        <f t="shared" si="25"/>
        <v>0.99553362170181203</v>
      </c>
      <c r="G48" s="129">
        <f t="shared" si="3"/>
        <v>-4.3776707504760481E-2</v>
      </c>
      <c r="H48" s="80">
        <f t="shared" si="26"/>
        <v>2.4802468066100689E-3</v>
      </c>
      <c r="I48" s="5">
        <f t="shared" si="27"/>
        <v>1.3491541334085255E-3</v>
      </c>
      <c r="J48" s="5">
        <f t="shared" si="28"/>
        <v>1.3570460788914899E-3</v>
      </c>
      <c r="K48" s="124">
        <f t="shared" si="10"/>
        <v>1.3570460788914899E-3</v>
      </c>
      <c r="L48" s="127" t="b">
        <f t="shared" si="11"/>
        <v>0</v>
      </c>
    </row>
    <row r="49" spans="1:12" x14ac:dyDescent="0.3">
      <c r="A49" s="75">
        <v>29</v>
      </c>
      <c r="B49" s="9">
        <f t="shared" si="21"/>
        <v>0.99553362170181203</v>
      </c>
      <c r="C49" s="72">
        <f t="shared" si="22"/>
        <v>1.3</v>
      </c>
      <c r="D49" s="84">
        <f t="shared" si="23"/>
        <v>-4.3776707504760481E-2</v>
      </c>
      <c r="E49" s="84">
        <f t="shared" si="24"/>
        <v>12.785849184900005</v>
      </c>
      <c r="F49" s="79">
        <f t="shared" si="25"/>
        <v>0.99657250901618677</v>
      </c>
      <c r="G49" s="129">
        <f t="shared" si="3"/>
        <v>-3.3751066539274954E-2</v>
      </c>
      <c r="H49" s="80">
        <f t="shared" si="26"/>
        <v>1.4775105678635483E-3</v>
      </c>
      <c r="I49" s="5">
        <f t="shared" si="27"/>
        <v>1.0388873143747368E-3</v>
      </c>
      <c r="J49" s="5">
        <f t="shared" si="28"/>
        <v>1.0435481953877297E-3</v>
      </c>
      <c r="K49" s="124">
        <f t="shared" si="10"/>
        <v>1.0435481953877297E-3</v>
      </c>
      <c r="L49" s="127" t="b">
        <f t="shared" si="11"/>
        <v>0</v>
      </c>
    </row>
    <row r="50" spans="1:12" x14ac:dyDescent="0.3">
      <c r="A50" s="75">
        <v>30</v>
      </c>
      <c r="B50" s="9">
        <f t="shared" si="21"/>
        <v>0.99657250901618677</v>
      </c>
      <c r="C50" s="72">
        <f t="shared" si="22"/>
        <v>1.3</v>
      </c>
      <c r="D50" s="84">
        <f t="shared" si="23"/>
        <v>-3.3751066539274954E-2</v>
      </c>
      <c r="E50" s="84">
        <f t="shared" si="24"/>
        <v>12.785849184900005</v>
      </c>
      <c r="F50" s="79">
        <f t="shared" si="25"/>
        <v>0.99737136399116078</v>
      </c>
      <c r="G50" s="129">
        <f t="shared" si="3"/>
        <v>-2.5977591945575695E-2</v>
      </c>
      <c r="H50" s="80">
        <f t="shared" si="26"/>
        <v>8.767714342852584E-4</v>
      </c>
      <c r="I50" s="5">
        <f t="shared" si="27"/>
        <v>7.9885497497400593E-4</v>
      </c>
      <c r="J50" s="5">
        <f t="shared" si="28"/>
        <v>8.0160246017887146E-4</v>
      </c>
      <c r="K50" s="124">
        <f t="shared" si="10"/>
        <v>8.0160246017887146E-4</v>
      </c>
      <c r="L50" s="127" t="b">
        <f t="shared" si="11"/>
        <v>0</v>
      </c>
    </row>
    <row r="51" spans="1:12" x14ac:dyDescent="0.3">
      <c r="A51" s="75">
        <v>31</v>
      </c>
      <c r="B51" s="9">
        <f t="shared" si="21"/>
        <v>0.99737136399116078</v>
      </c>
      <c r="C51" s="72">
        <f t="shared" si="22"/>
        <v>1.3</v>
      </c>
      <c r="D51" s="84">
        <f t="shared" si="23"/>
        <v>-2.5977591945575695E-2</v>
      </c>
      <c r="E51" s="84">
        <f t="shared" si="24"/>
        <v>12.785849184900005</v>
      </c>
      <c r="F51" s="79">
        <f t="shared" si="25"/>
        <v>0.99798498165507521</v>
      </c>
      <c r="G51" s="129">
        <f t="shared" si="3"/>
        <v>-1.9968448332891686E-2</v>
      </c>
      <c r="H51" s="80">
        <f t="shared" si="26"/>
        <v>5.1873220257817152E-4</v>
      </c>
      <c r="I51" s="5">
        <f t="shared" si="27"/>
        <v>6.1361766391443417E-4</v>
      </c>
      <c r="J51" s="5">
        <f t="shared" si="28"/>
        <v>6.1523489250677181E-4</v>
      </c>
      <c r="K51" s="124">
        <f t="shared" si="10"/>
        <v>6.1523489250677181E-4</v>
      </c>
      <c r="L51" s="127" t="b">
        <f t="shared" si="11"/>
        <v>0</v>
      </c>
    </row>
    <row r="52" spans="1:12" x14ac:dyDescent="0.3">
      <c r="A52" s="75">
        <v>32</v>
      </c>
      <c r="B52" s="9">
        <f t="shared" si="21"/>
        <v>0.99798498165507521</v>
      </c>
      <c r="C52" s="72">
        <f t="shared" si="22"/>
        <v>1.3</v>
      </c>
      <c r="D52" s="84">
        <f t="shared" si="23"/>
        <v>-1.9968448332891686E-2</v>
      </c>
      <c r="E52" s="84">
        <f t="shared" si="24"/>
        <v>12.785849184900005</v>
      </c>
      <c r="F52" s="79">
        <f t="shared" si="25"/>
        <v>0.99845592161863728</v>
      </c>
      <c r="G52" s="129">
        <f t="shared" si="3"/>
        <v>-1.5333936372915358E-2</v>
      </c>
      <c r="H52" s="80">
        <f t="shared" si="26"/>
        <v>3.0619491620240884E-4</v>
      </c>
      <c r="I52" s="5">
        <f t="shared" si="27"/>
        <v>4.7093996356206702E-4</v>
      </c>
      <c r="J52" s="5">
        <f t="shared" si="28"/>
        <v>4.7189083224584422E-4</v>
      </c>
      <c r="K52" s="124">
        <f t="shared" si="10"/>
        <v>4.7189083224584422E-4</v>
      </c>
      <c r="L52" s="127" t="b">
        <f t="shared" si="11"/>
        <v>0</v>
      </c>
    </row>
    <row r="53" spans="1:12" x14ac:dyDescent="0.3">
      <c r="A53" s="75">
        <v>33</v>
      </c>
      <c r="B53" s="9">
        <f t="shared" si="21"/>
        <v>0.99845592161863728</v>
      </c>
      <c r="C53" s="72">
        <f t="shared" si="22"/>
        <v>1.3</v>
      </c>
      <c r="D53" s="84">
        <f t="shared" si="23"/>
        <v>-1.5333936372915358E-2</v>
      </c>
      <c r="E53" s="84">
        <f t="shared" si="24"/>
        <v>12.785849184900005</v>
      </c>
      <c r="F53" s="79">
        <f t="shared" si="25"/>
        <v>0.99881712711563897</v>
      </c>
      <c r="G53" s="129">
        <f t="shared" si="3"/>
        <v>-1.176596356876769E-2</v>
      </c>
      <c r="H53" s="80">
        <f t="shared" si="26"/>
        <v>1.8041853672952387E-4</v>
      </c>
      <c r="I53" s="5">
        <f t="shared" si="27"/>
        <v>3.6120549700169313E-4</v>
      </c>
      <c r="J53" s="5">
        <f t="shared" si="28"/>
        <v>3.6176408911084255E-4</v>
      </c>
      <c r="K53" s="124">
        <f t="shared" si="10"/>
        <v>3.6176408911084255E-4</v>
      </c>
      <c r="L53" s="127" t="b">
        <f t="shared" si="11"/>
        <v>0</v>
      </c>
    </row>
    <row r="54" spans="1:12" x14ac:dyDescent="0.3">
      <c r="A54" s="75">
        <v>34</v>
      </c>
      <c r="B54" s="9">
        <f t="shared" si="21"/>
        <v>0.99881712711563897</v>
      </c>
      <c r="C54" s="72">
        <f t="shared" si="22"/>
        <v>1.3</v>
      </c>
      <c r="D54" s="84">
        <f t="shared" si="23"/>
        <v>-1.176596356876769E-2</v>
      </c>
      <c r="E54" s="84">
        <f t="shared" si="24"/>
        <v>12.785849184900005</v>
      </c>
      <c r="F54" s="79">
        <f t="shared" si="25"/>
        <v>0.99909403079408077</v>
      </c>
      <c r="G54" s="129">
        <f t="shared" si="3"/>
        <v>-9.0228460409707001E-3</v>
      </c>
      <c r="H54" s="80">
        <f t="shared" si="26"/>
        <v>1.0616247780466103E-4</v>
      </c>
      <c r="I54" s="5">
        <f t="shared" si="27"/>
        <v>2.7690367844179775E-4</v>
      </c>
      <c r="J54" s="5">
        <f t="shared" si="28"/>
        <v>2.7723160819381802E-4</v>
      </c>
      <c r="K54" s="124">
        <f t="shared" si="10"/>
        <v>2.7723160819381802E-4</v>
      </c>
      <c r="L54" s="127" t="b">
        <f t="shared" si="11"/>
        <v>0</v>
      </c>
    </row>
    <row r="55" spans="1:12" x14ac:dyDescent="0.3">
      <c r="A55" s="75">
        <v>35</v>
      </c>
      <c r="B55" s="9">
        <f t="shared" si="21"/>
        <v>0.99909403079408077</v>
      </c>
      <c r="C55" s="72">
        <f t="shared" si="22"/>
        <v>1.3</v>
      </c>
      <c r="D55" s="84">
        <f t="shared" si="23"/>
        <v>-9.0228460409707001E-3</v>
      </c>
      <c r="E55" s="84">
        <f t="shared" si="24"/>
        <v>12.785849184900005</v>
      </c>
      <c r="F55" s="79">
        <f t="shared" si="25"/>
        <v>0.99930622738552688</v>
      </c>
      <c r="G55" s="129">
        <f t="shared" si="3"/>
        <v>-6.9161067475271842E-3</v>
      </c>
      <c r="H55" s="80">
        <f t="shared" si="26"/>
        <v>6.2402966385856405E-5</v>
      </c>
      <c r="I55" s="5">
        <f t="shared" si="27"/>
        <v>2.1219659144611214E-4</v>
      </c>
      <c r="J55" s="5">
        <f t="shared" si="28"/>
        <v>2.1238900934825736E-4</v>
      </c>
      <c r="K55" s="124">
        <f t="shared" si="10"/>
        <v>2.1238900934825736E-4</v>
      </c>
      <c r="L55" s="127" t="b">
        <f t="shared" si="11"/>
        <v>0</v>
      </c>
    </row>
    <row r="56" spans="1:12" x14ac:dyDescent="0.3">
      <c r="A56" s="75">
        <v>36</v>
      </c>
      <c r="B56" s="9">
        <f t="shared" si="21"/>
        <v>0.99930622738552688</v>
      </c>
      <c r="C56" s="72">
        <f t="shared" si="22"/>
        <v>1.3</v>
      </c>
      <c r="D56" s="84">
        <f t="shared" si="23"/>
        <v>-6.9161067475271842E-3</v>
      </c>
      <c r="E56" s="84">
        <f t="shared" si="24"/>
        <v>12.785849184900005</v>
      </c>
      <c r="F56" s="79">
        <f t="shared" si="25"/>
        <v>0.99946879037971204</v>
      </c>
      <c r="G56" s="129">
        <f t="shared" si="3"/>
        <v>-5.2994159092788484E-3</v>
      </c>
      <c r="H56" s="80">
        <f t="shared" si="26"/>
        <v>3.6651326128116353E-5</v>
      </c>
      <c r="I56" s="5">
        <f t="shared" si="27"/>
        <v>1.6256299418515585E-4</v>
      </c>
      <c r="J56" s="5">
        <f t="shared" si="28"/>
        <v>1.626758542378621E-4</v>
      </c>
      <c r="K56" s="124">
        <f t="shared" si="10"/>
        <v>1.626758542378621E-4</v>
      </c>
      <c r="L56" s="127" t="b">
        <f t="shared" si="11"/>
        <v>0</v>
      </c>
    </row>
    <row r="57" spans="1:12" x14ac:dyDescent="0.3">
      <c r="A57" s="75">
        <v>37</v>
      </c>
      <c r="B57" s="9">
        <f t="shared" si="21"/>
        <v>0.99946879037971204</v>
      </c>
      <c r="C57" s="72">
        <f t="shared" si="22"/>
        <v>1.3</v>
      </c>
      <c r="D57" s="84">
        <f t="shared" si="23"/>
        <v>-5.2994159092788484E-3</v>
      </c>
      <c r="E57" s="84">
        <f t="shared" si="24"/>
        <v>12.785849184900005</v>
      </c>
      <c r="F57" s="79">
        <f t="shared" si="25"/>
        <v>0.9995933014711863</v>
      </c>
      <c r="G57" s="129">
        <f t="shared" si="3"/>
        <v>-4.0595501885271057E-3</v>
      </c>
      <c r="H57" s="80">
        <f t="shared" si="26"/>
        <v>2.1513244853596493E-5</v>
      </c>
      <c r="I57" s="5">
        <f t="shared" si="27"/>
        <v>1.2451109147426642E-4</v>
      </c>
      <c r="J57" s="5">
        <f t="shared" si="28"/>
        <v>1.2457726811755966E-4</v>
      </c>
      <c r="K57" s="124">
        <f t="shared" si="10"/>
        <v>1.2457726811755966E-4</v>
      </c>
      <c r="L57" s="127" t="b">
        <f t="shared" si="11"/>
        <v>0</v>
      </c>
    </row>
    <row r="58" spans="1:12" x14ac:dyDescent="0.3">
      <c r="A58" s="74">
        <v>38</v>
      </c>
      <c r="B58" s="73">
        <f t="shared" si="21"/>
        <v>0.9995933014711863</v>
      </c>
      <c r="C58" s="115">
        <f t="shared" si="22"/>
        <v>1.3</v>
      </c>
      <c r="D58" s="140">
        <f t="shared" si="23"/>
        <v>-4.0595501885271057E-3</v>
      </c>
      <c r="E58" s="140">
        <f t="shared" si="24"/>
        <v>12.785849184900005</v>
      </c>
      <c r="F58" s="118">
        <f t="shared" si="25"/>
        <v>0.99968865133606077</v>
      </c>
      <c r="G58" s="141">
        <f t="shared" si="3"/>
        <v>-3.1091280496273743E-3</v>
      </c>
      <c r="H58" s="120">
        <f t="shared" si="26"/>
        <v>1.2621661360019719E-5</v>
      </c>
      <c r="I58" s="125">
        <f t="shared" si="27"/>
        <v>9.5349864874472168E-5</v>
      </c>
      <c r="J58" s="125">
        <f t="shared" si="28"/>
        <v>9.5388659301875751E-5</v>
      </c>
      <c r="K58" s="142">
        <f t="shared" si="10"/>
        <v>9.5388659301875751E-5</v>
      </c>
      <c r="L58" s="128" t="b">
        <f t="shared" si="11"/>
        <v>1</v>
      </c>
    </row>
    <row r="59" spans="1:12" x14ac:dyDescent="0.3">
      <c r="A59" s="75">
        <v>39</v>
      </c>
      <c r="B59" s="9">
        <f t="shared" si="21"/>
        <v>0.99968865133606077</v>
      </c>
      <c r="C59" s="72">
        <f t="shared" si="22"/>
        <v>1.3</v>
      </c>
      <c r="D59" s="84">
        <f t="shared" si="23"/>
        <v>-3.1091280496273743E-3</v>
      </c>
      <c r="E59" s="84">
        <f t="shared" si="24"/>
        <v>12.785849184900005</v>
      </c>
      <c r="F59" s="79">
        <f t="shared" si="25"/>
        <v>0.9997616601312187</v>
      </c>
      <c r="G59" s="129">
        <f t="shared" si="3"/>
        <v>-2.380844046641184E-3</v>
      </c>
      <c r="H59" s="80">
        <f t="shared" si="26"/>
        <v>7.4023490072004502E-6</v>
      </c>
      <c r="I59" s="5">
        <f t="shared" si="27"/>
        <v>7.3008795157925022E-5</v>
      </c>
      <c r="J59" s="5">
        <f t="shared" si="28"/>
        <v>7.3031533428283355E-5</v>
      </c>
      <c r="K59" s="124">
        <f t="shared" si="10"/>
        <v>7.3031533428283355E-5</v>
      </c>
      <c r="L59" s="127" t="b">
        <f t="shared" si="11"/>
        <v>1</v>
      </c>
    </row>
    <row r="60" spans="1:12" x14ac:dyDescent="0.3">
      <c r="A60" s="75">
        <v>40</v>
      </c>
      <c r="B60" s="9">
        <f t="shared" si="21"/>
        <v>0.9997616601312187</v>
      </c>
      <c r="C60" s="72">
        <f t="shared" si="22"/>
        <v>1.3</v>
      </c>
      <c r="D60" s="84">
        <f t="shared" si="23"/>
        <v>-2.380844046641184E-3</v>
      </c>
      <c r="E60" s="84">
        <f t="shared" si="24"/>
        <v>12.785849184900005</v>
      </c>
      <c r="F60" s="79">
        <f t="shared" si="25"/>
        <v>0.99981755689429164</v>
      </c>
      <c r="G60" s="129">
        <f t="shared" si="3"/>
        <v>-1.822933938669058E-3</v>
      </c>
      <c r="H60" s="80">
        <f t="shared" si="26"/>
        <v>4.3401214153003922E-6</v>
      </c>
      <c r="I60" s="5">
        <f t="shared" si="27"/>
        <v>5.5896763072937894E-5</v>
      </c>
      <c r="J60" s="5">
        <f t="shared" si="28"/>
        <v>5.5910088676136514E-5</v>
      </c>
      <c r="K60" s="124">
        <f t="shared" si="10"/>
        <v>5.5910088676136514E-5</v>
      </c>
      <c r="L60" s="127" t="b">
        <f t="shared" si="11"/>
        <v>1</v>
      </c>
    </row>
    <row r="61" spans="1:12" x14ac:dyDescent="0.3">
      <c r="A61" s="75">
        <v>41</v>
      </c>
      <c r="B61" s="9">
        <f t="shared" si="21"/>
        <v>0.99981755689429164</v>
      </c>
      <c r="C61" s="72">
        <f t="shared" si="22"/>
        <v>1.3</v>
      </c>
      <c r="D61" s="84">
        <f t="shared" si="23"/>
        <v>-1.822933938669058E-3</v>
      </c>
      <c r="E61" s="84">
        <f t="shared" si="24"/>
        <v>12.785849184900005</v>
      </c>
      <c r="F61" s="79">
        <f t="shared" si="25"/>
        <v>0.99986034910527777</v>
      </c>
      <c r="G61" s="129">
        <f t="shared" si="3"/>
        <v>-1.3956316672074642E-3</v>
      </c>
      <c r="H61" s="80">
        <f t="shared" si="26"/>
        <v>2.5441443320337668E-6</v>
      </c>
      <c r="I61" s="5">
        <f t="shared" si="27"/>
        <v>4.2792210986131174E-5</v>
      </c>
      <c r="J61" s="5">
        <f t="shared" si="28"/>
        <v>4.2800019554623095E-5</v>
      </c>
      <c r="K61" s="124">
        <f t="shared" si="10"/>
        <v>4.2800019554623095E-5</v>
      </c>
      <c r="L61" s="127" t="b">
        <f t="shared" si="11"/>
        <v>1</v>
      </c>
    </row>
    <row r="62" spans="1:12" x14ac:dyDescent="0.3">
      <c r="A62" s="75">
        <v>42</v>
      </c>
      <c r="B62" s="9">
        <f t="shared" si="21"/>
        <v>0.99986034910527777</v>
      </c>
      <c r="C62" s="72">
        <f t="shared" si="22"/>
        <v>1.3</v>
      </c>
      <c r="D62" s="84">
        <f t="shared" si="23"/>
        <v>-1.3956316672074642E-3</v>
      </c>
      <c r="E62" s="84">
        <f t="shared" si="24"/>
        <v>12.785849184900005</v>
      </c>
      <c r="F62" s="79">
        <f t="shared" si="25"/>
        <v>0.99989310709242685</v>
      </c>
      <c r="G62" s="129">
        <f t="shared" si="3"/>
        <v>-1.0684150480519961E-3</v>
      </c>
      <c r="H62" s="80">
        <f t="shared" si="26"/>
        <v>1.4911138747823503E-6</v>
      </c>
      <c r="I62" s="5">
        <f t="shared" si="27"/>
        <v>3.2757987149079071E-5</v>
      </c>
      <c r="J62" s="5">
        <f t="shared" si="28"/>
        <v>3.2762562470241433E-5</v>
      </c>
      <c r="K62" s="124">
        <f t="shared" si="10"/>
        <v>3.2762562470241433E-5</v>
      </c>
      <c r="L62" s="127" t="b">
        <f t="shared" si="11"/>
        <v>1</v>
      </c>
    </row>
    <row r="63" spans="1:12" x14ac:dyDescent="0.3">
      <c r="A63" s="75">
        <v>43</v>
      </c>
      <c r="B63" s="9">
        <f t="shared" si="21"/>
        <v>0.99989310709242685</v>
      </c>
      <c r="C63" s="72">
        <f t="shared" si="22"/>
        <v>1.3</v>
      </c>
      <c r="D63" s="84">
        <f t="shared" si="23"/>
        <v>-1.0684150480519961E-3</v>
      </c>
      <c r="E63" s="84">
        <f t="shared" si="24"/>
        <v>12.785849184900005</v>
      </c>
      <c r="F63" s="79">
        <f t="shared" si="25"/>
        <v>0.99991818262121634</v>
      </c>
      <c r="G63" s="129">
        <f t="shared" si="3"/>
        <v>-8.1787261979382464E-4</v>
      </c>
      <c r="H63" s="80">
        <f t="shared" si="26"/>
        <v>8.7382741437743103E-7</v>
      </c>
      <c r="I63" s="5">
        <f t="shared" si="27"/>
        <v>2.5075528789497703E-5</v>
      </c>
      <c r="J63" s="5">
        <f t="shared" si="28"/>
        <v>2.5078209472224918E-5</v>
      </c>
      <c r="K63" s="124">
        <f t="shared" si="10"/>
        <v>2.5078209472224918E-5</v>
      </c>
      <c r="L63" s="127" t="b">
        <f t="shared" si="11"/>
        <v>1</v>
      </c>
    </row>
    <row r="64" spans="1:12" x14ac:dyDescent="0.3">
      <c r="A64" s="75">
        <v>44</v>
      </c>
      <c r="B64" s="9">
        <f t="shared" si="21"/>
        <v>0.99991818262121634</v>
      </c>
      <c r="C64" s="72">
        <f t="shared" si="22"/>
        <v>1.3</v>
      </c>
      <c r="D64" s="84">
        <f t="shared" si="23"/>
        <v>-8.1787261979382464E-4</v>
      </c>
      <c r="E64" s="84">
        <f t="shared" si="24"/>
        <v>12.785849184900005</v>
      </c>
      <c r="F64" s="79">
        <f t="shared" si="25"/>
        <v>0.99993737673184957</v>
      </c>
      <c r="G64" s="129">
        <f t="shared" si="3"/>
        <v>-6.2605623565437085E-4</v>
      </c>
      <c r="H64" s="80">
        <f t="shared" si="26"/>
        <v>5.1203425359290028E-7</v>
      </c>
      <c r="I64" s="5">
        <f t="shared" si="27"/>
        <v>1.9194110633224959E-5</v>
      </c>
      <c r="J64" s="5">
        <f t="shared" si="28"/>
        <v>1.9195681173542544E-5</v>
      </c>
      <c r="K64" s="124">
        <f t="shared" si="10"/>
        <v>1.9195681173542544E-5</v>
      </c>
      <c r="L64" s="127" t="b">
        <f t="shared" si="11"/>
        <v>1</v>
      </c>
    </row>
    <row r="65" spans="1:12" x14ac:dyDescent="0.3">
      <c r="A65" s="75">
        <v>45</v>
      </c>
      <c r="B65" s="9">
        <f t="shared" si="21"/>
        <v>0.99993737673184957</v>
      </c>
      <c r="C65" s="72">
        <f t="shared" si="22"/>
        <v>1.3</v>
      </c>
      <c r="D65" s="84">
        <f t="shared" si="23"/>
        <v>-6.2605623565437085E-4</v>
      </c>
      <c r="E65" s="84">
        <f t="shared" si="24"/>
        <v>12.785849184900005</v>
      </c>
      <c r="F65" s="79">
        <f t="shared" si="25"/>
        <v>0.99995206851147156</v>
      </c>
      <c r="G65" s="129">
        <f t="shared" si="3"/>
        <v>-4.7921151425600605E-4</v>
      </c>
      <c r="H65" s="80">
        <f t="shared" si="26"/>
        <v>3.0001335669734602E-7</v>
      </c>
      <c r="I65" s="5">
        <f t="shared" si="27"/>
        <v>1.4691779621989198E-5</v>
      </c>
      <c r="J65" s="5">
        <f t="shared" si="28"/>
        <v>1.4692699726864047E-5</v>
      </c>
      <c r="K65" s="124">
        <f t="shared" si="10"/>
        <v>1.4692699726864047E-5</v>
      </c>
      <c r="L65" s="127" t="b">
        <f t="shared" si="11"/>
        <v>1</v>
      </c>
    </row>
    <row r="66" spans="1:12" x14ac:dyDescent="0.3">
      <c r="A66" s="75">
        <v>46</v>
      </c>
      <c r="B66" s="9">
        <f t="shared" si="21"/>
        <v>0.99995206851147156</v>
      </c>
      <c r="C66" s="72">
        <f t="shared" si="22"/>
        <v>1.3</v>
      </c>
      <c r="D66" s="84">
        <f t="shared" si="23"/>
        <v>-4.7921151425600605E-4</v>
      </c>
      <c r="E66" s="84">
        <f t="shared" si="24"/>
        <v>12.785849184900005</v>
      </c>
      <c r="F66" s="79">
        <f t="shared" si="25"/>
        <v>0.99996331383688009</v>
      </c>
      <c r="G66" s="129">
        <f t="shared" si="3"/>
        <v>-3.668010727684301E-4</v>
      </c>
      <c r="H66" s="80">
        <f t="shared" si="26"/>
        <v>1.7577529751208686E-7</v>
      </c>
      <c r="I66" s="5">
        <f t="shared" si="27"/>
        <v>1.1245325408526519E-5</v>
      </c>
      <c r="J66" s="5">
        <f t="shared" si="28"/>
        <v>1.1245864439548895E-5</v>
      </c>
      <c r="K66" s="124">
        <f t="shared" si="10"/>
        <v>1.1245864439548895E-5</v>
      </c>
      <c r="L66" s="127" t="b">
        <f t="shared" si="11"/>
        <v>1</v>
      </c>
    </row>
    <row r="67" spans="1:12" x14ac:dyDescent="0.3">
      <c r="A67" s="75">
        <v>47</v>
      </c>
      <c r="B67" s="9">
        <f t="shared" si="21"/>
        <v>0.99996331383688009</v>
      </c>
      <c r="C67" s="72">
        <f t="shared" si="22"/>
        <v>1.3</v>
      </c>
      <c r="D67" s="84">
        <f t="shared" si="23"/>
        <v>-3.668010727684301E-4</v>
      </c>
      <c r="E67" s="84">
        <f t="shared" si="24"/>
        <v>12.785849184900005</v>
      </c>
      <c r="F67" s="79">
        <f t="shared" si="25"/>
        <v>0.99997192105722388</v>
      </c>
      <c r="G67" s="129">
        <f t="shared" si="3"/>
        <v>-2.8075395120163993E-4</v>
      </c>
      <c r="H67" s="80">
        <f t="shared" si="26"/>
        <v>1.02980850484737E-7</v>
      </c>
      <c r="I67" s="5">
        <f t="shared" si="27"/>
        <v>8.6072203437925765E-6</v>
      </c>
      <c r="J67" s="5">
        <f t="shared" si="28"/>
        <v>8.6075361212667817E-6</v>
      </c>
      <c r="K67" s="124">
        <f t="shared" si="10"/>
        <v>8.6075361212667817E-6</v>
      </c>
      <c r="L67" s="127" t="b">
        <f t="shared" si="11"/>
        <v>1</v>
      </c>
    </row>
    <row r="68" spans="1:12" x14ac:dyDescent="0.3">
      <c r="D68" s="50"/>
      <c r="G68" s="22"/>
      <c r="I68" s="51"/>
      <c r="J68" s="51"/>
      <c r="K68" s="55"/>
    </row>
    <row r="69" spans="1:12" x14ac:dyDescent="0.3">
      <c r="D69" s="50"/>
      <c r="G69" s="22"/>
      <c r="I69" s="51"/>
      <c r="J69" s="51"/>
      <c r="K69" s="55"/>
    </row>
    <row r="70" spans="1:12" x14ac:dyDescent="0.3">
      <c r="D70" s="50"/>
      <c r="G70" s="22"/>
      <c r="I70" s="51"/>
      <c r="J70" s="51"/>
      <c r="K70" s="55"/>
    </row>
    <row r="71" spans="1:12" x14ac:dyDescent="0.3">
      <c r="D71" s="50"/>
      <c r="G71" s="22"/>
      <c r="I71" s="51"/>
      <c r="J71" s="51"/>
      <c r="K71" s="55"/>
    </row>
    <row r="72" spans="1:12" x14ac:dyDescent="0.3">
      <c r="D72" s="50"/>
      <c r="G72" s="22"/>
      <c r="I72" s="51"/>
      <c r="J72" s="51"/>
      <c r="K72" s="55"/>
    </row>
    <row r="73" spans="1:12" x14ac:dyDescent="0.3">
      <c r="D73" s="50"/>
      <c r="G73" s="22"/>
      <c r="I73" s="51"/>
      <c r="J73" s="51"/>
      <c r="K73" s="55"/>
    </row>
    <row r="74" spans="1:12" x14ac:dyDescent="0.3">
      <c r="D74" s="50"/>
      <c r="G74" s="22"/>
    </row>
    <row r="75" spans="1:12" x14ac:dyDescent="0.3">
      <c r="D75" s="50"/>
      <c r="G75" s="22"/>
      <c r="I75" s="51"/>
      <c r="J75" s="51"/>
      <c r="K75" s="55"/>
    </row>
    <row r="76" spans="1:12" x14ac:dyDescent="0.3">
      <c r="D76" s="50"/>
      <c r="G76" s="22"/>
      <c r="I76" s="51"/>
      <c r="J76" s="51"/>
      <c r="K76" s="55"/>
    </row>
    <row r="77" spans="1:12" x14ac:dyDescent="0.3">
      <c r="D77" s="50"/>
      <c r="G77" s="22"/>
      <c r="I77" s="51"/>
      <c r="J77" s="51"/>
      <c r="K77" s="55"/>
    </row>
    <row r="78" spans="1:12" x14ac:dyDescent="0.3">
      <c r="D78" s="50"/>
      <c r="G78" s="22"/>
      <c r="I78" s="51"/>
      <c r="J78" s="51"/>
      <c r="K78" s="55"/>
    </row>
    <row r="79" spans="1:12" x14ac:dyDescent="0.3">
      <c r="D79" s="50"/>
      <c r="G79" s="22"/>
      <c r="I79" s="51"/>
      <c r="J79" s="51"/>
      <c r="K79" s="55"/>
    </row>
    <row r="80" spans="1:12" x14ac:dyDescent="0.3">
      <c r="D80" s="50"/>
      <c r="G80" s="22"/>
      <c r="I80" s="51"/>
      <c r="J80" s="51"/>
      <c r="K80" s="55"/>
    </row>
    <row r="81" spans="4:11" x14ac:dyDescent="0.3">
      <c r="D81" s="50"/>
      <c r="G81" s="22"/>
      <c r="I81" s="51"/>
      <c r="J81" s="51"/>
      <c r="K81" s="55"/>
    </row>
    <row r="82" spans="4:11" x14ac:dyDescent="0.3">
      <c r="D82" s="50"/>
      <c r="G82" s="22"/>
      <c r="I82" s="51"/>
      <c r="J82" s="51"/>
      <c r="K82" s="55"/>
    </row>
    <row r="83" spans="4:11" x14ac:dyDescent="0.3">
      <c r="D83" s="50"/>
      <c r="G83" s="22"/>
      <c r="I83" s="51"/>
      <c r="J83" s="51"/>
      <c r="K83" s="55"/>
    </row>
    <row r="84" spans="4:11" x14ac:dyDescent="0.3">
      <c r="D84" s="50"/>
      <c r="G84" s="22"/>
      <c r="I84" s="51"/>
      <c r="J84" s="51"/>
      <c r="K84" s="55"/>
    </row>
    <row r="85" spans="4:11" x14ac:dyDescent="0.3">
      <c r="D85" s="50"/>
      <c r="G85" s="22"/>
      <c r="I85" s="51"/>
      <c r="J85" s="51"/>
      <c r="K85" s="55"/>
    </row>
    <row r="86" spans="4:11" x14ac:dyDescent="0.3">
      <c r="D86" s="50"/>
      <c r="G86" s="22"/>
      <c r="I86" s="51"/>
      <c r="J86" s="51"/>
      <c r="K86" s="55"/>
    </row>
    <row r="87" spans="4:11" x14ac:dyDescent="0.3">
      <c r="D87" s="50"/>
      <c r="G87" s="22"/>
      <c r="I87" s="51"/>
      <c r="J87" s="51"/>
      <c r="K87" s="55"/>
    </row>
    <row r="88" spans="4:11" x14ac:dyDescent="0.3">
      <c r="D88" s="50"/>
      <c r="G88" s="22"/>
      <c r="I88" s="51"/>
      <c r="J88" s="51"/>
      <c r="K88" s="55"/>
    </row>
    <row r="89" spans="4:11" x14ac:dyDescent="0.3">
      <c r="D89" s="50"/>
      <c r="G89" s="22"/>
      <c r="I89" s="51"/>
      <c r="J89" s="51"/>
      <c r="K89" s="55"/>
    </row>
    <row r="90" spans="4:11" x14ac:dyDescent="0.3">
      <c r="D90" s="50"/>
      <c r="G90" s="22"/>
      <c r="I90" s="51"/>
      <c r="J90" s="51"/>
      <c r="K90" s="55"/>
    </row>
    <row r="91" spans="4:11" x14ac:dyDescent="0.3">
      <c r="D91" s="50"/>
      <c r="G91" s="22"/>
      <c r="I91" s="51"/>
      <c r="J91" s="51"/>
      <c r="K91" s="55"/>
    </row>
    <row r="92" spans="4:11" x14ac:dyDescent="0.3">
      <c r="D92" s="50"/>
      <c r="G92" s="22"/>
    </row>
    <row r="93" spans="4:11" x14ac:dyDescent="0.3">
      <c r="D93" s="50"/>
      <c r="G93" s="22"/>
      <c r="I93" s="51"/>
      <c r="J93" s="51"/>
      <c r="K93" s="55"/>
    </row>
    <row r="94" spans="4:11" x14ac:dyDescent="0.3">
      <c r="D94" s="50"/>
      <c r="G94" s="22"/>
      <c r="I94" s="51"/>
      <c r="J94" s="51"/>
      <c r="K94" s="55"/>
    </row>
    <row r="95" spans="4:11" x14ac:dyDescent="0.3">
      <c r="D95" s="50"/>
      <c r="G95" s="22"/>
      <c r="I95" s="51"/>
      <c r="J95" s="51"/>
      <c r="K95" s="55"/>
    </row>
    <row r="96" spans="4:11" x14ac:dyDescent="0.3">
      <c r="D96" s="50"/>
      <c r="G96" s="22"/>
      <c r="I96" s="51"/>
      <c r="J96" s="51"/>
      <c r="K96" s="55"/>
    </row>
    <row r="97" spans="4:11" x14ac:dyDescent="0.3">
      <c r="D97" s="50"/>
      <c r="G97" s="22"/>
      <c r="I97" s="51"/>
      <c r="J97" s="51"/>
      <c r="K97" s="55"/>
    </row>
    <row r="98" spans="4:11" x14ac:dyDescent="0.3">
      <c r="D98" s="50"/>
      <c r="G98" s="22"/>
      <c r="I98" s="51"/>
      <c r="J98" s="51"/>
      <c r="K98" s="55"/>
    </row>
    <row r="99" spans="4:11" x14ac:dyDescent="0.3">
      <c r="D99" s="50"/>
      <c r="G99" s="22"/>
      <c r="I99" s="51"/>
      <c r="J99" s="51"/>
      <c r="K99" s="55"/>
    </row>
    <row r="100" spans="4:11" x14ac:dyDescent="0.3">
      <c r="D100" s="50"/>
      <c r="G100" s="22"/>
      <c r="I100" s="51"/>
      <c r="J100" s="51"/>
      <c r="K100" s="55"/>
    </row>
    <row r="101" spans="4:11" x14ac:dyDescent="0.3">
      <c r="D101" s="50"/>
      <c r="G101" s="22"/>
      <c r="I101" s="51"/>
      <c r="J101" s="51"/>
      <c r="K101" s="55"/>
    </row>
    <row r="102" spans="4:11" x14ac:dyDescent="0.3">
      <c r="D102" s="50"/>
      <c r="G102" s="22"/>
      <c r="I102" s="51"/>
      <c r="J102" s="51"/>
      <c r="K102" s="55"/>
    </row>
    <row r="103" spans="4:11" x14ac:dyDescent="0.3">
      <c r="D103" s="50"/>
      <c r="G103" s="22"/>
      <c r="I103" s="51"/>
      <c r="J103" s="51"/>
      <c r="K103" s="55"/>
    </row>
    <row r="104" spans="4:11" x14ac:dyDescent="0.3">
      <c r="D104" s="50"/>
      <c r="G104" s="22"/>
      <c r="I104" s="51"/>
      <c r="J104" s="51"/>
      <c r="K104" s="55"/>
    </row>
    <row r="105" spans="4:11" x14ac:dyDescent="0.3">
      <c r="D105" s="50"/>
      <c r="G105" s="22"/>
      <c r="I105" s="51"/>
      <c r="J105" s="51"/>
      <c r="K105" s="55"/>
    </row>
    <row r="106" spans="4:11" x14ac:dyDescent="0.3">
      <c r="D106" s="50"/>
      <c r="G106" s="22"/>
      <c r="I106" s="51"/>
      <c r="J106" s="51"/>
      <c r="K106" s="55"/>
    </row>
    <row r="107" spans="4:11" x14ac:dyDescent="0.3">
      <c r="D107" s="50"/>
      <c r="G107" s="22"/>
      <c r="I107" s="51"/>
      <c r="J107" s="51"/>
      <c r="K107" s="55"/>
    </row>
    <row r="108" spans="4:11" x14ac:dyDescent="0.3">
      <c r="D108" s="50"/>
      <c r="G108" s="22"/>
      <c r="I108" s="51"/>
      <c r="J108" s="51"/>
      <c r="K108" s="55"/>
    </row>
    <row r="109" spans="4:11" x14ac:dyDescent="0.3">
      <c r="D109" s="50"/>
      <c r="G109" s="22"/>
      <c r="I109" s="51"/>
      <c r="J109" s="51"/>
      <c r="K109" s="55"/>
    </row>
    <row r="110" spans="4:11" x14ac:dyDescent="0.3">
      <c r="D110" s="50"/>
      <c r="G110" s="22"/>
    </row>
    <row r="111" spans="4:11" x14ac:dyDescent="0.3">
      <c r="D111" s="50"/>
      <c r="G111" s="22"/>
      <c r="I111" s="51"/>
      <c r="J111" s="51"/>
      <c r="K111" s="55"/>
    </row>
    <row r="112" spans="4:11" x14ac:dyDescent="0.3">
      <c r="D112" s="50"/>
      <c r="G112" s="22"/>
      <c r="I112" s="51"/>
      <c r="J112" s="51"/>
      <c r="K112" s="55"/>
    </row>
    <row r="113" spans="4:11" x14ac:dyDescent="0.3">
      <c r="D113" s="50"/>
      <c r="G113" s="22"/>
      <c r="I113" s="51"/>
      <c r="J113" s="51"/>
      <c r="K113" s="55"/>
    </row>
    <row r="114" spans="4:11" x14ac:dyDescent="0.3">
      <c r="D114" s="50"/>
      <c r="G114" s="22"/>
      <c r="I114" s="51"/>
      <c r="J114" s="51"/>
      <c r="K114" s="55"/>
    </row>
    <row r="115" spans="4:11" x14ac:dyDescent="0.3">
      <c r="D115" s="50"/>
      <c r="G115" s="22"/>
      <c r="I115" s="51"/>
      <c r="J115" s="51"/>
      <c r="K115" s="55"/>
    </row>
    <row r="116" spans="4:11" x14ac:dyDescent="0.3">
      <c r="D116" s="50"/>
      <c r="G116" s="22"/>
      <c r="I116" s="51"/>
      <c r="J116" s="51"/>
      <c r="K116" s="55"/>
    </row>
    <row r="117" spans="4:11" x14ac:dyDescent="0.3">
      <c r="D117" s="50"/>
      <c r="G117" s="22"/>
      <c r="I117" s="51"/>
      <c r="J117" s="51"/>
      <c r="K117" s="55"/>
    </row>
    <row r="118" spans="4:11" x14ac:dyDescent="0.3">
      <c r="D118" s="50"/>
      <c r="G118" s="22"/>
      <c r="I118" s="51"/>
      <c r="J118" s="51"/>
      <c r="K118" s="55"/>
    </row>
    <row r="119" spans="4:11" x14ac:dyDescent="0.3">
      <c r="D119" s="50"/>
      <c r="G119" s="22"/>
      <c r="I119" s="51"/>
      <c r="J119" s="51"/>
      <c r="K119" s="55"/>
    </row>
    <row r="120" spans="4:11" x14ac:dyDescent="0.3">
      <c r="D120" s="50"/>
      <c r="G120" s="22"/>
      <c r="I120" s="51"/>
      <c r="J120" s="51"/>
      <c r="K120" s="55"/>
    </row>
    <row r="121" spans="4:11" x14ac:dyDescent="0.3">
      <c r="D121" s="50"/>
      <c r="G121" s="22"/>
      <c r="I121" s="51"/>
      <c r="J121" s="51"/>
      <c r="K121" s="55"/>
    </row>
    <row r="122" spans="4:11" x14ac:dyDescent="0.3">
      <c r="D122" s="50"/>
      <c r="G122" s="22"/>
      <c r="I122" s="51"/>
      <c r="J122" s="51"/>
      <c r="K122" s="55"/>
    </row>
    <row r="123" spans="4:11" x14ac:dyDescent="0.3">
      <c r="D123" s="50"/>
      <c r="G123" s="22"/>
      <c r="I123" s="51"/>
      <c r="J123" s="51"/>
      <c r="K123" s="55"/>
    </row>
    <row r="124" spans="4:11" x14ac:dyDescent="0.3">
      <c r="D124" s="50"/>
      <c r="G124" s="22"/>
      <c r="I124" s="51"/>
      <c r="J124" s="51"/>
      <c r="K124" s="55"/>
    </row>
    <row r="125" spans="4:11" x14ac:dyDescent="0.3">
      <c r="D125" s="50"/>
      <c r="G125" s="22"/>
      <c r="I125" s="51"/>
      <c r="J125" s="51"/>
      <c r="K125" s="55"/>
    </row>
    <row r="126" spans="4:11" x14ac:dyDescent="0.3">
      <c r="D126" s="50"/>
      <c r="G126" s="22"/>
      <c r="I126" s="51"/>
      <c r="J126" s="51"/>
      <c r="K126" s="55"/>
    </row>
    <row r="127" spans="4:11" x14ac:dyDescent="0.3">
      <c r="D127" s="50"/>
      <c r="G127" s="22"/>
      <c r="I127" s="51"/>
      <c r="J127" s="51"/>
      <c r="K127" s="55"/>
    </row>
    <row r="128" spans="4:11" x14ac:dyDescent="0.3">
      <c r="D128" s="50"/>
      <c r="G128" s="22"/>
    </row>
    <row r="129" spans="4:11" x14ac:dyDescent="0.3">
      <c r="D129" s="50"/>
      <c r="G129" s="22"/>
      <c r="I129" s="51"/>
      <c r="J129" s="51"/>
      <c r="K129" s="55"/>
    </row>
    <row r="130" spans="4:11" x14ac:dyDescent="0.3">
      <c r="D130" s="50"/>
      <c r="G130" s="22"/>
      <c r="I130" s="51"/>
      <c r="J130" s="51"/>
      <c r="K130" s="55"/>
    </row>
    <row r="131" spans="4:11" x14ac:dyDescent="0.3">
      <c r="D131" s="50"/>
      <c r="G131" s="22"/>
      <c r="I131" s="51"/>
      <c r="J131" s="51"/>
      <c r="K131" s="55"/>
    </row>
    <row r="132" spans="4:11" x14ac:dyDescent="0.3">
      <c r="D132" s="50"/>
      <c r="G132" s="22"/>
      <c r="I132" s="51"/>
      <c r="J132" s="51"/>
      <c r="K132" s="55"/>
    </row>
    <row r="133" spans="4:11" x14ac:dyDescent="0.3">
      <c r="D133" s="50"/>
      <c r="G133" s="22"/>
      <c r="I133" s="51"/>
      <c r="J133" s="51"/>
      <c r="K133" s="55"/>
    </row>
    <row r="134" spans="4:11" x14ac:dyDescent="0.3">
      <c r="D134" s="50"/>
      <c r="G134" s="22"/>
      <c r="I134" s="51"/>
      <c r="J134" s="51"/>
      <c r="K134" s="55"/>
    </row>
    <row r="135" spans="4:11" x14ac:dyDescent="0.3">
      <c r="D135" s="50"/>
      <c r="G135" s="22"/>
      <c r="I135" s="51"/>
      <c r="J135" s="51"/>
      <c r="K135" s="55"/>
    </row>
    <row r="136" spans="4:11" x14ac:dyDescent="0.3">
      <c r="D136" s="50"/>
      <c r="G136" s="22"/>
      <c r="I136" s="51"/>
      <c r="J136" s="51"/>
      <c r="K136" s="55"/>
    </row>
    <row r="137" spans="4:11" x14ac:dyDescent="0.3">
      <c r="D137" s="50"/>
      <c r="G137" s="22"/>
      <c r="I137" s="51"/>
      <c r="J137" s="51"/>
      <c r="K137" s="55"/>
    </row>
    <row r="138" spans="4:11" x14ac:dyDescent="0.3">
      <c r="D138" s="50"/>
      <c r="G138" s="22"/>
      <c r="I138" s="51"/>
      <c r="J138" s="51"/>
      <c r="K138" s="55"/>
    </row>
    <row r="139" spans="4:11" x14ac:dyDescent="0.3">
      <c r="D139" s="50"/>
      <c r="G139" s="22"/>
      <c r="I139" s="51"/>
      <c r="J139" s="51"/>
      <c r="K139" s="55"/>
    </row>
    <row r="140" spans="4:11" x14ac:dyDescent="0.3">
      <c r="D140" s="50"/>
      <c r="G140" s="22"/>
      <c r="I140" s="51"/>
      <c r="J140" s="51"/>
      <c r="K140" s="55"/>
    </row>
    <row r="141" spans="4:11" x14ac:dyDescent="0.3">
      <c r="D141" s="50"/>
      <c r="G141" s="22"/>
      <c r="I141" s="51"/>
      <c r="J141" s="51"/>
      <c r="K141" s="55"/>
    </row>
    <row r="142" spans="4:11" x14ac:dyDescent="0.3">
      <c r="D142" s="50"/>
      <c r="G142" s="22"/>
      <c r="I142" s="51"/>
      <c r="J142" s="51"/>
      <c r="K142" s="55"/>
    </row>
    <row r="143" spans="4:11" x14ac:dyDescent="0.3">
      <c r="D143" s="50"/>
      <c r="G143" s="22"/>
      <c r="I143" s="51"/>
      <c r="J143" s="51"/>
      <c r="K143" s="55"/>
    </row>
    <row r="144" spans="4:11" x14ac:dyDescent="0.3">
      <c r="D144" s="50"/>
      <c r="G144" s="22"/>
      <c r="I144" s="51"/>
      <c r="J144" s="51"/>
      <c r="K144" s="55"/>
    </row>
    <row r="145" spans="4:11" x14ac:dyDescent="0.3">
      <c r="D145" s="50"/>
      <c r="G145" s="22"/>
      <c r="I145" s="51"/>
      <c r="J145" s="51"/>
      <c r="K145" s="55"/>
    </row>
    <row r="146" spans="4:11" x14ac:dyDescent="0.3">
      <c r="D146" s="50"/>
      <c r="G146" s="22"/>
    </row>
    <row r="147" spans="4:11" x14ac:dyDescent="0.3">
      <c r="D147" s="50"/>
      <c r="G147" s="22"/>
      <c r="I147" s="51"/>
      <c r="J147" s="51"/>
      <c r="K147" s="55"/>
    </row>
    <row r="148" spans="4:11" x14ac:dyDescent="0.3">
      <c r="D148" s="50"/>
      <c r="G148" s="22"/>
      <c r="I148" s="51"/>
      <c r="J148" s="51"/>
      <c r="K148" s="55"/>
    </row>
    <row r="149" spans="4:11" x14ac:dyDescent="0.3">
      <c r="D149" s="50"/>
      <c r="G149" s="22"/>
      <c r="I149" s="51"/>
      <c r="J149" s="51"/>
      <c r="K149" s="55"/>
    </row>
    <row r="150" spans="4:11" x14ac:dyDescent="0.3">
      <c r="D150" s="50"/>
      <c r="G150" s="22"/>
      <c r="I150" s="51"/>
      <c r="J150" s="51"/>
      <c r="K150" s="55"/>
    </row>
    <row r="151" spans="4:11" x14ac:dyDescent="0.3">
      <c r="D151" s="50"/>
      <c r="G151" s="22"/>
      <c r="I151" s="51"/>
      <c r="J151" s="51"/>
      <c r="K151" s="55"/>
    </row>
    <row r="152" spans="4:11" x14ac:dyDescent="0.3">
      <c r="D152" s="50"/>
      <c r="G152" s="22"/>
      <c r="I152" s="51"/>
      <c r="J152" s="51"/>
      <c r="K152" s="55"/>
    </row>
    <row r="153" spans="4:11" x14ac:dyDescent="0.3">
      <c r="D153" s="50"/>
      <c r="G153" s="22"/>
      <c r="I153" s="51"/>
      <c r="J153" s="51"/>
      <c r="K153" s="55"/>
    </row>
    <row r="154" spans="4:11" x14ac:dyDescent="0.3">
      <c r="D154" s="50"/>
      <c r="G154" s="22"/>
      <c r="I154" s="51"/>
      <c r="J154" s="51"/>
      <c r="K154" s="55"/>
    </row>
    <row r="155" spans="4:11" x14ac:dyDescent="0.3">
      <c r="D155" s="50"/>
      <c r="G155" s="22"/>
      <c r="I155" s="51"/>
      <c r="J155" s="51"/>
      <c r="K155" s="55"/>
    </row>
    <row r="156" spans="4:11" x14ac:dyDescent="0.3">
      <c r="D156" s="50"/>
      <c r="G156" s="22"/>
      <c r="I156" s="51"/>
      <c r="J156" s="51"/>
      <c r="K156" s="55"/>
    </row>
    <row r="157" spans="4:11" x14ac:dyDescent="0.3">
      <c r="D157" s="50"/>
      <c r="G157" s="22"/>
      <c r="I157" s="51"/>
      <c r="J157" s="51"/>
      <c r="K157" s="55"/>
    </row>
    <row r="158" spans="4:11" x14ac:dyDescent="0.3">
      <c r="D158" s="50"/>
      <c r="G158" s="22"/>
      <c r="I158" s="51"/>
      <c r="J158" s="51"/>
      <c r="K158" s="55"/>
    </row>
    <row r="159" spans="4:11" x14ac:dyDescent="0.3">
      <c r="D159" s="50"/>
      <c r="G159" s="22"/>
      <c r="I159" s="51"/>
      <c r="J159" s="51"/>
      <c r="K159" s="55"/>
    </row>
    <row r="160" spans="4:11" x14ac:dyDescent="0.3">
      <c r="D160" s="50"/>
      <c r="G160" s="22"/>
      <c r="I160" s="51"/>
      <c r="J160" s="51"/>
      <c r="K160" s="55"/>
    </row>
    <row r="161" spans="4:11" x14ac:dyDescent="0.3">
      <c r="D161" s="50"/>
      <c r="G161" s="22"/>
    </row>
    <row r="162" spans="4:11" x14ac:dyDescent="0.3">
      <c r="D162" s="50"/>
      <c r="G162" s="22"/>
      <c r="I162" s="51"/>
      <c r="J162" s="51"/>
      <c r="K162" s="55"/>
    </row>
    <row r="163" spans="4:11" x14ac:dyDescent="0.3">
      <c r="D163" s="50"/>
      <c r="G163" s="22"/>
      <c r="I163" s="51"/>
      <c r="J163" s="51"/>
      <c r="K163" s="55"/>
    </row>
    <row r="164" spans="4:11" x14ac:dyDescent="0.3">
      <c r="D164" s="50"/>
      <c r="G164" s="22"/>
      <c r="I164" s="51"/>
      <c r="J164" s="51"/>
      <c r="K164" s="55"/>
    </row>
    <row r="165" spans="4:11" x14ac:dyDescent="0.3">
      <c r="D165" s="50"/>
      <c r="G165" s="22"/>
      <c r="I165" s="51"/>
      <c r="J165" s="51"/>
      <c r="K165" s="55"/>
    </row>
    <row r="166" spans="4:11" x14ac:dyDescent="0.3">
      <c r="D166" s="50"/>
      <c r="G166" s="22"/>
      <c r="I166" s="51"/>
      <c r="J166" s="51"/>
      <c r="K166" s="55"/>
    </row>
    <row r="167" spans="4:11" x14ac:dyDescent="0.3">
      <c r="D167" s="50"/>
      <c r="G167" s="22"/>
      <c r="I167" s="51"/>
      <c r="J167" s="51"/>
      <c r="K167" s="55"/>
    </row>
    <row r="168" spans="4:11" x14ac:dyDescent="0.3">
      <c r="D168" s="50"/>
      <c r="G168" s="22"/>
      <c r="I168" s="51"/>
      <c r="J168" s="51"/>
      <c r="K168" s="55"/>
    </row>
    <row r="169" spans="4:11" x14ac:dyDescent="0.3">
      <c r="D169" s="50"/>
      <c r="G169" s="22"/>
      <c r="I169" s="51"/>
      <c r="J169" s="51"/>
      <c r="K169" s="55"/>
    </row>
    <row r="170" spans="4:11" x14ac:dyDescent="0.3">
      <c r="D170" s="50"/>
      <c r="G170" s="22"/>
      <c r="I170" s="51"/>
      <c r="J170" s="51"/>
      <c r="K170" s="55"/>
    </row>
    <row r="171" spans="4:11" x14ac:dyDescent="0.3">
      <c r="D171" s="50"/>
      <c r="G171" s="22"/>
      <c r="I171" s="51"/>
      <c r="J171" s="51"/>
      <c r="K171" s="55"/>
    </row>
    <row r="172" spans="4:11" x14ac:dyDescent="0.3">
      <c r="D172" s="50"/>
      <c r="G172" s="22"/>
      <c r="I172" s="51"/>
      <c r="J172" s="51"/>
      <c r="K172" s="55"/>
    </row>
    <row r="173" spans="4:11" x14ac:dyDescent="0.3">
      <c r="D173" s="50"/>
      <c r="G173" s="22"/>
      <c r="I173" s="51"/>
      <c r="J173" s="51"/>
      <c r="K173" s="55"/>
    </row>
    <row r="174" spans="4:11" x14ac:dyDescent="0.3">
      <c r="D174" s="50"/>
      <c r="G174" s="22"/>
      <c r="I174" s="51"/>
      <c r="J174" s="51"/>
      <c r="K174" s="55"/>
    </row>
    <row r="175" spans="4:11" x14ac:dyDescent="0.3">
      <c r="D175" s="50"/>
      <c r="G175" s="22"/>
      <c r="I175" s="51"/>
      <c r="J175" s="51"/>
      <c r="K175" s="55"/>
    </row>
    <row r="176" spans="4:11" x14ac:dyDescent="0.3">
      <c r="D176" s="50"/>
      <c r="G176" s="22"/>
      <c r="I176" s="51"/>
      <c r="J176" s="51"/>
      <c r="K176" s="55"/>
    </row>
    <row r="177" spans="4:11" x14ac:dyDescent="0.3">
      <c r="D177" s="50"/>
      <c r="G177" s="22"/>
      <c r="I177" s="51"/>
      <c r="J177" s="51"/>
      <c r="K177" s="55"/>
    </row>
    <row r="178" spans="4:11" x14ac:dyDescent="0.3">
      <c r="D178" s="50"/>
      <c r="G178" s="22"/>
      <c r="I178" s="51"/>
      <c r="J178" s="51"/>
      <c r="K178" s="55"/>
    </row>
    <row r="179" spans="4:11" x14ac:dyDescent="0.3">
      <c r="D179" s="50"/>
      <c r="G179" s="22"/>
    </row>
    <row r="180" spans="4:11" x14ac:dyDescent="0.3">
      <c r="D180" s="50"/>
      <c r="G180" s="22"/>
      <c r="I180" s="51"/>
      <c r="J180" s="51"/>
      <c r="K180" s="55"/>
    </row>
    <row r="181" spans="4:11" x14ac:dyDescent="0.3">
      <c r="D181" s="50"/>
      <c r="G181" s="22"/>
      <c r="I181" s="51"/>
      <c r="J181" s="51"/>
      <c r="K181" s="55"/>
    </row>
    <row r="182" spans="4:11" x14ac:dyDescent="0.3">
      <c r="D182" s="50"/>
      <c r="G182" s="22"/>
      <c r="I182" s="51"/>
      <c r="J182" s="51"/>
      <c r="K182" s="55"/>
    </row>
    <row r="183" spans="4:11" x14ac:dyDescent="0.3">
      <c r="D183" s="50"/>
      <c r="G183" s="22"/>
      <c r="I183" s="51"/>
      <c r="J183" s="51"/>
      <c r="K183" s="55"/>
    </row>
    <row r="184" spans="4:11" x14ac:dyDescent="0.3">
      <c r="D184" s="50"/>
      <c r="G184" s="22"/>
      <c r="I184" s="51"/>
      <c r="J184" s="51"/>
      <c r="K184" s="55"/>
    </row>
    <row r="185" spans="4:11" x14ac:dyDescent="0.3">
      <c r="D185" s="50"/>
      <c r="G185" s="22"/>
      <c r="I185" s="51"/>
      <c r="J185" s="51"/>
      <c r="K185" s="55"/>
    </row>
    <row r="186" spans="4:11" x14ac:dyDescent="0.3">
      <c r="D186" s="50"/>
      <c r="G186" s="22"/>
      <c r="I186" s="51"/>
      <c r="J186" s="51"/>
      <c r="K186" s="55"/>
    </row>
    <row r="187" spans="4:11" x14ac:dyDescent="0.3">
      <c r="D187" s="50"/>
      <c r="G187" s="22"/>
      <c r="I187" s="51"/>
      <c r="J187" s="51"/>
      <c r="K187" s="55"/>
    </row>
    <row r="188" spans="4:11" x14ac:dyDescent="0.3">
      <c r="D188" s="50"/>
      <c r="G188" s="22"/>
      <c r="I188" s="51"/>
      <c r="J188" s="51"/>
      <c r="K188" s="55"/>
    </row>
    <row r="189" spans="4:11" x14ac:dyDescent="0.3">
      <c r="D189" s="50"/>
      <c r="G189" s="22"/>
      <c r="I189" s="51"/>
      <c r="J189" s="51"/>
      <c r="K189" s="55"/>
    </row>
    <row r="190" spans="4:11" x14ac:dyDescent="0.3">
      <c r="D190" s="50"/>
      <c r="G190" s="22"/>
      <c r="I190" s="51"/>
      <c r="J190" s="51"/>
      <c r="K190" s="55"/>
    </row>
    <row r="191" spans="4:11" x14ac:dyDescent="0.3">
      <c r="D191" s="50"/>
      <c r="G191" s="22"/>
      <c r="I191" s="51"/>
      <c r="J191" s="51"/>
      <c r="K191" s="55"/>
    </row>
    <row r="192" spans="4:11" x14ac:dyDescent="0.3">
      <c r="D192" s="50"/>
      <c r="G192" s="22"/>
      <c r="I192" s="51"/>
      <c r="J192" s="51"/>
      <c r="K192" s="55"/>
    </row>
  </sheetData>
  <mergeCells count="1">
    <mergeCell ref="A1:N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47"/>
  <sheetViews>
    <sheetView workbookViewId="0">
      <selection activeCell="O35" sqref="O35"/>
    </sheetView>
  </sheetViews>
  <sheetFormatPr baseColWidth="10" defaultRowHeight="14.4" x14ac:dyDescent="0.3"/>
  <cols>
    <col min="5" max="5" width="12.5546875" bestFit="1" customWidth="1"/>
    <col min="6" max="6" width="12.33203125" bestFit="1" customWidth="1"/>
    <col min="8" max="9" width="12.33203125" bestFit="1" customWidth="1"/>
    <col min="13" max="13" width="12.6640625" customWidth="1"/>
  </cols>
  <sheetData>
    <row r="1" spans="1:14" s="61" customFormat="1" ht="28.8" x14ac:dyDescent="0.55000000000000004">
      <c r="A1" s="610" t="s">
        <v>93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C3" t="s">
        <v>53</v>
      </c>
    </row>
    <row r="4" spans="1:14" ht="15" thickBot="1" x14ac:dyDescent="0.35"/>
    <row r="5" spans="1:14" ht="15" thickBot="1" x14ac:dyDescent="0.35">
      <c r="B5" s="10" t="s">
        <v>30</v>
      </c>
      <c r="C5" s="11" t="s">
        <v>29</v>
      </c>
    </row>
    <row r="6" spans="1:14" x14ac:dyDescent="0.3">
      <c r="B6" s="13">
        <v>-5</v>
      </c>
      <c r="C6" s="14">
        <f>EXP(-B6)-B6</f>
        <v>153.4131591025766</v>
      </c>
    </row>
    <row r="7" spans="1:14" x14ac:dyDescent="0.3">
      <c r="B7" s="16">
        <v>-4</v>
      </c>
      <c r="C7" s="17">
        <f t="shared" ref="C7:C16" si="0">EXP(-B7)-B7</f>
        <v>58.598150033144236</v>
      </c>
    </row>
    <row r="8" spans="1:14" x14ac:dyDescent="0.3">
      <c r="B8" s="16">
        <v>-3</v>
      </c>
      <c r="C8" s="17">
        <f t="shared" si="0"/>
        <v>23.085536923187668</v>
      </c>
    </row>
    <row r="9" spans="1:14" x14ac:dyDescent="0.3">
      <c r="B9" s="16">
        <v>-2</v>
      </c>
      <c r="C9" s="17">
        <f t="shared" si="0"/>
        <v>9.3890560989306504</v>
      </c>
    </row>
    <row r="10" spans="1:14" x14ac:dyDescent="0.3">
      <c r="B10" s="16">
        <v>-1</v>
      </c>
      <c r="C10" s="17">
        <f t="shared" si="0"/>
        <v>3.7182818284590451</v>
      </c>
    </row>
    <row r="11" spans="1:14" x14ac:dyDescent="0.3">
      <c r="B11" s="16">
        <v>0</v>
      </c>
      <c r="C11" s="17">
        <f t="shared" si="0"/>
        <v>1</v>
      </c>
    </row>
    <row r="12" spans="1:14" x14ac:dyDescent="0.3">
      <c r="B12" s="16">
        <v>1</v>
      </c>
      <c r="C12" s="17">
        <f t="shared" si="0"/>
        <v>-0.63212055882855767</v>
      </c>
    </row>
    <row r="13" spans="1:14" x14ac:dyDescent="0.3">
      <c r="B13" s="66">
        <v>2</v>
      </c>
      <c r="C13" s="67">
        <f t="shared" si="0"/>
        <v>-1.8646647167633872</v>
      </c>
    </row>
    <row r="14" spans="1:14" x14ac:dyDescent="0.3">
      <c r="B14" s="16">
        <v>3</v>
      </c>
      <c r="C14" s="17">
        <f t="shared" si="0"/>
        <v>-2.9502129316321359</v>
      </c>
    </row>
    <row r="15" spans="1:14" x14ac:dyDescent="0.3">
      <c r="B15" s="16">
        <v>4</v>
      </c>
      <c r="C15" s="17">
        <f t="shared" si="0"/>
        <v>-3.9816843611112658</v>
      </c>
    </row>
    <row r="16" spans="1:14" ht="15" thickBot="1" x14ac:dyDescent="0.35">
      <c r="B16" s="19">
        <v>5</v>
      </c>
      <c r="C16" s="20">
        <f t="shared" si="0"/>
        <v>-4.9932620530009144</v>
      </c>
    </row>
    <row r="18" spans="1:13" x14ac:dyDescent="0.3">
      <c r="A18" t="s">
        <v>75</v>
      </c>
      <c r="B18" t="s">
        <v>76</v>
      </c>
    </row>
    <row r="19" spans="1:13" x14ac:dyDescent="0.3">
      <c r="B19" t="s">
        <v>77</v>
      </c>
    </row>
    <row r="20" spans="1:13" x14ac:dyDescent="0.3">
      <c r="A20" t="s">
        <v>78</v>
      </c>
      <c r="B20" t="s">
        <v>79</v>
      </c>
    </row>
    <row r="24" spans="1:13" x14ac:dyDescent="0.3">
      <c r="A24" t="s">
        <v>78</v>
      </c>
      <c r="B24" t="s">
        <v>80</v>
      </c>
    </row>
    <row r="25" spans="1:13" x14ac:dyDescent="0.3">
      <c r="B25" t="s">
        <v>81</v>
      </c>
      <c r="D25" t="s">
        <v>86</v>
      </c>
    </row>
    <row r="26" spans="1:13" x14ac:dyDescent="0.3">
      <c r="B26" t="s">
        <v>82</v>
      </c>
      <c r="D26" t="s">
        <v>84</v>
      </c>
    </row>
    <row r="27" spans="1:13" x14ac:dyDescent="0.3">
      <c r="B27" t="s">
        <v>83</v>
      </c>
      <c r="D27" t="s">
        <v>85</v>
      </c>
    </row>
    <row r="29" spans="1:13" x14ac:dyDescent="0.3">
      <c r="B29" t="s">
        <v>87</v>
      </c>
      <c r="C29">
        <f>C13</f>
        <v>-1.8646647167633872</v>
      </c>
      <c r="D29" t="s">
        <v>94</v>
      </c>
    </row>
    <row r="30" spans="1:13" ht="15" thickBot="1" x14ac:dyDescent="0.35">
      <c r="C30" t="s">
        <v>26</v>
      </c>
      <c r="D30" t="s">
        <v>35</v>
      </c>
    </row>
    <row r="31" spans="1:13" ht="15" thickBot="1" x14ac:dyDescent="0.35">
      <c r="B31" s="89" t="s">
        <v>48</v>
      </c>
      <c r="C31" s="90" t="s">
        <v>88</v>
      </c>
      <c r="D31" s="90" t="s">
        <v>89</v>
      </c>
      <c r="E31" s="91" t="s">
        <v>90</v>
      </c>
      <c r="F31" s="92" t="s">
        <v>91</v>
      </c>
      <c r="G31" s="93" t="s">
        <v>36</v>
      </c>
      <c r="H31" s="94" t="s">
        <v>40</v>
      </c>
      <c r="I31" s="95" t="s">
        <v>92</v>
      </c>
      <c r="J31" s="121" t="s">
        <v>42</v>
      </c>
      <c r="K31" s="121" t="s">
        <v>96</v>
      </c>
      <c r="L31" s="121" t="s">
        <v>44</v>
      </c>
      <c r="M31" s="126" t="s">
        <v>95</v>
      </c>
    </row>
    <row r="32" spans="1:13" x14ac:dyDescent="0.3">
      <c r="B32" s="81">
        <v>0</v>
      </c>
      <c r="C32" s="82">
        <v>0</v>
      </c>
      <c r="D32" s="83">
        <v>1</v>
      </c>
      <c r="E32" s="84">
        <f>EXP(-C32)-C32</f>
        <v>1</v>
      </c>
      <c r="F32" s="85">
        <f>EXP(-D32)-D32</f>
        <v>-0.63212055882855767</v>
      </c>
      <c r="G32" s="86">
        <f>D32-(F32*(C32-D32))/(E32-F32)</f>
        <v>0.61269983678028206</v>
      </c>
      <c r="H32" s="87">
        <f>EXP(-G32)-G32</f>
        <v>-7.0813947873170968E-2</v>
      </c>
      <c r="I32" s="88">
        <f>E32*H32</f>
        <v>-7.0813947873170968E-2</v>
      </c>
      <c r="J32" s="122"/>
      <c r="K32" s="122"/>
      <c r="L32" s="123"/>
      <c r="M32" s="127"/>
    </row>
    <row r="33" spans="2:13" x14ac:dyDescent="0.3">
      <c r="B33" s="75">
        <v>1</v>
      </c>
      <c r="C33" s="9">
        <f>IF(I32&lt;0,C32,G32)</f>
        <v>0</v>
      </c>
      <c r="D33" s="72">
        <f>IF(I32&lt;0,G32,D32)</f>
        <v>0.61269983678028206</v>
      </c>
      <c r="E33" s="78">
        <f>EXP(-C33)-C33</f>
        <v>1</v>
      </c>
      <c r="F33" s="76">
        <f>EXP(-D33)-D33</f>
        <v>-7.0813947873170968E-2</v>
      </c>
      <c r="G33" s="79">
        <f>D33-(F33*(C33-D33))/(E33-F33)</f>
        <v>0.57218141209050755</v>
      </c>
      <c r="H33" s="77">
        <f>EXP(-G33)-G33</f>
        <v>-7.8882728552998049E-3</v>
      </c>
      <c r="I33" s="80">
        <f>E33*H33</f>
        <v>-7.8882728552998049E-3</v>
      </c>
      <c r="J33" s="5">
        <f>ABS(G33-G32)</f>
        <v>4.0518424689774513E-2</v>
      </c>
      <c r="K33" s="5">
        <f>J33/G32</f>
        <v>6.6130953947527604E-2</v>
      </c>
      <c r="L33" s="124">
        <f>K33</f>
        <v>6.6130953947527604E-2</v>
      </c>
      <c r="M33" s="127" t="b">
        <f t="shared" ref="M33:M47" si="1">L33&lt;1*10^(-4)</f>
        <v>0</v>
      </c>
    </row>
    <row r="34" spans="2:13" x14ac:dyDescent="0.3">
      <c r="B34" s="75">
        <v>2</v>
      </c>
      <c r="C34" s="9">
        <f t="shared" ref="C34:C41" si="2">IF(I33&lt;0,C33,G33)</f>
        <v>0</v>
      </c>
      <c r="D34" s="72">
        <f t="shared" ref="D34:D47" si="3">IF(I33&lt;0,G33,D33)</f>
        <v>0.57218141209050755</v>
      </c>
      <c r="E34" s="78">
        <f t="shared" ref="E34:E47" si="4">EXP(-C34)-C34</f>
        <v>1</v>
      </c>
      <c r="F34" s="76">
        <f t="shared" ref="F34:F47" si="5">EXP(-D34)-D34</f>
        <v>-7.8882728552998049E-3</v>
      </c>
      <c r="G34" s="79">
        <f t="shared" ref="G34:G47" si="6">D34-(F34*(C34-D34))/(E34-F34)</f>
        <v>0.56770321423578496</v>
      </c>
      <c r="H34" s="77">
        <f t="shared" ref="H34:H47" si="7">EXP(-G34)-G34</f>
        <v>-8.7739197977232397E-4</v>
      </c>
      <c r="I34" s="80">
        <f t="shared" ref="I34:I47" si="8">E34*H34</f>
        <v>-8.7739197977232397E-4</v>
      </c>
      <c r="J34" s="5">
        <f t="shared" ref="J34:J47" si="9">ABS(G34-G33)</f>
        <v>4.4781978547225876E-3</v>
      </c>
      <c r="K34" s="5">
        <f t="shared" ref="K34:K47" si="10">J34/G33</f>
        <v>7.8265350116166078E-3</v>
      </c>
      <c r="L34" s="124">
        <f t="shared" ref="L34:L47" si="11">K34</f>
        <v>7.8265350116166078E-3</v>
      </c>
      <c r="M34" s="127" t="b">
        <f t="shared" si="1"/>
        <v>0</v>
      </c>
    </row>
    <row r="35" spans="2:13" x14ac:dyDescent="0.3">
      <c r="B35" s="75">
        <v>3</v>
      </c>
      <c r="C35" s="9">
        <f t="shared" si="2"/>
        <v>0</v>
      </c>
      <c r="D35" s="72">
        <f t="shared" si="3"/>
        <v>0.56770321423578496</v>
      </c>
      <c r="E35" s="78">
        <f t="shared" si="4"/>
        <v>1</v>
      </c>
      <c r="F35" s="76">
        <f t="shared" si="5"/>
        <v>-8.7739197977232397E-4</v>
      </c>
      <c r="G35" s="79">
        <f t="shared" si="6"/>
        <v>0.56720555263302241</v>
      </c>
      <c r="H35" s="77">
        <f t="shared" si="7"/>
        <v>-9.7572726127648224E-5</v>
      </c>
      <c r="I35" s="80">
        <f t="shared" si="8"/>
        <v>-9.7572726127648224E-5</v>
      </c>
      <c r="J35" s="5">
        <f t="shared" si="9"/>
        <v>4.9766160276254467E-4</v>
      </c>
      <c r="K35" s="5">
        <f t="shared" si="10"/>
        <v>8.7662283792504681E-4</v>
      </c>
      <c r="L35" s="124">
        <f t="shared" si="11"/>
        <v>8.7662283792504681E-4</v>
      </c>
      <c r="M35" s="127" t="b">
        <f t="shared" si="1"/>
        <v>0</v>
      </c>
    </row>
    <row r="36" spans="2:13" x14ac:dyDescent="0.3">
      <c r="B36" s="74">
        <v>4</v>
      </c>
      <c r="C36" s="73">
        <f t="shared" si="2"/>
        <v>0</v>
      </c>
      <c r="D36" s="115">
        <f t="shared" si="3"/>
        <v>0.56720555263302241</v>
      </c>
      <c r="E36" s="116">
        <f t="shared" si="4"/>
        <v>1</v>
      </c>
      <c r="F36" s="117">
        <f t="shared" si="5"/>
        <v>-9.7572726127648224E-5</v>
      </c>
      <c r="G36" s="118">
        <f t="shared" si="6"/>
        <v>0.56715021424049505</v>
      </c>
      <c r="H36" s="119">
        <f t="shared" si="7"/>
        <v>-1.0850621248725822E-5</v>
      </c>
      <c r="I36" s="120">
        <f t="shared" si="8"/>
        <v>-1.0850621248725822E-5</v>
      </c>
      <c r="J36" s="125">
        <f t="shared" si="9"/>
        <v>5.5338392527359836E-5</v>
      </c>
      <c r="K36" s="125">
        <f t="shared" si="10"/>
        <v>9.7563206619670294E-5</v>
      </c>
      <c r="L36" s="142">
        <f t="shared" si="11"/>
        <v>9.7563206619670294E-5</v>
      </c>
      <c r="M36" s="128" t="b">
        <f t="shared" si="1"/>
        <v>1</v>
      </c>
    </row>
    <row r="37" spans="2:13" x14ac:dyDescent="0.3">
      <c r="B37" s="130">
        <v>5</v>
      </c>
      <c r="C37" s="131">
        <f t="shared" si="2"/>
        <v>0</v>
      </c>
      <c r="D37" s="132">
        <f t="shared" si="3"/>
        <v>0.56715021424049505</v>
      </c>
      <c r="E37" s="234">
        <f t="shared" si="4"/>
        <v>1</v>
      </c>
      <c r="F37" s="235">
        <f t="shared" si="5"/>
        <v>-1.0850621248725822E-5</v>
      </c>
      <c r="G37" s="134">
        <f t="shared" si="6"/>
        <v>0.56714406037510245</v>
      </c>
      <c r="H37" s="236">
        <f t="shared" si="7"/>
        <v>-1.2066458147108605E-6</v>
      </c>
      <c r="I37" s="136">
        <f t="shared" si="8"/>
        <v>-1.2066458147108605E-6</v>
      </c>
      <c r="J37" s="137">
        <f t="shared" si="9"/>
        <v>6.1538653925996556E-6</v>
      </c>
      <c r="K37" s="137">
        <f t="shared" si="10"/>
        <v>1.0850503514030523E-5</v>
      </c>
      <c r="L37" s="138">
        <f t="shared" si="11"/>
        <v>1.0850503514030523E-5</v>
      </c>
      <c r="M37" s="139" t="b">
        <f t="shared" si="1"/>
        <v>1</v>
      </c>
    </row>
    <row r="38" spans="2:13" x14ac:dyDescent="0.3">
      <c r="B38" s="75">
        <v>6</v>
      </c>
      <c r="C38" s="9">
        <f t="shared" si="2"/>
        <v>0</v>
      </c>
      <c r="D38" s="72">
        <f t="shared" si="3"/>
        <v>0.56714406037510245</v>
      </c>
      <c r="E38" s="78">
        <f t="shared" si="4"/>
        <v>1</v>
      </c>
      <c r="F38" s="76">
        <f t="shared" si="5"/>
        <v>-1.2066458147108605E-6</v>
      </c>
      <c r="G38" s="79">
        <f t="shared" si="6"/>
        <v>0.5671433760339214</v>
      </c>
      <c r="H38" s="77">
        <f t="shared" si="7"/>
        <v>-1.3418529054565198E-7</v>
      </c>
      <c r="I38" s="80">
        <f t="shared" si="8"/>
        <v>-1.3418529054565198E-7</v>
      </c>
      <c r="J38" s="5">
        <f t="shared" si="9"/>
        <v>6.8434118105642483E-7</v>
      </c>
      <c r="K38" s="5">
        <f t="shared" si="10"/>
        <v>1.206644358760999E-6</v>
      </c>
      <c r="L38" s="124">
        <f t="shared" si="11"/>
        <v>1.206644358760999E-6</v>
      </c>
      <c r="M38" s="127" t="b">
        <f t="shared" si="1"/>
        <v>1</v>
      </c>
    </row>
    <row r="39" spans="2:13" x14ac:dyDescent="0.3">
      <c r="B39" s="75">
        <v>7</v>
      </c>
      <c r="C39" s="9">
        <f t="shared" si="2"/>
        <v>0</v>
      </c>
      <c r="D39" s="72">
        <f t="shared" si="3"/>
        <v>0.5671433760339214</v>
      </c>
      <c r="E39" s="78">
        <f t="shared" si="4"/>
        <v>1</v>
      </c>
      <c r="F39" s="76">
        <f t="shared" si="5"/>
        <v>-1.3418529054565198E-7</v>
      </c>
      <c r="G39" s="79">
        <f t="shared" si="6"/>
        <v>0.56714329993163293</v>
      </c>
      <c r="H39" s="77">
        <f t="shared" si="7"/>
        <v>-1.4922101776448926E-8</v>
      </c>
      <c r="I39" s="80">
        <f t="shared" si="8"/>
        <v>-1.4922101776448926E-8</v>
      </c>
      <c r="J39" s="5">
        <f t="shared" si="9"/>
        <v>7.6102288470991653E-8</v>
      </c>
      <c r="K39" s="5">
        <f t="shared" si="10"/>
        <v>1.3418527251994195E-7</v>
      </c>
      <c r="L39" s="124">
        <f t="shared" si="11"/>
        <v>1.3418527251994195E-7</v>
      </c>
      <c r="M39" s="127" t="b">
        <f t="shared" si="1"/>
        <v>1</v>
      </c>
    </row>
    <row r="40" spans="2:13" x14ac:dyDescent="0.3">
      <c r="B40" s="75">
        <v>8</v>
      </c>
      <c r="C40" s="9">
        <f t="shared" si="2"/>
        <v>0</v>
      </c>
      <c r="D40" s="72">
        <f t="shared" si="3"/>
        <v>0.56714329993163293</v>
      </c>
      <c r="E40" s="78">
        <f t="shared" si="4"/>
        <v>1</v>
      </c>
      <c r="F40" s="76">
        <f t="shared" si="5"/>
        <v>-1.4922101776448926E-8</v>
      </c>
      <c r="G40" s="79">
        <f t="shared" si="6"/>
        <v>0.56714329146866305</v>
      </c>
      <c r="H40" s="77">
        <f t="shared" si="7"/>
        <v>-1.6594153828819458E-9</v>
      </c>
      <c r="I40" s="80">
        <f t="shared" si="8"/>
        <v>-1.6594153828819458E-9</v>
      </c>
      <c r="J40" s="5">
        <f t="shared" si="9"/>
        <v>8.4629698804405962E-9</v>
      </c>
      <c r="K40" s="5">
        <f t="shared" si="10"/>
        <v>1.4922101489095924E-8</v>
      </c>
      <c r="L40" s="124">
        <f t="shared" si="11"/>
        <v>1.4922101489095924E-8</v>
      </c>
      <c r="M40" s="127" t="b">
        <f t="shared" si="1"/>
        <v>1</v>
      </c>
    </row>
    <row r="41" spans="2:13" x14ac:dyDescent="0.3">
      <c r="B41" s="75">
        <v>9</v>
      </c>
      <c r="C41" s="9">
        <f t="shared" si="2"/>
        <v>0</v>
      </c>
      <c r="D41" s="72">
        <f t="shared" si="3"/>
        <v>0.56714329146866305</v>
      </c>
      <c r="E41" s="78">
        <f t="shared" si="4"/>
        <v>1</v>
      </c>
      <c r="F41" s="76">
        <f t="shared" si="5"/>
        <v>-1.6594153828819458E-9</v>
      </c>
      <c r="G41" s="79">
        <f t="shared" si="6"/>
        <v>0.56714329052753676</v>
      </c>
      <c r="H41" s="77">
        <f t="shared" si="7"/>
        <v>-1.8453560901576793E-10</v>
      </c>
      <c r="I41" s="80">
        <f t="shared" si="8"/>
        <v>-1.8453560901576793E-10</v>
      </c>
      <c r="J41" s="5">
        <f t="shared" si="9"/>
        <v>9.411262880121285E-10</v>
      </c>
      <c r="K41" s="5">
        <f t="shared" si="10"/>
        <v>1.6594153579336299E-9</v>
      </c>
      <c r="L41" s="124">
        <f t="shared" si="11"/>
        <v>1.6594153579336299E-9</v>
      </c>
      <c r="M41" s="127" t="b">
        <f t="shared" si="1"/>
        <v>1</v>
      </c>
    </row>
    <row r="42" spans="2:13" x14ac:dyDescent="0.3">
      <c r="B42" s="75">
        <v>10</v>
      </c>
      <c r="C42" s="9">
        <f>IF(I41&lt;0,C41,G41)</f>
        <v>0</v>
      </c>
      <c r="D42" s="72">
        <f t="shared" si="3"/>
        <v>0.56714329052753676</v>
      </c>
      <c r="E42" s="78">
        <f t="shared" si="4"/>
        <v>1</v>
      </c>
      <c r="F42" s="76">
        <f t="shared" si="5"/>
        <v>-1.8453560901576793E-10</v>
      </c>
      <c r="G42" s="79">
        <f t="shared" si="6"/>
        <v>0.56714329042287859</v>
      </c>
      <c r="H42" s="77">
        <f t="shared" si="7"/>
        <v>-2.0521251364868931E-11</v>
      </c>
      <c r="I42" s="80">
        <f t="shared" si="8"/>
        <v>-2.0521251364868931E-11</v>
      </c>
      <c r="J42" s="5">
        <f t="shared" si="9"/>
        <v>1.0465817101845687E-10</v>
      </c>
      <c r="K42" s="5">
        <f t="shared" si="10"/>
        <v>1.845356769029349E-10</v>
      </c>
      <c r="L42" s="124">
        <f t="shared" si="11"/>
        <v>1.845356769029349E-10</v>
      </c>
      <c r="M42" s="127" t="b">
        <f t="shared" si="1"/>
        <v>1</v>
      </c>
    </row>
    <row r="43" spans="2:13" x14ac:dyDescent="0.3">
      <c r="B43" s="75">
        <v>11</v>
      </c>
      <c r="C43" s="9">
        <f t="shared" ref="C43:C47" si="12">IF(I42&lt;0,C42,G42)</f>
        <v>0</v>
      </c>
      <c r="D43" s="72">
        <f t="shared" si="3"/>
        <v>0.56714329042287859</v>
      </c>
      <c r="E43" s="78">
        <f t="shared" si="4"/>
        <v>1</v>
      </c>
      <c r="F43" s="76">
        <f t="shared" si="5"/>
        <v>-2.0521251364868931E-11</v>
      </c>
      <c r="G43" s="79">
        <f t="shared" si="6"/>
        <v>0.56714329041124012</v>
      </c>
      <c r="H43" s="77">
        <f t="shared" si="7"/>
        <v>-2.2821744494194718E-12</v>
      </c>
      <c r="I43" s="80">
        <f t="shared" si="8"/>
        <v>-2.2821744494194718E-12</v>
      </c>
      <c r="J43" s="5">
        <f t="shared" si="9"/>
        <v>1.1638467967145516E-11</v>
      </c>
      <c r="K43" s="5">
        <f t="shared" si="10"/>
        <v>2.0521212476070262E-11</v>
      </c>
      <c r="L43" s="124">
        <f t="shared" si="11"/>
        <v>2.0521212476070262E-11</v>
      </c>
      <c r="M43" s="127" t="b">
        <f t="shared" si="1"/>
        <v>1</v>
      </c>
    </row>
    <row r="44" spans="2:13" x14ac:dyDescent="0.3">
      <c r="B44" s="75">
        <v>12</v>
      </c>
      <c r="C44" s="9">
        <f t="shared" si="12"/>
        <v>0</v>
      </c>
      <c r="D44" s="72">
        <f t="shared" si="3"/>
        <v>0.56714329041124012</v>
      </c>
      <c r="E44" s="78">
        <f t="shared" si="4"/>
        <v>1</v>
      </c>
      <c r="F44" s="76">
        <f t="shared" si="5"/>
        <v>-2.2821744494194718E-12</v>
      </c>
      <c r="G44" s="79">
        <f t="shared" si="6"/>
        <v>0.56714329040994582</v>
      </c>
      <c r="H44" s="77">
        <f t="shared" si="7"/>
        <v>-2.5379698342931079E-13</v>
      </c>
      <c r="I44" s="80">
        <f t="shared" si="8"/>
        <v>-2.5379698342931079E-13</v>
      </c>
      <c r="J44" s="5">
        <f t="shared" si="9"/>
        <v>1.2942980021080075E-12</v>
      </c>
      <c r="K44" s="5">
        <f t="shared" si="10"/>
        <v>2.2821357917670183E-12</v>
      </c>
      <c r="L44" s="124">
        <f t="shared" si="11"/>
        <v>2.2821357917670183E-12</v>
      </c>
      <c r="M44" s="127" t="b">
        <f t="shared" si="1"/>
        <v>1</v>
      </c>
    </row>
    <row r="45" spans="2:13" x14ac:dyDescent="0.3">
      <c r="B45" s="75">
        <v>13</v>
      </c>
      <c r="C45" s="9">
        <f t="shared" si="12"/>
        <v>0</v>
      </c>
      <c r="D45" s="72">
        <f t="shared" si="3"/>
        <v>0.56714329040994582</v>
      </c>
      <c r="E45" s="78">
        <f t="shared" si="4"/>
        <v>1</v>
      </c>
      <c r="F45" s="76">
        <f t="shared" si="5"/>
        <v>-2.5379698342931079E-13</v>
      </c>
      <c r="G45" s="79">
        <f t="shared" si="6"/>
        <v>0.56714329040980194</v>
      </c>
      <c r="H45" s="77">
        <f t="shared" si="7"/>
        <v>-2.8310687127941492E-14</v>
      </c>
      <c r="I45" s="80">
        <f t="shared" si="8"/>
        <v>-2.8310687127941492E-14</v>
      </c>
      <c r="J45" s="5">
        <f t="shared" si="9"/>
        <v>1.4388490399142029E-13</v>
      </c>
      <c r="K45" s="5">
        <f t="shared" si="10"/>
        <v>2.5370114823613017E-13</v>
      </c>
      <c r="L45" s="124">
        <f t="shared" si="11"/>
        <v>2.5370114823613017E-13</v>
      </c>
      <c r="M45" s="127" t="b">
        <f t="shared" si="1"/>
        <v>1</v>
      </c>
    </row>
    <row r="46" spans="2:13" x14ac:dyDescent="0.3">
      <c r="B46" s="75">
        <v>14</v>
      </c>
      <c r="C46" s="9">
        <f t="shared" si="12"/>
        <v>0</v>
      </c>
      <c r="D46" s="72">
        <f t="shared" si="3"/>
        <v>0.56714329040980194</v>
      </c>
      <c r="E46" s="78">
        <f t="shared" si="4"/>
        <v>1</v>
      </c>
      <c r="F46" s="76">
        <f t="shared" si="5"/>
        <v>-2.8310687127941492E-14</v>
      </c>
      <c r="G46" s="79">
        <f t="shared" si="6"/>
        <v>0.56714329040978584</v>
      </c>
      <c r="H46" s="77">
        <f t="shared" si="7"/>
        <v>-3.1086244689504383E-15</v>
      </c>
      <c r="I46" s="80">
        <f t="shared" si="8"/>
        <v>-3.1086244689504383E-15</v>
      </c>
      <c r="J46" s="5">
        <f t="shared" si="9"/>
        <v>1.609823385706477E-14</v>
      </c>
      <c r="K46" s="5">
        <f t="shared" si="10"/>
        <v>2.8384773529512505E-14</v>
      </c>
      <c r="L46" s="124">
        <f t="shared" si="11"/>
        <v>2.8384773529512505E-14</v>
      </c>
      <c r="M46" s="127" t="b">
        <f t="shared" si="1"/>
        <v>1</v>
      </c>
    </row>
    <row r="47" spans="2:13" x14ac:dyDescent="0.3">
      <c r="B47" s="75">
        <v>15</v>
      </c>
      <c r="C47" s="9">
        <f t="shared" si="12"/>
        <v>0</v>
      </c>
      <c r="D47" s="72">
        <f t="shared" si="3"/>
        <v>0.56714329040978584</v>
      </c>
      <c r="E47" s="78">
        <f t="shared" si="4"/>
        <v>1</v>
      </c>
      <c r="F47" s="76">
        <f t="shared" si="5"/>
        <v>-3.1086244689504383E-15</v>
      </c>
      <c r="G47" s="79">
        <f t="shared" si="6"/>
        <v>0.56714329040978406</v>
      </c>
      <c r="H47" s="77">
        <f t="shared" si="7"/>
        <v>0</v>
      </c>
      <c r="I47" s="80">
        <f t="shared" si="8"/>
        <v>0</v>
      </c>
      <c r="J47" s="5">
        <f t="shared" si="9"/>
        <v>1.7763568394002505E-15</v>
      </c>
      <c r="K47" s="5">
        <f t="shared" si="10"/>
        <v>3.1321129411876756E-15</v>
      </c>
      <c r="L47" s="124">
        <f t="shared" si="11"/>
        <v>3.1321129411876756E-15</v>
      </c>
      <c r="M47" s="127" t="b">
        <f t="shared" si="1"/>
        <v>1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46"/>
  <sheetViews>
    <sheetView workbookViewId="0">
      <pane ySplit="1" topLeftCell="A11" activePane="bottomLeft" state="frozen"/>
      <selection pane="bottomLeft" activeCell="B18" sqref="B18"/>
    </sheetView>
  </sheetViews>
  <sheetFormatPr baseColWidth="10" defaultColWidth="11.44140625" defaultRowHeight="14.4" x14ac:dyDescent="0.3"/>
  <cols>
    <col min="1" max="2" width="11.44140625" style="56"/>
    <col min="3" max="3" width="12.109375" style="56" bestFit="1" customWidth="1"/>
    <col min="4" max="4" width="24.88671875" style="56" bestFit="1" customWidth="1"/>
    <col min="5" max="5" width="23.88671875" style="56" bestFit="1" customWidth="1"/>
    <col min="6" max="6" width="13.88671875" style="56" customWidth="1"/>
    <col min="7" max="7" width="13" style="56" customWidth="1"/>
    <col min="8" max="16384" width="11.44140625" style="56"/>
  </cols>
  <sheetData>
    <row r="1" spans="1:14" s="61" customFormat="1" ht="28.8" x14ac:dyDescent="0.55000000000000004">
      <c r="A1" s="610" t="s">
        <v>61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4" ht="15" thickBot="1" x14ac:dyDescent="0.35">
      <c r="B2"/>
      <c r="C2" t="s">
        <v>54</v>
      </c>
      <c r="D2"/>
      <c r="E2"/>
      <c r="F2"/>
      <c r="G2"/>
      <c r="H2"/>
      <c r="I2"/>
    </row>
    <row r="3" spans="1:14" ht="15" thickBot="1" x14ac:dyDescent="0.35">
      <c r="B3" s="52" t="s">
        <v>30</v>
      </c>
      <c r="C3" s="53" t="s">
        <v>54</v>
      </c>
      <c r="D3"/>
      <c r="E3"/>
      <c r="F3"/>
      <c r="G3"/>
      <c r="H3"/>
      <c r="I3"/>
    </row>
    <row r="4" spans="1:14" x14ac:dyDescent="0.3">
      <c r="B4" s="143">
        <v>-5</v>
      </c>
      <c r="C4" s="144">
        <f>((B4)^10)-1</f>
        <v>9765624</v>
      </c>
      <c r="D4"/>
      <c r="E4"/>
      <c r="F4"/>
      <c r="G4"/>
      <c r="H4"/>
      <c r="I4"/>
    </row>
    <row r="5" spans="1:14" x14ac:dyDescent="0.3">
      <c r="B5" s="145">
        <v>-4</v>
      </c>
      <c r="C5" s="144">
        <f t="shared" ref="C5:C14" si="0">((B5)^10)-1</f>
        <v>1048575</v>
      </c>
      <c r="D5"/>
      <c r="E5"/>
      <c r="F5"/>
      <c r="G5"/>
      <c r="H5"/>
      <c r="I5"/>
    </row>
    <row r="6" spans="1:14" x14ac:dyDescent="0.3">
      <c r="B6" s="145">
        <v>-3</v>
      </c>
      <c r="C6" s="144">
        <f t="shared" si="0"/>
        <v>59048</v>
      </c>
      <c r="D6"/>
      <c r="E6"/>
      <c r="F6"/>
      <c r="G6"/>
      <c r="H6"/>
      <c r="I6"/>
    </row>
    <row r="7" spans="1:14" x14ac:dyDescent="0.3">
      <c r="B7" s="145">
        <v>-2</v>
      </c>
      <c r="C7" s="144">
        <f t="shared" si="0"/>
        <v>1023</v>
      </c>
      <c r="D7"/>
      <c r="E7"/>
      <c r="F7"/>
      <c r="G7"/>
      <c r="H7"/>
      <c r="I7"/>
    </row>
    <row r="8" spans="1:14" x14ac:dyDescent="0.3">
      <c r="B8" s="145">
        <v>-1</v>
      </c>
      <c r="C8" s="144">
        <f t="shared" si="0"/>
        <v>0</v>
      </c>
      <c r="D8"/>
      <c r="E8"/>
      <c r="F8"/>
      <c r="G8"/>
      <c r="H8"/>
      <c r="I8"/>
    </row>
    <row r="9" spans="1:14" x14ac:dyDescent="0.3">
      <c r="B9" s="145">
        <v>0</v>
      </c>
      <c r="C9" s="144">
        <f t="shared" si="0"/>
        <v>-1</v>
      </c>
      <c r="D9"/>
      <c r="E9"/>
      <c r="F9"/>
      <c r="G9"/>
      <c r="H9"/>
      <c r="I9"/>
    </row>
    <row r="10" spans="1:14" x14ac:dyDescent="0.3">
      <c r="B10" s="145">
        <v>1</v>
      </c>
      <c r="C10" s="144">
        <f t="shared" si="0"/>
        <v>0</v>
      </c>
      <c r="D10"/>
      <c r="E10"/>
      <c r="F10"/>
      <c r="G10"/>
      <c r="H10"/>
      <c r="I10"/>
    </row>
    <row r="11" spans="1:14" x14ac:dyDescent="0.3">
      <c r="B11" s="145">
        <v>2</v>
      </c>
      <c r="C11" s="144">
        <f t="shared" si="0"/>
        <v>1023</v>
      </c>
      <c r="D11"/>
      <c r="E11"/>
      <c r="F11"/>
      <c r="G11"/>
      <c r="H11"/>
      <c r="I11"/>
    </row>
    <row r="12" spans="1:14" x14ac:dyDescent="0.3">
      <c r="B12" s="145">
        <v>3</v>
      </c>
      <c r="C12" s="144">
        <f t="shared" si="0"/>
        <v>59048</v>
      </c>
      <c r="D12"/>
      <c r="E12"/>
      <c r="F12"/>
      <c r="G12"/>
      <c r="H12"/>
      <c r="I12"/>
    </row>
    <row r="13" spans="1:14" x14ac:dyDescent="0.3">
      <c r="B13" s="145">
        <v>4</v>
      </c>
      <c r="C13" s="144">
        <f t="shared" si="0"/>
        <v>1048575</v>
      </c>
      <c r="D13"/>
      <c r="E13"/>
      <c r="F13"/>
      <c r="G13"/>
      <c r="H13"/>
      <c r="I13"/>
    </row>
    <row r="14" spans="1:14" ht="15" thickBot="1" x14ac:dyDescent="0.35">
      <c r="B14" s="146">
        <v>5</v>
      </c>
      <c r="C14" s="144">
        <f t="shared" si="0"/>
        <v>9765624</v>
      </c>
      <c r="D14"/>
      <c r="E14"/>
      <c r="F14"/>
      <c r="G14"/>
      <c r="H14"/>
      <c r="I14"/>
    </row>
    <row r="17" spans="2:7" x14ac:dyDescent="0.3">
      <c r="B17" s="56" t="s">
        <v>54</v>
      </c>
      <c r="C17" s="191" t="s">
        <v>100</v>
      </c>
    </row>
    <row r="18" spans="2:7" x14ac:dyDescent="0.3">
      <c r="B18" s="191" t="s">
        <v>55</v>
      </c>
    </row>
    <row r="20" spans="2:7" ht="15" thickBot="1" x14ac:dyDescent="0.35">
      <c r="G20" s="56">
        <v>1</v>
      </c>
    </row>
    <row r="21" spans="2:7" ht="15" thickBot="1" x14ac:dyDescent="0.35">
      <c r="B21" s="172" t="s">
        <v>56</v>
      </c>
      <c r="C21" s="173" t="s">
        <v>57</v>
      </c>
      <c r="D21" s="174" t="s">
        <v>58</v>
      </c>
      <c r="E21" s="173" t="s">
        <v>59</v>
      </c>
      <c r="F21" s="175" t="s">
        <v>36</v>
      </c>
      <c r="G21" s="176" t="s">
        <v>95</v>
      </c>
    </row>
    <row r="22" spans="2:7" ht="15.6" x14ac:dyDescent="0.3">
      <c r="B22" s="150">
        <v>0</v>
      </c>
      <c r="C22" s="151">
        <v>0.5</v>
      </c>
      <c r="D22" s="152">
        <f>(C22^10)-1</f>
        <v>-0.9990234375</v>
      </c>
      <c r="E22" s="151">
        <f>10*(C22^9)</f>
        <v>1.953125E-2</v>
      </c>
      <c r="F22" s="153">
        <f>C22-(D22/E22)</f>
        <v>51.65</v>
      </c>
      <c r="G22" s="177" t="b">
        <f>F22=G$20</f>
        <v>0</v>
      </c>
    </row>
    <row r="23" spans="2:7" ht="15.6" x14ac:dyDescent="0.3">
      <c r="B23" s="154">
        <v>1</v>
      </c>
      <c r="C23" s="155">
        <f>F22</f>
        <v>51.65</v>
      </c>
      <c r="D23" s="156">
        <f t="shared" ref="D23:D46" si="1">(C23^10)-1</f>
        <v>1.351149044839137E+17</v>
      </c>
      <c r="E23" s="155">
        <f t="shared" ref="E23:E34" si="2">10*(C23^9)</f>
        <v>2.6159710451871E+16</v>
      </c>
      <c r="F23" s="157">
        <f t="shared" ref="F23:F34" si="3">C23-(D23/E23)</f>
        <v>46.484999999999999</v>
      </c>
      <c r="G23" s="177" t="b">
        <f t="shared" ref="G23:G42" si="4">F23=G$20</f>
        <v>0</v>
      </c>
    </row>
    <row r="24" spans="2:7" ht="15.6" x14ac:dyDescent="0.3">
      <c r="B24" s="154">
        <v>2</v>
      </c>
      <c r="C24" s="155">
        <f t="shared" ref="C24:C34" si="5">F23</f>
        <v>46.484999999999999</v>
      </c>
      <c r="D24" s="156">
        <f t="shared" si="1"/>
        <v>4.711165412971152E+16</v>
      </c>
      <c r="E24" s="155">
        <f t="shared" si="2"/>
        <v>1.0134807815362272E+16</v>
      </c>
      <c r="F24" s="157">
        <f t="shared" si="3"/>
        <v>41.836500000000001</v>
      </c>
      <c r="G24" s="177" t="b">
        <f t="shared" si="4"/>
        <v>0</v>
      </c>
    </row>
    <row r="25" spans="2:7" ht="15.6" x14ac:dyDescent="0.3">
      <c r="B25" s="154">
        <v>3</v>
      </c>
      <c r="C25" s="155">
        <f t="shared" si="5"/>
        <v>41.836500000000001</v>
      </c>
      <c r="D25" s="156">
        <f t="shared" si="1"/>
        <v>1.6426818072478536E+16</v>
      </c>
      <c r="E25" s="155">
        <f t="shared" si="2"/>
        <v>3926432199748674</v>
      </c>
      <c r="F25" s="157">
        <f>C25-(D25/E25)</f>
        <v>37.652850000000001</v>
      </c>
      <c r="G25" s="177" t="b">
        <f t="shared" si="4"/>
        <v>0</v>
      </c>
    </row>
    <row r="26" spans="2:7" ht="15.6" x14ac:dyDescent="0.3">
      <c r="B26" s="154">
        <v>4</v>
      </c>
      <c r="C26" s="155">
        <f t="shared" si="5"/>
        <v>37.652850000000001</v>
      </c>
      <c r="D26" s="156">
        <f t="shared" si="1"/>
        <v>5727677301318306</v>
      </c>
      <c r="E26" s="155">
        <f t="shared" si="2"/>
        <v>1521180282851977.3</v>
      </c>
      <c r="F26" s="157">
        <f t="shared" si="3"/>
        <v>33.887565000000002</v>
      </c>
      <c r="G26" s="177" t="b">
        <f t="shared" si="4"/>
        <v>0</v>
      </c>
    </row>
    <row r="27" spans="2:7" ht="15.6" x14ac:dyDescent="0.3">
      <c r="B27" s="154">
        <v>5</v>
      </c>
      <c r="C27" s="155">
        <f t="shared" si="5"/>
        <v>33.887565000000002</v>
      </c>
      <c r="D27" s="156">
        <f t="shared" si="1"/>
        <v>1997117586819845.3</v>
      </c>
      <c r="E27" s="155">
        <f t="shared" si="2"/>
        <v>589336409039671.63</v>
      </c>
      <c r="F27" s="157">
        <f>C27-(D27/E27)</f>
        <v>30.498808500000003</v>
      </c>
      <c r="G27" s="177" t="b">
        <f t="shared" si="4"/>
        <v>0</v>
      </c>
    </row>
    <row r="28" spans="2:7" ht="15.6" x14ac:dyDescent="0.3">
      <c r="B28" s="154">
        <v>6</v>
      </c>
      <c r="C28" s="155">
        <f t="shared" si="5"/>
        <v>30.498808500000003</v>
      </c>
      <c r="D28" s="156">
        <f t="shared" si="1"/>
        <v>696351844868619.5</v>
      </c>
      <c r="E28" s="155">
        <f t="shared" si="2"/>
        <v>228320999775653.69</v>
      </c>
      <c r="F28" s="157">
        <f t="shared" si="3"/>
        <v>27.448927650000009</v>
      </c>
      <c r="G28" s="177" t="b">
        <f t="shared" si="4"/>
        <v>0</v>
      </c>
    </row>
    <row r="29" spans="2:7" ht="15.6" x14ac:dyDescent="0.3">
      <c r="B29" s="154">
        <v>7</v>
      </c>
      <c r="C29" s="155">
        <f t="shared" si="5"/>
        <v>27.448927650000009</v>
      </c>
      <c r="D29" s="156">
        <f t="shared" si="1"/>
        <v>242802875029547.38</v>
      </c>
      <c r="E29" s="155">
        <f t="shared" si="2"/>
        <v>88456233382052.828</v>
      </c>
      <c r="F29" s="157">
        <f t="shared" si="3"/>
        <v>24.70403488500002</v>
      </c>
      <c r="G29" s="177" t="b">
        <f t="shared" si="4"/>
        <v>0</v>
      </c>
    </row>
    <row r="30" spans="2:7" ht="15.6" x14ac:dyDescent="0.3">
      <c r="B30" s="154">
        <v>8</v>
      </c>
      <c r="C30" s="155">
        <f t="shared" si="5"/>
        <v>24.70403488500002</v>
      </c>
      <c r="D30" s="156">
        <f t="shared" si="1"/>
        <v>84660127717097.547</v>
      </c>
      <c r="E30" s="155">
        <f t="shared" si="2"/>
        <v>34269757191973.168</v>
      </c>
      <c r="F30" s="157">
        <f t="shared" si="3"/>
        <v>22.233631396500048</v>
      </c>
      <c r="G30" s="177" t="b">
        <f t="shared" si="4"/>
        <v>0</v>
      </c>
    </row>
    <row r="31" spans="2:7" ht="15.6" x14ac:dyDescent="0.3">
      <c r="B31" s="154">
        <v>9</v>
      </c>
      <c r="C31" s="155">
        <f t="shared" si="5"/>
        <v>22.233631396500048</v>
      </c>
      <c r="D31" s="156">
        <f t="shared" si="1"/>
        <v>29519161271064.105</v>
      </c>
      <c r="E31" s="155">
        <f t="shared" si="2"/>
        <v>13276806089225.68</v>
      </c>
      <c r="F31" s="157">
        <f t="shared" si="3"/>
        <v>20.010268256850118</v>
      </c>
      <c r="G31" s="177" t="b">
        <f t="shared" si="4"/>
        <v>0</v>
      </c>
    </row>
    <row r="32" spans="2:7" ht="15.6" x14ac:dyDescent="0.3">
      <c r="B32" s="154">
        <v>10</v>
      </c>
      <c r="C32" s="155">
        <f t="shared" si="5"/>
        <v>20.010268256850118</v>
      </c>
      <c r="D32" s="156">
        <f t="shared" si="1"/>
        <v>10292695105054.697</v>
      </c>
      <c r="E32" s="155">
        <f t="shared" si="2"/>
        <v>5143706707446.1621</v>
      </c>
      <c r="F32" s="157">
        <f t="shared" si="3"/>
        <v>18.0092414311653</v>
      </c>
      <c r="G32" s="177" t="b">
        <f t="shared" si="4"/>
        <v>0</v>
      </c>
    </row>
    <row r="33" spans="2:7" ht="15.6" x14ac:dyDescent="0.3">
      <c r="B33" s="154">
        <v>11</v>
      </c>
      <c r="C33" s="155">
        <f t="shared" si="5"/>
        <v>18.0092414311653</v>
      </c>
      <c r="D33" s="156">
        <f t="shared" si="1"/>
        <v>3588840873655.1138</v>
      </c>
      <c r="E33" s="155">
        <f t="shared" si="2"/>
        <v>1992777367871.5659</v>
      </c>
      <c r="F33" s="157">
        <f t="shared" si="3"/>
        <v>16.208317288049273</v>
      </c>
      <c r="G33" s="177" t="b">
        <f t="shared" si="4"/>
        <v>0</v>
      </c>
    </row>
    <row r="34" spans="2:7" ht="15.6" x14ac:dyDescent="0.3">
      <c r="B34" s="154">
        <v>12</v>
      </c>
      <c r="C34" s="155">
        <f t="shared" si="5"/>
        <v>16.208317288049273</v>
      </c>
      <c r="D34" s="156">
        <f t="shared" si="1"/>
        <v>1251351437592.9221</v>
      </c>
      <c r="E34" s="155">
        <f t="shared" si="2"/>
        <v>772042782329.1499</v>
      </c>
      <c r="F34" s="157">
        <f t="shared" si="3"/>
        <v>14.587485559245641</v>
      </c>
      <c r="G34" s="177" t="b">
        <f t="shared" si="4"/>
        <v>0</v>
      </c>
    </row>
    <row r="35" spans="2:7" ht="15.6" x14ac:dyDescent="0.3">
      <c r="B35" s="154">
        <v>13</v>
      </c>
      <c r="C35" s="158">
        <v>1.5</v>
      </c>
      <c r="D35" s="159">
        <f>(C35^10)-1</f>
        <v>56.6650390625</v>
      </c>
      <c r="E35" s="158">
        <f>10*(C35^9)</f>
        <v>384.43359375</v>
      </c>
      <c r="F35" s="160">
        <f>C35-(D35/E35)</f>
        <v>1.3526012294873748</v>
      </c>
      <c r="G35" s="177" t="b">
        <f t="shared" si="4"/>
        <v>0</v>
      </c>
    </row>
    <row r="36" spans="2:7" ht="15.6" x14ac:dyDescent="0.3">
      <c r="B36" s="154">
        <v>14</v>
      </c>
      <c r="C36" s="155">
        <f>F35</f>
        <v>1.3526012294873748</v>
      </c>
      <c r="D36" s="156">
        <f t="shared" si="1"/>
        <v>19.497352908464954</v>
      </c>
      <c r="E36" s="155">
        <f t="shared" ref="E36:E46" si="6">10*(C36^9)</f>
        <v>151.54025045676835</v>
      </c>
      <c r="F36" s="157">
        <f t="shared" ref="F36:F46" si="7">C36-(D36/E36)</f>
        <v>1.2239400134098206</v>
      </c>
      <c r="G36" s="177" t="b">
        <f t="shared" si="4"/>
        <v>0</v>
      </c>
    </row>
    <row r="37" spans="2:7" ht="15.6" x14ac:dyDescent="0.3">
      <c r="B37" s="154">
        <v>15</v>
      </c>
      <c r="C37" s="155">
        <f t="shared" ref="C37:C46" si="8">F36</f>
        <v>1.2239400134098206</v>
      </c>
      <c r="D37" s="156">
        <f t="shared" si="1"/>
        <v>6.543993942468278</v>
      </c>
      <c r="E37" s="155">
        <f t="shared" si="6"/>
        <v>61.636958182706856</v>
      </c>
      <c r="F37" s="157">
        <f t="shared" si="7"/>
        <v>1.1177700443618626</v>
      </c>
      <c r="G37" s="177" t="b">
        <f t="shared" si="4"/>
        <v>0</v>
      </c>
    </row>
    <row r="38" spans="2:7" ht="15.6" x14ac:dyDescent="0.3">
      <c r="B38" s="154">
        <v>16</v>
      </c>
      <c r="C38" s="155">
        <f t="shared" si="8"/>
        <v>1.1177700443618626</v>
      </c>
      <c r="D38" s="156">
        <f t="shared" si="1"/>
        <v>2.0445609010165899</v>
      </c>
      <c r="E38" s="155">
        <f t="shared" si="6"/>
        <v>27.237810821408587</v>
      </c>
      <c r="F38" s="157">
        <f t="shared" si="7"/>
        <v>1.0427067099983831</v>
      </c>
      <c r="G38" s="177" t="b">
        <f t="shared" si="4"/>
        <v>0</v>
      </c>
    </row>
    <row r="39" spans="2:7" ht="15.6" x14ac:dyDescent="0.3">
      <c r="B39" s="154">
        <v>17</v>
      </c>
      <c r="C39" s="155">
        <f t="shared" si="8"/>
        <v>1.0427067099983831</v>
      </c>
      <c r="D39" s="156">
        <f t="shared" si="1"/>
        <v>0.51922354711138352</v>
      </c>
      <c r="E39" s="155">
        <f t="shared" si="6"/>
        <v>14.569998759418546</v>
      </c>
      <c r="F39" s="157">
        <f t="shared" si="7"/>
        <v>1.0070702246640422</v>
      </c>
      <c r="G39" s="177" t="b">
        <f t="shared" si="4"/>
        <v>0</v>
      </c>
    </row>
    <row r="40" spans="2:7" ht="15.6" x14ac:dyDescent="0.3">
      <c r="B40" s="154">
        <v>18</v>
      </c>
      <c r="C40" s="155">
        <f t="shared" si="8"/>
        <v>1.0070702246640422</v>
      </c>
      <c r="D40" s="156">
        <f t="shared" si="1"/>
        <v>7.2994650556540863E-2</v>
      </c>
      <c r="E40" s="155">
        <f t="shared" si="6"/>
        <v>10.654615976899633</v>
      </c>
      <c r="F40" s="157">
        <f t="shared" si="7"/>
        <v>1.0002192362553748</v>
      </c>
      <c r="G40" s="177" t="b">
        <f t="shared" si="4"/>
        <v>0</v>
      </c>
    </row>
    <row r="41" spans="2:7" ht="15.6" x14ac:dyDescent="0.3">
      <c r="B41" s="154">
        <v>19</v>
      </c>
      <c r="C41" s="155">
        <f t="shared" si="8"/>
        <v>1.0002192362553748</v>
      </c>
      <c r="D41" s="156">
        <f t="shared" si="1"/>
        <v>2.1945267228371534E-3</v>
      </c>
      <c r="E41" s="155">
        <f t="shared" si="6"/>
        <v>10.019748575070977</v>
      </c>
      <c r="F41" s="157">
        <f t="shared" si="7"/>
        <v>1.0000002161166561</v>
      </c>
      <c r="G41" s="177" t="b">
        <f t="shared" si="4"/>
        <v>0</v>
      </c>
    </row>
    <row r="42" spans="2:7" ht="16.2" thickBot="1" x14ac:dyDescent="0.35">
      <c r="B42" s="161">
        <v>20</v>
      </c>
      <c r="C42" s="162">
        <f t="shared" si="8"/>
        <v>1.0000002161166561</v>
      </c>
      <c r="D42" s="163">
        <f t="shared" si="1"/>
        <v>2.1611686626954452E-6</v>
      </c>
      <c r="E42" s="162">
        <f t="shared" si="6"/>
        <v>10.000019450515863</v>
      </c>
      <c r="F42" s="164">
        <f t="shared" si="7"/>
        <v>1.0000000000002103</v>
      </c>
      <c r="G42" s="177" t="b">
        <f t="shared" si="4"/>
        <v>0</v>
      </c>
    </row>
    <row r="43" spans="2:7" ht="16.2" thickBot="1" x14ac:dyDescent="0.35">
      <c r="B43" s="172">
        <v>21</v>
      </c>
      <c r="C43" s="178">
        <f t="shared" si="8"/>
        <v>1.0000000000002103</v>
      </c>
      <c r="D43" s="179">
        <f t="shared" si="1"/>
        <v>2.1027624086400465E-12</v>
      </c>
      <c r="E43" s="178">
        <f t="shared" si="6"/>
        <v>10.000000000018925</v>
      </c>
      <c r="F43" s="180">
        <f t="shared" si="7"/>
        <v>1</v>
      </c>
      <c r="G43" s="181" t="b">
        <f>F43=G$20</f>
        <v>1</v>
      </c>
    </row>
    <row r="44" spans="2:7" ht="15.6" x14ac:dyDescent="0.3">
      <c r="B44" s="150">
        <v>22</v>
      </c>
      <c r="C44" s="165">
        <f t="shared" si="8"/>
        <v>1</v>
      </c>
      <c r="D44" s="166">
        <f t="shared" si="1"/>
        <v>0</v>
      </c>
      <c r="E44" s="165">
        <f t="shared" si="6"/>
        <v>10</v>
      </c>
      <c r="F44" s="167">
        <f t="shared" si="7"/>
        <v>1</v>
      </c>
      <c r="G44" s="177" t="b">
        <f>F44=G$20</f>
        <v>1</v>
      </c>
    </row>
    <row r="45" spans="2:7" ht="15.6" x14ac:dyDescent="0.3">
      <c r="B45" s="154">
        <v>23</v>
      </c>
      <c r="C45" s="155">
        <f t="shared" si="8"/>
        <v>1</v>
      </c>
      <c r="D45" s="156">
        <f t="shared" si="1"/>
        <v>0</v>
      </c>
      <c r="E45" s="155">
        <f t="shared" si="6"/>
        <v>10</v>
      </c>
      <c r="F45" s="157">
        <f t="shared" si="7"/>
        <v>1</v>
      </c>
      <c r="G45" s="177" t="b">
        <f t="shared" ref="G45:G46" si="9">F45=G$20</f>
        <v>1</v>
      </c>
    </row>
    <row r="46" spans="2:7" ht="16.2" thickBot="1" x14ac:dyDescent="0.35">
      <c r="B46" s="168">
        <v>24</v>
      </c>
      <c r="C46" s="169">
        <f t="shared" si="8"/>
        <v>1</v>
      </c>
      <c r="D46" s="170">
        <f t="shared" si="1"/>
        <v>0</v>
      </c>
      <c r="E46" s="169">
        <f t="shared" si="6"/>
        <v>10</v>
      </c>
      <c r="F46" s="171">
        <f t="shared" si="7"/>
        <v>1</v>
      </c>
      <c r="G46" s="177" t="b">
        <f t="shared" si="9"/>
        <v>1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39"/>
  <sheetViews>
    <sheetView topLeftCell="A4" workbookViewId="0">
      <selection activeCell="H24" sqref="H24"/>
    </sheetView>
  </sheetViews>
  <sheetFormatPr baseColWidth="10" defaultColWidth="11.44140625" defaultRowHeight="14.4" x14ac:dyDescent="0.3"/>
  <cols>
    <col min="1" max="6" width="11.44140625" style="56"/>
    <col min="7" max="7" width="13.33203125" style="56" customWidth="1"/>
    <col min="8" max="16384" width="11.44140625" style="56"/>
  </cols>
  <sheetData>
    <row r="1" spans="1:14" s="61" customFormat="1" ht="29.4" thickBot="1" x14ac:dyDescent="0.6">
      <c r="A1" s="610" t="s">
        <v>68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4" ht="15" thickBot="1" x14ac:dyDescent="0.35">
      <c r="A2" s="10" t="s">
        <v>33</v>
      </c>
      <c r="B2" s="11" t="s">
        <v>63</v>
      </c>
    </row>
    <row r="3" spans="1:14" x14ac:dyDescent="0.3">
      <c r="A3" s="185">
        <v>-5</v>
      </c>
      <c r="B3" s="186">
        <f>((-2*(A3^3))+11.7*(A3^2)+5)/17</f>
        <v>32.205882352941174</v>
      </c>
    </row>
    <row r="4" spans="1:14" x14ac:dyDescent="0.3">
      <c r="A4" s="187">
        <v>-4</v>
      </c>
      <c r="B4" s="188">
        <f t="shared" ref="B4:B13" si="0">((-2*(A4^3))+11.7*(A4^2)+5)/17</f>
        <v>18.835294117647059</v>
      </c>
    </row>
    <row r="5" spans="1:14" x14ac:dyDescent="0.3">
      <c r="A5" s="187">
        <v>-3</v>
      </c>
      <c r="B5" s="188">
        <f t="shared" si="0"/>
        <v>9.6647058823529424</v>
      </c>
    </row>
    <row r="6" spans="1:14" x14ac:dyDescent="0.3">
      <c r="A6" s="187">
        <v>-2</v>
      </c>
      <c r="B6" s="188">
        <f t="shared" si="0"/>
        <v>3.9882352941176471</v>
      </c>
    </row>
    <row r="7" spans="1:14" x14ac:dyDescent="0.3">
      <c r="A7" s="187">
        <v>-1</v>
      </c>
      <c r="B7" s="188">
        <f t="shared" si="0"/>
        <v>1.0999999999999999</v>
      </c>
    </row>
    <row r="8" spans="1:14" x14ac:dyDescent="0.3">
      <c r="A8" s="187">
        <v>0</v>
      </c>
      <c r="B8" s="188">
        <f t="shared" si="0"/>
        <v>0.29411764705882354</v>
      </c>
    </row>
    <row r="9" spans="1:14" x14ac:dyDescent="0.3">
      <c r="A9" s="187">
        <v>1</v>
      </c>
      <c r="B9" s="188">
        <f t="shared" si="0"/>
        <v>0.8647058823529411</v>
      </c>
    </row>
    <row r="10" spans="1:14" x14ac:dyDescent="0.3">
      <c r="A10" s="187">
        <v>2</v>
      </c>
      <c r="B10" s="188">
        <f t="shared" si="0"/>
        <v>2.1058823529411761</v>
      </c>
    </row>
    <row r="11" spans="1:14" x14ac:dyDescent="0.3">
      <c r="A11" s="187">
        <v>3</v>
      </c>
      <c r="B11" s="188">
        <f t="shared" si="0"/>
        <v>3.3117647058823527</v>
      </c>
    </row>
    <row r="12" spans="1:14" x14ac:dyDescent="0.3">
      <c r="A12" s="187">
        <v>4</v>
      </c>
      <c r="B12" s="188">
        <f t="shared" si="0"/>
        <v>3.7764705882352936</v>
      </c>
    </row>
    <row r="13" spans="1:14" ht="15" thickBot="1" x14ac:dyDescent="0.35">
      <c r="A13" s="189">
        <v>5</v>
      </c>
      <c r="B13" s="190">
        <f t="shared" si="0"/>
        <v>2.7941176470588234</v>
      </c>
    </row>
    <row r="18" spans="1:7" ht="15" thickBot="1" x14ac:dyDescent="0.35"/>
    <row r="19" spans="1:7" x14ac:dyDescent="0.3">
      <c r="A19" s="191"/>
      <c r="B19" s="191" t="s">
        <v>62</v>
      </c>
      <c r="C19" s="191"/>
      <c r="E19" s="611" t="s">
        <v>30</v>
      </c>
      <c r="F19" s="613">
        <v>1</v>
      </c>
    </row>
    <row r="20" spans="1:7" ht="15" thickBot="1" x14ac:dyDescent="0.35">
      <c r="A20" s="191"/>
      <c r="B20" s="191" t="s">
        <v>64</v>
      </c>
      <c r="C20" s="191"/>
      <c r="E20" s="612"/>
      <c r="F20" s="614"/>
    </row>
    <row r="21" spans="1:7" ht="15" thickBot="1" x14ac:dyDescent="0.35">
      <c r="G21" s="56">
        <v>1</v>
      </c>
    </row>
    <row r="22" spans="1:7" x14ac:dyDescent="0.3">
      <c r="B22" s="192" t="s">
        <v>33</v>
      </c>
      <c r="C22" s="193" t="s">
        <v>30</v>
      </c>
      <c r="D22" s="194" t="s">
        <v>65</v>
      </c>
      <c r="E22" s="193" t="s">
        <v>66</v>
      </c>
      <c r="F22" s="195" t="s">
        <v>67</v>
      </c>
      <c r="G22" s="196" t="s">
        <v>60</v>
      </c>
    </row>
    <row r="23" spans="1:7" ht="15.6" x14ac:dyDescent="0.3">
      <c r="B23" s="58">
        <v>1</v>
      </c>
      <c r="C23" s="199">
        <v>1</v>
      </c>
      <c r="D23" s="200">
        <f>((-2*(C23^3))+11.7*(C23^2)+5)/17</f>
        <v>0.8647058823529411</v>
      </c>
      <c r="E23" s="199"/>
      <c r="F23" s="201"/>
      <c r="G23" s="197" t="str">
        <f>IF(F23=G$22,"aqui","")</f>
        <v/>
      </c>
    </row>
    <row r="24" spans="1:7" ht="15.6" x14ac:dyDescent="0.3">
      <c r="B24" s="58">
        <v>2</v>
      </c>
      <c r="C24" s="202">
        <f>D23</f>
        <v>0.8647058823529411</v>
      </c>
      <c r="D24" s="200">
        <f>((-2*(C24^3))+11.7*(C24^2)+5)/17</f>
        <v>0.73265711617437523</v>
      </c>
      <c r="E24" s="202">
        <f>ABS(D24-D23)</f>
        <v>0.13204876617856587</v>
      </c>
      <c r="F24" s="203">
        <f>E24/D24</f>
        <v>0.18023269448069859</v>
      </c>
      <c r="G24" s="198" t="b">
        <f>F24&lt;0.001</f>
        <v>0</v>
      </c>
    </row>
    <row r="25" spans="1:7" ht="15.6" x14ac:dyDescent="0.3">
      <c r="B25" s="58">
        <v>3</v>
      </c>
      <c r="C25" s="202">
        <f t="shared" ref="C25:C31" si="1">D24</f>
        <v>0.73265711617437523</v>
      </c>
      <c r="D25" s="200">
        <f t="shared" ref="D25:D39" si="2">((-2*(C25^3))+11.7*(C25^2)+5)/17</f>
        <v>0.61728474346262463</v>
      </c>
      <c r="E25" s="202">
        <f t="shared" ref="E25:E31" si="3">ABS(D25-D24)</f>
        <v>0.1153723727117506</v>
      </c>
      <c r="F25" s="203">
        <f t="shared" ref="F25:F31" si="4">E25/D25</f>
        <v>0.18690300373305138</v>
      </c>
      <c r="G25" s="198" t="b">
        <f t="shared" ref="G25:G39" si="5">F25&lt;0.001</f>
        <v>0</v>
      </c>
    </row>
    <row r="26" spans="1:7" ht="15.6" x14ac:dyDescent="0.3">
      <c r="B26" s="58">
        <v>4</v>
      </c>
      <c r="C26" s="202">
        <f t="shared" si="1"/>
        <v>0.61728474346262463</v>
      </c>
      <c r="D26" s="200">
        <f t="shared" si="2"/>
        <v>0.52869131760957699</v>
      </c>
      <c r="E26" s="202">
        <f t="shared" si="3"/>
        <v>8.8593425853047636E-2</v>
      </c>
      <c r="F26" s="203">
        <f t="shared" si="4"/>
        <v>0.16757117603824787</v>
      </c>
      <c r="G26" s="198" t="b">
        <f t="shared" si="5"/>
        <v>0</v>
      </c>
    </row>
    <row r="27" spans="1:7" ht="15.6" x14ac:dyDescent="0.3">
      <c r="B27" s="58">
        <v>5</v>
      </c>
      <c r="C27" s="202">
        <f t="shared" si="1"/>
        <v>0.52869131760957699</v>
      </c>
      <c r="D27" s="200">
        <f t="shared" si="2"/>
        <v>0.46910388062070618</v>
      </c>
      <c r="E27" s="202">
        <f t="shared" si="3"/>
        <v>5.9587436988870812E-2</v>
      </c>
      <c r="F27" s="203">
        <f t="shared" si="4"/>
        <v>0.1270239694244828</v>
      </c>
      <c r="G27" s="198" t="b">
        <f t="shared" si="5"/>
        <v>0</v>
      </c>
    </row>
    <row r="28" spans="1:7" ht="15.6" x14ac:dyDescent="0.3">
      <c r="B28" s="58">
        <v>6</v>
      </c>
      <c r="C28" s="202">
        <f t="shared" si="1"/>
        <v>0.46910388062070618</v>
      </c>
      <c r="D28" s="200">
        <f t="shared" si="2"/>
        <v>0.43342490164923225</v>
      </c>
      <c r="E28" s="202">
        <f t="shared" si="3"/>
        <v>3.5678978971473929E-2</v>
      </c>
      <c r="F28" s="203">
        <f t="shared" si="4"/>
        <v>8.2318710428753064E-2</v>
      </c>
      <c r="G28" s="198" t="b">
        <f t="shared" si="5"/>
        <v>0</v>
      </c>
    </row>
    <row r="29" spans="1:7" ht="15.6" x14ac:dyDescent="0.3">
      <c r="B29" s="58">
        <v>7</v>
      </c>
      <c r="C29" s="202">
        <f t="shared" si="1"/>
        <v>0.43342490164923225</v>
      </c>
      <c r="D29" s="200">
        <f t="shared" si="2"/>
        <v>0.41382851007723387</v>
      </c>
      <c r="E29" s="202">
        <f t="shared" si="3"/>
        <v>1.9596391571998384E-2</v>
      </c>
      <c r="F29" s="203">
        <f t="shared" si="4"/>
        <v>4.7353894414720384E-2</v>
      </c>
      <c r="G29" s="198" t="b">
        <f t="shared" si="5"/>
        <v>0</v>
      </c>
    </row>
    <row r="30" spans="1:7" ht="15.6" x14ac:dyDescent="0.3">
      <c r="B30" s="58">
        <v>8</v>
      </c>
      <c r="C30" s="202">
        <f t="shared" si="1"/>
        <v>0.41382851007723387</v>
      </c>
      <c r="D30" s="200">
        <f t="shared" si="2"/>
        <v>0.40364309490509137</v>
      </c>
      <c r="E30" s="202">
        <f t="shared" si="3"/>
        <v>1.0185415172142498E-2</v>
      </c>
      <c r="F30" s="203">
        <f t="shared" si="4"/>
        <v>2.5233715875995339E-2</v>
      </c>
      <c r="G30" s="198" t="b">
        <f t="shared" si="5"/>
        <v>0</v>
      </c>
    </row>
    <row r="31" spans="1:7" ht="15.6" x14ac:dyDescent="0.3">
      <c r="B31" s="58">
        <v>9</v>
      </c>
      <c r="C31" s="202">
        <f t="shared" si="1"/>
        <v>0.40364309490509137</v>
      </c>
      <c r="D31" s="200">
        <f>((-2*(C31^3))+11.7*(C31^2)+5)/17</f>
        <v>0.39851325478858624</v>
      </c>
      <c r="E31" s="202">
        <f t="shared" si="3"/>
        <v>5.1298401165051355E-3</v>
      </c>
      <c r="F31" s="203">
        <f t="shared" si="4"/>
        <v>1.2872445407685493E-2</v>
      </c>
      <c r="G31" s="198" t="b">
        <f t="shared" si="5"/>
        <v>0</v>
      </c>
    </row>
    <row r="32" spans="1:7" ht="15.6" x14ac:dyDescent="0.3">
      <c r="B32" s="58">
        <v>10</v>
      </c>
      <c r="C32" s="202">
        <f>D31</f>
        <v>0.39851325478858624</v>
      </c>
      <c r="D32" s="200">
        <f t="shared" si="2"/>
        <v>0.39597246491894533</v>
      </c>
      <c r="E32" s="202">
        <f>ABS(D32-D31)</f>
        <v>2.5407898696409026E-3</v>
      </c>
      <c r="F32" s="203">
        <f>E32/D32</f>
        <v>6.4165821988682887E-3</v>
      </c>
      <c r="G32" s="198" t="b">
        <f t="shared" si="5"/>
        <v>0</v>
      </c>
    </row>
    <row r="33" spans="2:7" ht="15.6" x14ac:dyDescent="0.3">
      <c r="B33" s="58">
        <v>11</v>
      </c>
      <c r="C33" s="202">
        <f t="shared" ref="C33:C35" si="6">D32</f>
        <v>0.39597246491894533</v>
      </c>
      <c r="D33" s="200">
        <f t="shared" si="2"/>
        <v>0.39472468774363867</v>
      </c>
      <c r="E33" s="202">
        <f t="shared" ref="E33:E35" si="7">ABS(D33-D32)</f>
        <v>1.2477771753066635E-3</v>
      </c>
      <c r="F33" s="203">
        <f t="shared" ref="F33:F35" si="8">E33/D33</f>
        <v>3.1611328453746367E-3</v>
      </c>
      <c r="G33" s="198" t="b">
        <f t="shared" si="5"/>
        <v>0</v>
      </c>
    </row>
    <row r="34" spans="2:7" ht="16.2" thickBot="1" x14ac:dyDescent="0.35">
      <c r="B34" s="59">
        <v>12</v>
      </c>
      <c r="C34" s="204">
        <f t="shared" si="6"/>
        <v>0.39472468774363867</v>
      </c>
      <c r="D34" s="205">
        <f t="shared" si="2"/>
        <v>0.39411449880055782</v>
      </c>
      <c r="E34" s="204">
        <f t="shared" si="7"/>
        <v>6.1018894308084715E-4</v>
      </c>
      <c r="F34" s="206">
        <f t="shared" si="8"/>
        <v>1.5482529694743204E-3</v>
      </c>
      <c r="G34" s="198" t="b">
        <f t="shared" si="5"/>
        <v>0</v>
      </c>
    </row>
    <row r="35" spans="2:7" ht="16.2" thickBot="1" x14ac:dyDescent="0.35">
      <c r="B35" s="213">
        <v>13</v>
      </c>
      <c r="C35" s="214">
        <f t="shared" si="6"/>
        <v>0.39411449880055782</v>
      </c>
      <c r="D35" s="215">
        <f t="shared" si="2"/>
        <v>0.39381672597167822</v>
      </c>
      <c r="E35" s="214">
        <f t="shared" si="7"/>
        <v>2.9777282887960554E-4</v>
      </c>
      <c r="F35" s="216">
        <f t="shared" si="8"/>
        <v>7.5612032004201924E-4</v>
      </c>
      <c r="G35" s="217" t="b">
        <f t="shared" si="5"/>
        <v>1</v>
      </c>
    </row>
    <row r="36" spans="2:7" ht="15.6" x14ac:dyDescent="0.3">
      <c r="B36" s="57">
        <v>14</v>
      </c>
      <c r="C36" s="207">
        <f>D35</f>
        <v>0.39381672597167822</v>
      </c>
      <c r="D36" s="208">
        <f t="shared" si="2"/>
        <v>0.39367156098432432</v>
      </c>
      <c r="E36" s="207">
        <f>ABS(D36-D35)</f>
        <v>1.4516498735389627E-4</v>
      </c>
      <c r="F36" s="209">
        <f>E36/D36</f>
        <v>3.6874644180781102E-4</v>
      </c>
      <c r="G36" s="198" t="b">
        <f>F36&lt;0.001</f>
        <v>1</v>
      </c>
    </row>
    <row r="37" spans="2:7" ht="15.6" x14ac:dyDescent="0.3">
      <c r="B37" s="58">
        <v>15</v>
      </c>
      <c r="C37" s="202">
        <f>D36</f>
        <v>0.39367156098432432</v>
      </c>
      <c r="D37" s="200">
        <f t="shared" si="2"/>
        <v>0.39360082801005281</v>
      </c>
      <c r="E37" s="202">
        <f>ABS(D37-D36)</f>
        <v>7.0732974271514593E-5</v>
      </c>
      <c r="F37" s="203">
        <f>E37/D37</f>
        <v>1.7970738178860749E-4</v>
      </c>
      <c r="G37" s="198" t="b">
        <f t="shared" si="5"/>
        <v>1</v>
      </c>
    </row>
    <row r="38" spans="2:7" ht="15.6" x14ac:dyDescent="0.3">
      <c r="B38" s="58">
        <v>16</v>
      </c>
      <c r="C38" s="202">
        <f t="shared" ref="C38" si="9">D37</f>
        <v>0.39360082801005281</v>
      </c>
      <c r="D38" s="200">
        <f t="shared" si="2"/>
        <v>0.39356637110641396</v>
      </c>
      <c r="E38" s="202">
        <f t="shared" ref="E38" si="10">ABS(D38-D37)</f>
        <v>3.4456903638846459E-5</v>
      </c>
      <c r="F38" s="203">
        <f t="shared" ref="F38" si="11">E38/D38</f>
        <v>8.7550426480746931E-5</v>
      </c>
      <c r="G38" s="198" t="b">
        <f t="shared" si="5"/>
        <v>1</v>
      </c>
    </row>
    <row r="39" spans="2:7" ht="16.2" thickBot="1" x14ac:dyDescent="0.35">
      <c r="B39" s="60">
        <v>17</v>
      </c>
      <c r="C39" s="210">
        <f>D38</f>
        <v>0.39356637110641396</v>
      </c>
      <c r="D39" s="211">
        <f t="shared" si="2"/>
        <v>0.39354958774064136</v>
      </c>
      <c r="E39" s="210">
        <f>ABS(D39-D38)</f>
        <v>1.678336577259909E-5</v>
      </c>
      <c r="F39" s="212">
        <f>E39/D39</f>
        <v>4.2646127185526953E-5</v>
      </c>
      <c r="G39" s="198" t="b">
        <f t="shared" si="5"/>
        <v>1</v>
      </c>
    </row>
  </sheetData>
  <mergeCells count="3">
    <mergeCell ref="E19:E20"/>
    <mergeCell ref="F19:F20"/>
    <mergeCell ref="A1:N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52"/>
  <sheetViews>
    <sheetView tabSelected="1" topLeftCell="A25" workbookViewId="0">
      <selection activeCell="G36" sqref="G36"/>
    </sheetView>
  </sheetViews>
  <sheetFormatPr baseColWidth="10" defaultColWidth="11.44140625" defaultRowHeight="14.4" x14ac:dyDescent="0.3"/>
  <cols>
    <col min="1" max="8" width="11.44140625" style="56"/>
    <col min="9" max="9" width="18.109375" style="56" bestFit="1" customWidth="1"/>
    <col min="10" max="16384" width="11.44140625" style="56"/>
  </cols>
  <sheetData>
    <row r="1" spans="1:14" s="61" customFormat="1" ht="28.8" x14ac:dyDescent="0.55000000000000004">
      <c r="A1" s="610" t="s">
        <v>74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A3"/>
      <c r="B3" t="s">
        <v>53</v>
      </c>
      <c r="C3"/>
      <c r="D3"/>
      <c r="E3"/>
      <c r="F3"/>
      <c r="G3"/>
      <c r="H3"/>
      <c r="I3"/>
      <c r="J3"/>
      <c r="K3"/>
    </row>
    <row r="4" spans="1:14" ht="15" thickBot="1" x14ac:dyDescent="0.35">
      <c r="A4"/>
      <c r="B4"/>
      <c r="C4"/>
      <c r="D4"/>
      <c r="E4"/>
      <c r="F4"/>
      <c r="G4"/>
      <c r="H4"/>
      <c r="I4"/>
      <c r="J4"/>
      <c r="K4"/>
    </row>
    <row r="5" spans="1:14" ht="15" thickBot="1" x14ac:dyDescent="0.35">
      <c r="A5" s="10" t="s">
        <v>30</v>
      </c>
      <c r="B5" s="11" t="s">
        <v>29</v>
      </c>
      <c r="C5"/>
      <c r="D5"/>
      <c r="E5"/>
      <c r="F5"/>
      <c r="G5"/>
      <c r="H5"/>
      <c r="I5"/>
      <c r="J5"/>
      <c r="K5"/>
    </row>
    <row r="6" spans="1:14" x14ac:dyDescent="0.3">
      <c r="A6" s="182">
        <v>-5</v>
      </c>
      <c r="B6" s="147">
        <f>EXP(-A6)-A6</f>
        <v>153.4131591025766</v>
      </c>
      <c r="C6"/>
      <c r="D6"/>
      <c r="E6"/>
      <c r="F6"/>
      <c r="G6"/>
      <c r="H6"/>
      <c r="I6"/>
      <c r="J6"/>
      <c r="K6"/>
    </row>
    <row r="7" spans="1:14" x14ac:dyDescent="0.3">
      <c r="A7" s="183">
        <v>-4</v>
      </c>
      <c r="B7" s="149">
        <f t="shared" ref="B7:B16" si="0">EXP(-A7)-A7</f>
        <v>58.598150033144236</v>
      </c>
      <c r="C7"/>
      <c r="D7"/>
      <c r="E7"/>
      <c r="F7"/>
      <c r="G7"/>
      <c r="H7"/>
      <c r="I7"/>
      <c r="J7"/>
      <c r="K7"/>
    </row>
    <row r="8" spans="1:14" x14ac:dyDescent="0.3">
      <c r="A8" s="183">
        <v>-3</v>
      </c>
      <c r="B8" s="149">
        <f t="shared" si="0"/>
        <v>23.085536923187668</v>
      </c>
      <c r="C8"/>
      <c r="D8"/>
      <c r="E8"/>
      <c r="F8"/>
      <c r="G8"/>
      <c r="H8"/>
      <c r="I8"/>
      <c r="J8"/>
      <c r="K8"/>
    </row>
    <row r="9" spans="1:14" x14ac:dyDescent="0.3">
      <c r="A9" s="183">
        <v>-2</v>
      </c>
      <c r="B9" s="149">
        <f t="shared" si="0"/>
        <v>9.3890560989306504</v>
      </c>
      <c r="C9"/>
      <c r="D9"/>
      <c r="E9"/>
      <c r="F9"/>
      <c r="G9"/>
      <c r="H9"/>
      <c r="I9"/>
      <c r="J9"/>
      <c r="K9"/>
    </row>
    <row r="10" spans="1:14" x14ac:dyDescent="0.3">
      <c r="A10" s="183">
        <v>-1</v>
      </c>
      <c r="B10" s="149">
        <f t="shared" si="0"/>
        <v>3.7182818284590451</v>
      </c>
      <c r="C10"/>
      <c r="D10"/>
      <c r="E10"/>
      <c r="F10"/>
      <c r="G10"/>
      <c r="H10"/>
      <c r="I10"/>
      <c r="J10"/>
      <c r="K10"/>
    </row>
    <row r="11" spans="1:14" x14ac:dyDescent="0.3">
      <c r="A11" s="183">
        <v>0</v>
      </c>
      <c r="B11" s="149">
        <f t="shared" si="0"/>
        <v>1</v>
      </c>
      <c r="C11"/>
      <c r="D11"/>
      <c r="E11"/>
      <c r="F11"/>
      <c r="G11"/>
      <c r="H11"/>
      <c r="I11"/>
      <c r="J11"/>
      <c r="K11"/>
    </row>
    <row r="12" spans="1:14" x14ac:dyDescent="0.3">
      <c r="A12" s="183">
        <v>1</v>
      </c>
      <c r="B12" s="149">
        <f t="shared" si="0"/>
        <v>-0.63212055882855767</v>
      </c>
      <c r="C12"/>
      <c r="D12"/>
      <c r="E12"/>
      <c r="F12"/>
      <c r="G12"/>
      <c r="H12"/>
      <c r="I12"/>
      <c r="J12"/>
      <c r="K12"/>
    </row>
    <row r="13" spans="1:14" x14ac:dyDescent="0.3">
      <c r="A13" s="148">
        <v>2</v>
      </c>
      <c r="B13" s="218">
        <f t="shared" si="0"/>
        <v>-1.8646647167633872</v>
      </c>
      <c r="C13"/>
      <c r="D13"/>
      <c r="E13"/>
      <c r="F13"/>
      <c r="G13"/>
      <c r="H13"/>
      <c r="I13"/>
      <c r="J13"/>
      <c r="K13"/>
    </row>
    <row r="14" spans="1:14" x14ac:dyDescent="0.3">
      <c r="A14" s="183">
        <v>3</v>
      </c>
      <c r="B14" s="149">
        <f t="shared" si="0"/>
        <v>-2.9502129316321359</v>
      </c>
      <c r="C14"/>
      <c r="D14"/>
      <c r="E14"/>
      <c r="F14"/>
      <c r="G14"/>
      <c r="H14"/>
      <c r="I14"/>
      <c r="J14"/>
      <c r="K14"/>
    </row>
    <row r="15" spans="1:14" x14ac:dyDescent="0.3">
      <c r="A15" s="183">
        <v>4</v>
      </c>
      <c r="B15" s="149">
        <f t="shared" si="0"/>
        <v>-3.9816843611112658</v>
      </c>
      <c r="C15"/>
      <c r="D15"/>
      <c r="E15"/>
      <c r="F15"/>
      <c r="G15"/>
      <c r="H15"/>
      <c r="I15"/>
      <c r="J15"/>
      <c r="K15"/>
    </row>
    <row r="16" spans="1:14" ht="15" thickBot="1" x14ac:dyDescent="0.35">
      <c r="A16" s="184">
        <v>5</v>
      </c>
      <c r="B16" s="219">
        <f t="shared" si="0"/>
        <v>-4.9932620530009144</v>
      </c>
      <c r="C16"/>
      <c r="D16"/>
      <c r="E16"/>
      <c r="F16"/>
      <c r="G16"/>
      <c r="H16"/>
      <c r="I16"/>
      <c r="J16"/>
      <c r="K16"/>
    </row>
    <row r="24" spans="2:9" x14ac:dyDescent="0.3">
      <c r="B24" s="226" t="s">
        <v>29</v>
      </c>
    </row>
    <row r="26" spans="2:9" x14ac:dyDescent="0.3">
      <c r="B26" s="226" t="s">
        <v>69</v>
      </c>
      <c r="C26" s="226" t="s">
        <v>70</v>
      </c>
    </row>
    <row r="27" spans="2:9" ht="15" thickBot="1" x14ac:dyDescent="0.35"/>
    <row r="28" spans="2:9" ht="15" thickBot="1" x14ac:dyDescent="0.35">
      <c r="B28" s="220" t="s">
        <v>33</v>
      </c>
      <c r="C28" s="221" t="s">
        <v>71</v>
      </c>
      <c r="D28" s="221" t="s">
        <v>72</v>
      </c>
      <c r="E28" s="221" t="s">
        <v>26</v>
      </c>
      <c r="F28" s="221" t="s">
        <v>49</v>
      </c>
      <c r="G28" s="221" t="s">
        <v>73</v>
      </c>
      <c r="H28" s="222" t="s">
        <v>66</v>
      </c>
      <c r="I28" s="223" t="s">
        <v>67</v>
      </c>
    </row>
    <row r="29" spans="2:9" x14ac:dyDescent="0.3">
      <c r="B29" s="63">
        <v>0</v>
      </c>
      <c r="C29" s="62">
        <v>0</v>
      </c>
      <c r="D29" s="244">
        <f>(EXP(-C29)-C29)</f>
        <v>1</v>
      </c>
      <c r="E29" s="62">
        <v>1</v>
      </c>
      <c r="F29" s="246">
        <f>EXP(-E29)-E29</f>
        <v>-0.63212055882855767</v>
      </c>
      <c r="G29" s="62">
        <f>E29-((F29*(C29-E29))/(D29-F29))</f>
        <v>0.61269983678028206</v>
      </c>
      <c r="H29" s="248"/>
      <c r="I29" s="15"/>
    </row>
    <row r="30" spans="2:9" x14ac:dyDescent="0.3">
      <c r="B30" s="64">
        <v>1</v>
      </c>
      <c r="C30" s="54">
        <f>E29</f>
        <v>1</v>
      </c>
      <c r="D30" s="245">
        <f t="shared" ref="D30:D52" si="1">(EXP(-C30)-C30)</f>
        <v>-0.63212055882855767</v>
      </c>
      <c r="E30" s="54">
        <f>G29</f>
        <v>0.61269983678028206</v>
      </c>
      <c r="F30" s="247">
        <f>EXP(-E30)-E30</f>
        <v>-7.0813947873170968E-2</v>
      </c>
      <c r="G30" s="54">
        <f>E30-((F30*(C30-E30))/(D30-F30))</f>
        <v>0.5638383891610742</v>
      </c>
      <c r="H30" s="249">
        <f>ABS(G30-G29)</f>
        <v>4.8861447619207854E-2</v>
      </c>
      <c r="I30" s="669">
        <f>H30/G30</f>
        <v>8.6658603880995042E-2</v>
      </c>
    </row>
    <row r="31" spans="2:9" x14ac:dyDescent="0.3">
      <c r="B31" s="64">
        <v>2</v>
      </c>
      <c r="C31" s="54">
        <f t="shared" ref="C31:C52" si="2">E30</f>
        <v>0.61269983678028206</v>
      </c>
      <c r="D31" s="245">
        <f t="shared" ref="D31:D52" si="3">(EXP(-C31)-C31)</f>
        <v>-7.0813947873170968E-2</v>
      </c>
      <c r="E31" s="54">
        <f t="shared" ref="E31:E52" si="4">G30</f>
        <v>0.5638383891610742</v>
      </c>
      <c r="F31" s="247">
        <f t="shared" ref="F31:F52" si="5">EXP(-E31)-E31</f>
        <v>5.1823545073383936E-3</v>
      </c>
      <c r="G31" s="54">
        <f t="shared" ref="G31:G52" si="6">E31-((F31*(C31-E31))/(D31-F31))</f>
        <v>0.56717035841974461</v>
      </c>
      <c r="H31" s="249">
        <f t="shared" ref="H31:H52" si="7">ABS(G31-G30)</f>
        <v>3.3319692586704086E-3</v>
      </c>
      <c r="I31" s="669">
        <f t="shared" ref="I31:I52" si="8">H31/G31</f>
        <v>5.8747238976909382E-3</v>
      </c>
    </row>
    <row r="32" spans="2:9" x14ac:dyDescent="0.3">
      <c r="B32" s="64">
        <v>3</v>
      </c>
      <c r="C32" s="54">
        <f t="shared" si="2"/>
        <v>0.5638383891610742</v>
      </c>
      <c r="D32" s="245">
        <f t="shared" si="3"/>
        <v>5.1823545073383936E-3</v>
      </c>
      <c r="E32" s="54">
        <f t="shared" si="4"/>
        <v>0.56717035841974461</v>
      </c>
      <c r="F32" s="247">
        <f t="shared" si="5"/>
        <v>-4.2419242430091764E-5</v>
      </c>
      <c r="G32" s="54">
        <f t="shared" si="6"/>
        <v>0.56714330660496326</v>
      </c>
      <c r="H32" s="249">
        <f t="shared" si="7"/>
        <v>2.7051814781353656E-5</v>
      </c>
      <c r="I32" s="669">
        <f t="shared" si="8"/>
        <v>4.7698376171079925E-5</v>
      </c>
    </row>
    <row r="33" spans="2:9" x14ac:dyDescent="0.3">
      <c r="B33" s="64">
        <v>4</v>
      </c>
      <c r="C33" s="54">
        <f t="shared" si="2"/>
        <v>0.56717035841974461</v>
      </c>
      <c r="D33" s="245">
        <f t="shared" si="3"/>
        <v>-4.2419242430091764E-5</v>
      </c>
      <c r="E33" s="54">
        <f t="shared" si="4"/>
        <v>0.56714330660496326</v>
      </c>
      <c r="F33" s="247">
        <f t="shared" si="5"/>
        <v>-2.5380166635002865E-8</v>
      </c>
      <c r="G33" s="54">
        <f t="shared" si="6"/>
        <v>0.56714329040970457</v>
      </c>
      <c r="H33" s="249">
        <f t="shared" si="7"/>
        <v>1.6195258689677416E-8</v>
      </c>
      <c r="I33" s="669">
        <f t="shared" si="8"/>
        <v>2.8555849929879191E-8</v>
      </c>
    </row>
    <row r="34" spans="2:9" x14ac:dyDescent="0.3">
      <c r="B34" s="64">
        <v>5</v>
      </c>
      <c r="C34" s="54">
        <f t="shared" si="2"/>
        <v>0.56714330660496326</v>
      </c>
      <c r="D34" s="245">
        <f t="shared" si="3"/>
        <v>-2.5380166635002865E-8</v>
      </c>
      <c r="E34" s="54">
        <f t="shared" si="4"/>
        <v>0.56714329040970457</v>
      </c>
      <c r="F34" s="247">
        <f t="shared" si="5"/>
        <v>1.2423395645555502E-13</v>
      </c>
      <c r="G34" s="54">
        <f t="shared" si="6"/>
        <v>0.56714329040978384</v>
      </c>
      <c r="H34" s="249">
        <f t="shared" si="7"/>
        <v>7.9269923958236177E-14</v>
      </c>
      <c r="I34" s="669">
        <f t="shared" si="8"/>
        <v>1.3977054000050053E-13</v>
      </c>
    </row>
    <row r="35" spans="2:9" x14ac:dyDescent="0.3">
      <c r="B35" s="670">
        <v>6</v>
      </c>
      <c r="C35" s="671">
        <f t="shared" si="2"/>
        <v>0.56714329040970457</v>
      </c>
      <c r="D35" s="672">
        <f t="shared" si="3"/>
        <v>1.2423395645555502E-13</v>
      </c>
      <c r="E35" s="671">
        <f t="shared" si="4"/>
        <v>0.56714329040978384</v>
      </c>
      <c r="F35" s="672">
        <f t="shared" si="5"/>
        <v>0</v>
      </c>
      <c r="G35" s="671">
        <f t="shared" si="6"/>
        <v>0.56714329040978384</v>
      </c>
      <c r="H35" s="672">
        <f t="shared" si="7"/>
        <v>0</v>
      </c>
      <c r="I35" s="673">
        <f t="shared" si="8"/>
        <v>0</v>
      </c>
    </row>
    <row r="36" spans="2:9" x14ac:dyDescent="0.3">
      <c r="B36" s="64">
        <v>7</v>
      </c>
      <c r="C36" s="54">
        <f t="shared" si="2"/>
        <v>0.56714329040978384</v>
      </c>
      <c r="D36" s="245">
        <f t="shared" si="3"/>
        <v>0</v>
      </c>
      <c r="E36" s="54">
        <f t="shared" si="4"/>
        <v>0.56714329040978384</v>
      </c>
      <c r="F36" s="247">
        <f t="shared" si="5"/>
        <v>0</v>
      </c>
      <c r="G36" s="54" t="e">
        <f t="shared" si="6"/>
        <v>#DIV/0!</v>
      </c>
      <c r="H36" s="249" t="e">
        <f t="shared" si="7"/>
        <v>#DIV/0!</v>
      </c>
      <c r="I36" s="669" t="e">
        <f t="shared" si="8"/>
        <v>#DIV/0!</v>
      </c>
    </row>
    <row r="37" spans="2:9" x14ac:dyDescent="0.3">
      <c r="B37" s="64">
        <v>8</v>
      </c>
      <c r="C37" s="54">
        <f t="shared" si="2"/>
        <v>0.56714329040978384</v>
      </c>
      <c r="D37" s="245">
        <f t="shared" si="3"/>
        <v>0</v>
      </c>
      <c r="E37" s="54" t="e">
        <f t="shared" si="4"/>
        <v>#DIV/0!</v>
      </c>
      <c r="F37" s="247" t="e">
        <f t="shared" si="5"/>
        <v>#DIV/0!</v>
      </c>
      <c r="G37" s="54" t="e">
        <f t="shared" si="6"/>
        <v>#DIV/0!</v>
      </c>
      <c r="H37" s="249" t="e">
        <f t="shared" si="7"/>
        <v>#DIV/0!</v>
      </c>
      <c r="I37" s="669" t="e">
        <f t="shared" si="8"/>
        <v>#DIV/0!</v>
      </c>
    </row>
    <row r="38" spans="2:9" x14ac:dyDescent="0.3">
      <c r="B38" s="64">
        <v>9</v>
      </c>
      <c r="C38" s="54" t="e">
        <f t="shared" si="2"/>
        <v>#DIV/0!</v>
      </c>
      <c r="D38" s="245" t="e">
        <f t="shared" si="3"/>
        <v>#DIV/0!</v>
      </c>
      <c r="E38" s="54" t="e">
        <f t="shared" si="4"/>
        <v>#DIV/0!</v>
      </c>
      <c r="F38" s="247" t="e">
        <f t="shared" si="5"/>
        <v>#DIV/0!</v>
      </c>
      <c r="G38" s="54" t="e">
        <f t="shared" si="6"/>
        <v>#DIV/0!</v>
      </c>
      <c r="H38" s="249" t="e">
        <f t="shared" si="7"/>
        <v>#DIV/0!</v>
      </c>
      <c r="I38" s="669" t="e">
        <f t="shared" si="8"/>
        <v>#DIV/0!</v>
      </c>
    </row>
    <row r="39" spans="2:9" x14ac:dyDescent="0.3">
      <c r="B39" s="64">
        <v>10</v>
      </c>
      <c r="C39" s="54" t="e">
        <f t="shared" si="2"/>
        <v>#DIV/0!</v>
      </c>
      <c r="D39" s="245" t="e">
        <f t="shared" si="3"/>
        <v>#DIV/0!</v>
      </c>
      <c r="E39" s="54" t="e">
        <f t="shared" si="4"/>
        <v>#DIV/0!</v>
      </c>
      <c r="F39" s="247" t="e">
        <f t="shared" si="5"/>
        <v>#DIV/0!</v>
      </c>
      <c r="G39" s="54" t="e">
        <f t="shared" si="6"/>
        <v>#DIV/0!</v>
      </c>
      <c r="H39" s="249" t="e">
        <f t="shared" si="7"/>
        <v>#DIV/0!</v>
      </c>
      <c r="I39" s="669" t="e">
        <f t="shared" si="8"/>
        <v>#DIV/0!</v>
      </c>
    </row>
    <row r="40" spans="2:9" x14ac:dyDescent="0.3">
      <c r="B40" s="225">
        <v>11</v>
      </c>
      <c r="C40" s="54" t="e">
        <f t="shared" si="2"/>
        <v>#DIV/0!</v>
      </c>
      <c r="D40" s="245" t="e">
        <f t="shared" si="3"/>
        <v>#DIV/0!</v>
      </c>
      <c r="E40" s="54" t="e">
        <f t="shared" si="4"/>
        <v>#DIV/0!</v>
      </c>
      <c r="F40" s="247" t="e">
        <f t="shared" si="5"/>
        <v>#DIV/0!</v>
      </c>
      <c r="G40" s="54" t="e">
        <f t="shared" si="6"/>
        <v>#DIV/0!</v>
      </c>
      <c r="H40" s="249" t="e">
        <f t="shared" si="7"/>
        <v>#DIV/0!</v>
      </c>
      <c r="I40" s="669" t="e">
        <f t="shared" si="8"/>
        <v>#DIV/0!</v>
      </c>
    </row>
    <row r="41" spans="2:9" x14ac:dyDescent="0.3">
      <c r="B41" s="64">
        <v>12</v>
      </c>
      <c r="C41" s="54" t="e">
        <f t="shared" si="2"/>
        <v>#DIV/0!</v>
      </c>
      <c r="D41" s="245" t="e">
        <f t="shared" si="3"/>
        <v>#DIV/0!</v>
      </c>
      <c r="E41" s="54" t="e">
        <f t="shared" si="4"/>
        <v>#DIV/0!</v>
      </c>
      <c r="F41" s="247" t="e">
        <f t="shared" si="5"/>
        <v>#DIV/0!</v>
      </c>
      <c r="G41" s="54" t="e">
        <f t="shared" si="6"/>
        <v>#DIV/0!</v>
      </c>
      <c r="H41" s="249" t="e">
        <f t="shared" si="7"/>
        <v>#DIV/0!</v>
      </c>
      <c r="I41" s="669" t="e">
        <f t="shared" si="8"/>
        <v>#DIV/0!</v>
      </c>
    </row>
    <row r="42" spans="2:9" x14ac:dyDescent="0.3">
      <c r="B42" s="64">
        <v>13</v>
      </c>
      <c r="C42" s="54" t="e">
        <f t="shared" si="2"/>
        <v>#DIV/0!</v>
      </c>
      <c r="D42" s="245" t="e">
        <f t="shared" si="3"/>
        <v>#DIV/0!</v>
      </c>
      <c r="E42" s="54" t="e">
        <f t="shared" si="4"/>
        <v>#DIV/0!</v>
      </c>
      <c r="F42" s="247" t="e">
        <f t="shared" si="5"/>
        <v>#DIV/0!</v>
      </c>
      <c r="G42" s="54" t="e">
        <f t="shared" si="6"/>
        <v>#DIV/0!</v>
      </c>
      <c r="H42" s="249" t="e">
        <f t="shared" si="7"/>
        <v>#DIV/0!</v>
      </c>
      <c r="I42" s="669" t="e">
        <f t="shared" si="8"/>
        <v>#DIV/0!</v>
      </c>
    </row>
    <row r="43" spans="2:9" x14ac:dyDescent="0.3">
      <c r="B43" s="64">
        <v>14</v>
      </c>
      <c r="C43" s="54" t="e">
        <f t="shared" si="2"/>
        <v>#DIV/0!</v>
      </c>
      <c r="D43" s="245" t="e">
        <f t="shared" si="3"/>
        <v>#DIV/0!</v>
      </c>
      <c r="E43" s="54" t="e">
        <f t="shared" si="4"/>
        <v>#DIV/0!</v>
      </c>
      <c r="F43" s="247" t="e">
        <f t="shared" si="5"/>
        <v>#DIV/0!</v>
      </c>
      <c r="G43" s="54" t="e">
        <f t="shared" si="6"/>
        <v>#DIV/0!</v>
      </c>
      <c r="H43" s="249" t="e">
        <f t="shared" si="7"/>
        <v>#DIV/0!</v>
      </c>
      <c r="I43" s="669" t="e">
        <f t="shared" si="8"/>
        <v>#DIV/0!</v>
      </c>
    </row>
    <row r="44" spans="2:9" x14ac:dyDescent="0.3">
      <c r="B44" s="64">
        <v>15</v>
      </c>
      <c r="C44" s="54" t="e">
        <f t="shared" si="2"/>
        <v>#DIV/0!</v>
      </c>
      <c r="D44" s="245" t="e">
        <f t="shared" si="3"/>
        <v>#DIV/0!</v>
      </c>
      <c r="E44" s="54" t="e">
        <f t="shared" si="4"/>
        <v>#DIV/0!</v>
      </c>
      <c r="F44" s="247" t="e">
        <f t="shared" si="5"/>
        <v>#DIV/0!</v>
      </c>
      <c r="G44" s="54" t="e">
        <f t="shared" si="6"/>
        <v>#DIV/0!</v>
      </c>
      <c r="H44" s="249" t="e">
        <f t="shared" si="7"/>
        <v>#DIV/0!</v>
      </c>
      <c r="I44" s="669" t="e">
        <f t="shared" si="8"/>
        <v>#DIV/0!</v>
      </c>
    </row>
    <row r="45" spans="2:9" x14ac:dyDescent="0.3">
      <c r="B45" s="64">
        <v>16</v>
      </c>
      <c r="C45" s="54" t="e">
        <f t="shared" si="2"/>
        <v>#DIV/0!</v>
      </c>
      <c r="D45" s="245" t="e">
        <f t="shared" si="3"/>
        <v>#DIV/0!</v>
      </c>
      <c r="E45" s="54" t="e">
        <f t="shared" si="4"/>
        <v>#DIV/0!</v>
      </c>
      <c r="F45" s="247" t="e">
        <f t="shared" si="5"/>
        <v>#DIV/0!</v>
      </c>
      <c r="G45" s="54" t="e">
        <f t="shared" si="6"/>
        <v>#DIV/0!</v>
      </c>
      <c r="H45" s="249" t="e">
        <f t="shared" si="7"/>
        <v>#DIV/0!</v>
      </c>
      <c r="I45" s="669" t="e">
        <f t="shared" si="8"/>
        <v>#DIV/0!</v>
      </c>
    </row>
    <row r="46" spans="2:9" x14ac:dyDescent="0.3">
      <c r="B46" s="64">
        <v>17</v>
      </c>
      <c r="C46" s="54" t="e">
        <f t="shared" si="2"/>
        <v>#DIV/0!</v>
      </c>
      <c r="D46" s="245" t="e">
        <f t="shared" si="3"/>
        <v>#DIV/0!</v>
      </c>
      <c r="E46" s="54" t="e">
        <f t="shared" si="4"/>
        <v>#DIV/0!</v>
      </c>
      <c r="F46" s="247" t="e">
        <f t="shared" si="5"/>
        <v>#DIV/0!</v>
      </c>
      <c r="G46" s="54" t="e">
        <f t="shared" si="6"/>
        <v>#DIV/0!</v>
      </c>
      <c r="H46" s="249" t="e">
        <f t="shared" si="7"/>
        <v>#DIV/0!</v>
      </c>
      <c r="I46" s="669" t="e">
        <f t="shared" si="8"/>
        <v>#DIV/0!</v>
      </c>
    </row>
    <row r="47" spans="2:9" x14ac:dyDescent="0.3">
      <c r="B47" s="64">
        <v>18</v>
      </c>
      <c r="C47" s="54" t="e">
        <f t="shared" si="2"/>
        <v>#DIV/0!</v>
      </c>
      <c r="D47" s="245" t="e">
        <f t="shared" si="3"/>
        <v>#DIV/0!</v>
      </c>
      <c r="E47" s="54" t="e">
        <f t="shared" si="4"/>
        <v>#DIV/0!</v>
      </c>
      <c r="F47" s="247" t="e">
        <f t="shared" si="5"/>
        <v>#DIV/0!</v>
      </c>
      <c r="G47" s="54" t="e">
        <f t="shared" si="6"/>
        <v>#DIV/0!</v>
      </c>
      <c r="H47" s="249" t="e">
        <f t="shared" si="7"/>
        <v>#DIV/0!</v>
      </c>
      <c r="I47" s="669" t="e">
        <f t="shared" si="8"/>
        <v>#DIV/0!</v>
      </c>
    </row>
    <row r="48" spans="2:9" x14ac:dyDescent="0.3">
      <c r="B48" s="64">
        <v>19</v>
      </c>
      <c r="C48" s="54" t="e">
        <f t="shared" si="2"/>
        <v>#DIV/0!</v>
      </c>
      <c r="D48" s="245" t="e">
        <f t="shared" si="3"/>
        <v>#DIV/0!</v>
      </c>
      <c r="E48" s="54" t="e">
        <f t="shared" si="4"/>
        <v>#DIV/0!</v>
      </c>
      <c r="F48" s="247" t="e">
        <f t="shared" si="5"/>
        <v>#DIV/0!</v>
      </c>
      <c r="G48" s="54" t="e">
        <f t="shared" si="6"/>
        <v>#DIV/0!</v>
      </c>
      <c r="H48" s="249" t="e">
        <f t="shared" si="7"/>
        <v>#DIV/0!</v>
      </c>
      <c r="I48" s="669" t="e">
        <f t="shared" si="8"/>
        <v>#DIV/0!</v>
      </c>
    </row>
    <row r="49" spans="2:9" x14ac:dyDescent="0.3">
      <c r="B49" s="64">
        <v>20</v>
      </c>
      <c r="C49" s="54" t="e">
        <f t="shared" si="2"/>
        <v>#DIV/0!</v>
      </c>
      <c r="D49" s="245" t="e">
        <f t="shared" si="3"/>
        <v>#DIV/0!</v>
      </c>
      <c r="E49" s="54" t="e">
        <f t="shared" si="4"/>
        <v>#DIV/0!</v>
      </c>
      <c r="F49" s="247" t="e">
        <f t="shared" si="5"/>
        <v>#DIV/0!</v>
      </c>
      <c r="G49" s="54" t="e">
        <f t="shared" si="6"/>
        <v>#DIV/0!</v>
      </c>
      <c r="H49" s="249" t="e">
        <f t="shared" si="7"/>
        <v>#DIV/0!</v>
      </c>
      <c r="I49" s="669" t="e">
        <f t="shared" si="8"/>
        <v>#DIV/0!</v>
      </c>
    </row>
    <row r="50" spans="2:9" x14ac:dyDescent="0.3">
      <c r="B50" s="64">
        <v>21</v>
      </c>
      <c r="C50" s="54" t="e">
        <f t="shared" si="2"/>
        <v>#DIV/0!</v>
      </c>
      <c r="D50" s="245" t="e">
        <f t="shared" si="3"/>
        <v>#DIV/0!</v>
      </c>
      <c r="E50" s="54" t="e">
        <f t="shared" si="4"/>
        <v>#DIV/0!</v>
      </c>
      <c r="F50" s="247" t="e">
        <f t="shared" si="5"/>
        <v>#DIV/0!</v>
      </c>
      <c r="G50" s="54" t="e">
        <f t="shared" si="6"/>
        <v>#DIV/0!</v>
      </c>
      <c r="H50" s="249" t="e">
        <f t="shared" si="7"/>
        <v>#DIV/0!</v>
      </c>
      <c r="I50" s="669" t="e">
        <f t="shared" si="8"/>
        <v>#DIV/0!</v>
      </c>
    </row>
    <row r="51" spans="2:9" x14ac:dyDescent="0.3">
      <c r="B51" s="64">
        <v>22</v>
      </c>
      <c r="C51" s="54" t="e">
        <f t="shared" si="2"/>
        <v>#DIV/0!</v>
      </c>
      <c r="D51" s="245" t="e">
        <f t="shared" si="3"/>
        <v>#DIV/0!</v>
      </c>
      <c r="E51" s="54" t="e">
        <f t="shared" si="4"/>
        <v>#DIV/0!</v>
      </c>
      <c r="F51" s="247" t="e">
        <f t="shared" si="5"/>
        <v>#DIV/0!</v>
      </c>
      <c r="G51" s="54" t="e">
        <f t="shared" si="6"/>
        <v>#DIV/0!</v>
      </c>
      <c r="H51" s="249" t="e">
        <f t="shared" si="7"/>
        <v>#DIV/0!</v>
      </c>
      <c r="I51" s="669" t="e">
        <f t="shared" si="8"/>
        <v>#DIV/0!</v>
      </c>
    </row>
    <row r="52" spans="2:9" ht="15" thickBot="1" x14ac:dyDescent="0.35">
      <c r="B52" s="65">
        <v>23</v>
      </c>
      <c r="C52" s="54" t="e">
        <f t="shared" si="2"/>
        <v>#DIV/0!</v>
      </c>
      <c r="D52" s="245" t="e">
        <f t="shared" si="3"/>
        <v>#DIV/0!</v>
      </c>
      <c r="E52" s="54" t="e">
        <f t="shared" si="4"/>
        <v>#DIV/0!</v>
      </c>
      <c r="F52" s="247" t="e">
        <f t="shared" si="5"/>
        <v>#DIV/0!</v>
      </c>
      <c r="G52" s="54" t="e">
        <f t="shared" si="6"/>
        <v>#DIV/0!</v>
      </c>
      <c r="H52" s="249" t="e">
        <f t="shared" si="7"/>
        <v>#DIV/0!</v>
      </c>
      <c r="I52" s="669" t="e">
        <f t="shared" si="8"/>
        <v>#DIV/0!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36"/>
  <sheetViews>
    <sheetView workbookViewId="0">
      <selection activeCell="K12" sqref="K12"/>
    </sheetView>
  </sheetViews>
  <sheetFormatPr baseColWidth="10" defaultRowHeight="14.4" x14ac:dyDescent="0.3"/>
  <cols>
    <col min="2" max="2" width="14.33203125" customWidth="1"/>
  </cols>
  <sheetData>
    <row r="1" spans="1:14" s="61" customFormat="1" ht="28.8" x14ac:dyDescent="0.55000000000000004">
      <c r="A1" s="610" t="s">
        <v>101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4" x14ac:dyDescent="0.3">
      <c r="A2" t="s">
        <v>160</v>
      </c>
    </row>
    <row r="7" spans="1:14" x14ac:dyDescent="0.3">
      <c r="B7" s="615" t="s">
        <v>161</v>
      </c>
      <c r="C7" s="615"/>
      <c r="E7" s="265" t="s">
        <v>162</v>
      </c>
      <c r="F7" s="265" t="s">
        <v>22</v>
      </c>
      <c r="H7" s="265" t="s">
        <v>22</v>
      </c>
      <c r="I7" s="265" t="s">
        <v>63</v>
      </c>
    </row>
    <row r="8" spans="1:14" x14ac:dyDescent="0.3">
      <c r="B8" s="1" t="s">
        <v>57</v>
      </c>
      <c r="C8" s="1">
        <v>4.5</v>
      </c>
      <c r="E8" s="251">
        <v>0</v>
      </c>
      <c r="F8" s="251">
        <v>5</v>
      </c>
      <c r="H8" s="251">
        <v>5</v>
      </c>
      <c r="I8" s="251">
        <f>H8^3-13*H8-12</f>
        <v>48</v>
      </c>
    </row>
    <row r="9" spans="1:14" x14ac:dyDescent="0.3">
      <c r="B9" s="1" t="s">
        <v>158</v>
      </c>
      <c r="C9" s="1">
        <v>5.5</v>
      </c>
      <c r="E9" s="251">
        <v>1</v>
      </c>
      <c r="F9" s="251">
        <v>3.9764870000000001</v>
      </c>
      <c r="H9" s="251">
        <f>5-0.5</f>
        <v>4.5</v>
      </c>
      <c r="I9" s="251">
        <f t="shared" ref="I9:I25" si="0">H9^3-13*H9-12</f>
        <v>20.625</v>
      </c>
    </row>
    <row r="10" spans="1:14" x14ac:dyDescent="0.3">
      <c r="B10" s="1" t="s">
        <v>159</v>
      </c>
      <c r="C10" s="1">
        <v>5</v>
      </c>
      <c r="E10" s="251">
        <v>2</v>
      </c>
      <c r="F10" s="251">
        <v>4.0010504999999998</v>
      </c>
      <c r="H10" s="251">
        <f>H9-0.5</f>
        <v>4</v>
      </c>
      <c r="I10" s="251">
        <f t="shared" si="0"/>
        <v>0</v>
      </c>
    </row>
    <row r="11" spans="1:14" x14ac:dyDescent="0.3">
      <c r="E11" s="251">
        <v>3</v>
      </c>
      <c r="F11" s="251">
        <v>4.0000007100000001</v>
      </c>
      <c r="H11" s="251">
        <f t="shared" ref="H11:H24" si="1">H10-0.5</f>
        <v>3.5</v>
      </c>
      <c r="I11" s="251">
        <f t="shared" si="0"/>
        <v>-14.625</v>
      </c>
    </row>
    <row r="12" spans="1:14" x14ac:dyDescent="0.3">
      <c r="B12" s="266" t="s">
        <v>163</v>
      </c>
      <c r="E12" s="251">
        <v>4</v>
      </c>
      <c r="F12" s="251">
        <f>F11+0.024563</f>
        <v>4.0245637099999998</v>
      </c>
      <c r="H12" s="251">
        <f t="shared" si="1"/>
        <v>3</v>
      </c>
      <c r="I12" s="251">
        <f t="shared" si="0"/>
        <v>-24</v>
      </c>
    </row>
    <row r="13" spans="1:14" x14ac:dyDescent="0.3">
      <c r="B13" s="1" t="s">
        <v>102</v>
      </c>
      <c r="H13" s="251">
        <f t="shared" si="1"/>
        <v>2.5</v>
      </c>
      <c r="I13" s="251">
        <f t="shared" si="0"/>
        <v>-28.875</v>
      </c>
    </row>
    <row r="14" spans="1:14" x14ac:dyDescent="0.3">
      <c r="H14" s="251">
        <f t="shared" si="1"/>
        <v>2</v>
      </c>
      <c r="I14" s="251">
        <f t="shared" si="0"/>
        <v>-30</v>
      </c>
    </row>
    <row r="15" spans="1:14" x14ac:dyDescent="0.3">
      <c r="B15" s="616" t="s">
        <v>164</v>
      </c>
      <c r="C15" s="616"/>
      <c r="E15" s="616" t="s">
        <v>165</v>
      </c>
      <c r="F15" s="616"/>
      <c r="H15" s="251">
        <f t="shared" si="1"/>
        <v>1.5</v>
      </c>
      <c r="I15" s="251">
        <f t="shared" si="0"/>
        <v>-28.125</v>
      </c>
    </row>
    <row r="16" spans="1:14" x14ac:dyDescent="0.3">
      <c r="B16" s="251" t="s">
        <v>57</v>
      </c>
      <c r="C16" s="251">
        <v>4.5</v>
      </c>
      <c r="E16" s="1" t="s">
        <v>166</v>
      </c>
      <c r="F16" s="1">
        <f>C8^3-13*C8-12</f>
        <v>20.625</v>
      </c>
      <c r="H16" s="251">
        <f t="shared" si="1"/>
        <v>1</v>
      </c>
      <c r="I16" s="251">
        <f t="shared" si="0"/>
        <v>-24</v>
      </c>
    </row>
    <row r="17" spans="2:18" x14ac:dyDescent="0.3">
      <c r="B17" s="251" t="s">
        <v>158</v>
      </c>
      <c r="C17" s="251">
        <v>5.5</v>
      </c>
      <c r="E17" s="1" t="s">
        <v>167</v>
      </c>
      <c r="F17" s="1">
        <f>C9^3-13*C9-12</f>
        <v>82.875</v>
      </c>
      <c r="H17" s="251">
        <f t="shared" si="1"/>
        <v>0.5</v>
      </c>
      <c r="I17" s="251">
        <f>H17^3-13*H17-12</f>
        <v>-18.375</v>
      </c>
    </row>
    <row r="18" spans="2:18" x14ac:dyDescent="0.3">
      <c r="B18" s="251" t="s">
        <v>159</v>
      </c>
      <c r="C18" s="251">
        <v>5</v>
      </c>
      <c r="E18" s="1" t="s">
        <v>168</v>
      </c>
      <c r="F18" s="1">
        <f>C10^3-13*C10-12</f>
        <v>48</v>
      </c>
      <c r="H18" s="251">
        <f t="shared" si="1"/>
        <v>0</v>
      </c>
      <c r="I18" s="251">
        <f t="shared" si="0"/>
        <v>-12</v>
      </c>
    </row>
    <row r="19" spans="2:18" x14ac:dyDescent="0.3">
      <c r="B19" s="251" t="s">
        <v>169</v>
      </c>
      <c r="C19" s="251">
        <f>C17-C16</f>
        <v>1</v>
      </c>
      <c r="H19" s="251">
        <f t="shared" si="1"/>
        <v>-0.5</v>
      </c>
      <c r="I19" s="251">
        <f t="shared" si="0"/>
        <v>-5.625</v>
      </c>
    </row>
    <row r="20" spans="2:18" x14ac:dyDescent="0.3">
      <c r="B20" s="251" t="s">
        <v>170</v>
      </c>
      <c r="C20" s="251">
        <f>C18-C17</f>
        <v>-0.5</v>
      </c>
      <c r="H20" s="251">
        <f t="shared" si="1"/>
        <v>-1</v>
      </c>
      <c r="I20" s="251">
        <f t="shared" si="0"/>
        <v>0</v>
      </c>
    </row>
    <row r="21" spans="2:18" x14ac:dyDescent="0.3">
      <c r="B21" s="251" t="s">
        <v>171</v>
      </c>
      <c r="C21" s="251">
        <f>(F17-F16)/(C9-C8)</f>
        <v>62.25</v>
      </c>
      <c r="H21" s="251">
        <f t="shared" si="1"/>
        <v>-1.5</v>
      </c>
      <c r="I21" s="251">
        <f t="shared" si="0"/>
        <v>4.125</v>
      </c>
    </row>
    <row r="22" spans="2:18" x14ac:dyDescent="0.3">
      <c r="B22" s="251" t="s">
        <v>172</v>
      </c>
      <c r="C22" s="251">
        <f>(F18-F17)/(C10-C9)</f>
        <v>69.75</v>
      </c>
      <c r="H22" s="251">
        <f t="shared" si="1"/>
        <v>-2</v>
      </c>
      <c r="I22" s="251">
        <f t="shared" si="0"/>
        <v>6</v>
      </c>
    </row>
    <row r="23" spans="2:18" x14ac:dyDescent="0.3">
      <c r="B23" s="251" t="s">
        <v>109</v>
      </c>
      <c r="C23" s="251">
        <f>(C22-C21)/(C20+C19)</f>
        <v>15</v>
      </c>
      <c r="H23" s="251">
        <f>H22-0.5</f>
        <v>-2.5</v>
      </c>
      <c r="I23" s="251">
        <f t="shared" si="0"/>
        <v>4.875</v>
      </c>
    </row>
    <row r="24" spans="2:18" x14ac:dyDescent="0.3">
      <c r="B24" s="251" t="s">
        <v>110</v>
      </c>
      <c r="C24" s="251">
        <f>(C23*C20)+C22</f>
        <v>62.25</v>
      </c>
      <c r="H24" s="251">
        <f t="shared" si="1"/>
        <v>-3</v>
      </c>
      <c r="I24" s="251">
        <f t="shared" si="0"/>
        <v>0</v>
      </c>
    </row>
    <row r="25" spans="2:18" x14ac:dyDescent="0.3">
      <c r="B25" s="251" t="s">
        <v>153</v>
      </c>
      <c r="C25" s="251">
        <f>F18</f>
        <v>48</v>
      </c>
      <c r="H25" s="251">
        <f>H24-0.5</f>
        <v>-3.5</v>
      </c>
      <c r="I25" s="251">
        <f t="shared" si="0"/>
        <v>-9.375</v>
      </c>
    </row>
    <row r="26" spans="2:18" x14ac:dyDescent="0.3">
      <c r="B26" s="251" t="s">
        <v>173</v>
      </c>
      <c r="C26" s="251">
        <f>C21+(SQRT(C21^2-(4*C23*C25)))</f>
        <v>93.794611267219636</v>
      </c>
    </row>
    <row r="27" spans="2:18" x14ac:dyDescent="0.3">
      <c r="B27" s="251" t="s">
        <v>174</v>
      </c>
      <c r="C27" s="251">
        <f>C21-(SQRT(C21^2-(4*C23*C25)))</f>
        <v>30.705388732780364</v>
      </c>
    </row>
    <row r="28" spans="2:18" x14ac:dyDescent="0.3">
      <c r="B28" s="251" t="s">
        <v>175</v>
      </c>
      <c r="C28" s="267">
        <f>C18+((-2*C25))/C26</f>
        <v>3.9764870422406546</v>
      </c>
    </row>
    <row r="31" spans="2:18" x14ac:dyDescent="0.3">
      <c r="B31" s="265" t="s">
        <v>166</v>
      </c>
      <c r="C31" s="265" t="s">
        <v>167</v>
      </c>
      <c r="D31" s="265" t="s">
        <v>168</v>
      </c>
      <c r="E31" s="265" t="s">
        <v>57</v>
      </c>
      <c r="F31" s="265" t="s">
        <v>158</v>
      </c>
      <c r="G31" s="265" t="s">
        <v>159</v>
      </c>
      <c r="H31" s="265" t="s">
        <v>169</v>
      </c>
      <c r="I31" s="265" t="s">
        <v>170</v>
      </c>
      <c r="J31" s="265" t="s">
        <v>171</v>
      </c>
      <c r="K31" s="265" t="s">
        <v>172</v>
      </c>
      <c r="L31" s="265" t="s">
        <v>109</v>
      </c>
      <c r="M31" s="265" t="s">
        <v>110</v>
      </c>
      <c r="N31" s="265" t="s">
        <v>153</v>
      </c>
      <c r="O31" s="265" t="s">
        <v>173</v>
      </c>
      <c r="P31" s="265" t="s">
        <v>174</v>
      </c>
      <c r="Q31" s="265" t="s">
        <v>175</v>
      </c>
      <c r="R31" s="265" t="s">
        <v>176</v>
      </c>
    </row>
    <row r="32" spans="2:18" x14ac:dyDescent="0.3">
      <c r="B32" s="268">
        <f>C8^3-13*C8-12</f>
        <v>20.625</v>
      </c>
      <c r="C32" s="268">
        <f>C9^3-13*C9-12</f>
        <v>82.875</v>
      </c>
      <c r="D32" s="268">
        <f>C10^3-13*C10-12</f>
        <v>48</v>
      </c>
      <c r="E32" s="269">
        <f>C16</f>
        <v>4.5</v>
      </c>
      <c r="F32" s="269">
        <f>C17</f>
        <v>5.5</v>
      </c>
      <c r="G32" s="269">
        <f>C18</f>
        <v>5</v>
      </c>
      <c r="H32" s="270">
        <f>C17-C16</f>
        <v>1</v>
      </c>
      <c r="I32" s="270">
        <f>C18-C17</f>
        <v>-0.5</v>
      </c>
      <c r="J32" s="5">
        <f>(F17-F16)/(C9-C8)</f>
        <v>62.25</v>
      </c>
      <c r="K32" s="5">
        <f>(F18-F17)/(C10-C9)</f>
        <v>69.75</v>
      </c>
      <c r="L32" s="271">
        <f>(C22-C21)/(C20+C19)</f>
        <v>15</v>
      </c>
      <c r="M32" s="271">
        <f>(C23*C20)+C22</f>
        <v>62.25</v>
      </c>
      <c r="N32" s="271">
        <f>G32^3-13*G32-12</f>
        <v>48</v>
      </c>
      <c r="O32" s="272">
        <f>J32+(SQRT(J32^2-(4*L32*N32)))</f>
        <v>93.794611267219636</v>
      </c>
      <c r="P32" s="272">
        <f>C21-(SQRT(C21^2-(4*C23*C25)))</f>
        <v>30.705388732780364</v>
      </c>
      <c r="Q32" s="9">
        <f>G32+((-2*N32))/O32</f>
        <v>3.9764870422406546</v>
      </c>
      <c r="R32" s="273">
        <f>ABS((Q32-G32)/Q32)</f>
        <v>0.25739124681835263</v>
      </c>
    </row>
    <row r="33" spans="2:18" x14ac:dyDescent="0.3">
      <c r="B33" s="268">
        <f t="shared" ref="B33:B34" si="2">C9^3-13*C9-12</f>
        <v>82.875</v>
      </c>
      <c r="C33" s="268">
        <f t="shared" ref="C33:D35" si="3">B34</f>
        <v>48</v>
      </c>
      <c r="D33" s="268">
        <f t="shared" si="3"/>
        <v>-0.81633228790278878</v>
      </c>
      <c r="E33" s="269">
        <f>C9</f>
        <v>5.5</v>
      </c>
      <c r="F33" s="269">
        <f>C10</f>
        <v>5</v>
      </c>
      <c r="G33" s="269">
        <v>3.9764870399999999</v>
      </c>
      <c r="H33" s="270">
        <f t="shared" ref="H33:I36" si="4">F33-E33</f>
        <v>-0.5</v>
      </c>
      <c r="I33" s="270">
        <f t="shared" si="4"/>
        <v>-1.0235129600000001</v>
      </c>
      <c r="J33" s="5">
        <f t="shared" ref="J33" si="5">(F18-F17)/(C10-C9)</f>
        <v>69.75</v>
      </c>
      <c r="K33" s="5">
        <f>(D33-C33)/(G33-F33)</f>
        <v>47.694884379287963</v>
      </c>
      <c r="L33" s="271">
        <f>(K33-J33)/(I33+H33)</f>
        <v>14.476487039999999</v>
      </c>
      <c r="M33" s="271">
        <f>(L33*I33)+K33</f>
        <v>32.878012278575923</v>
      </c>
      <c r="N33" s="271">
        <f t="shared" ref="N33:N36" si="6">G33^3-13*G33-12</f>
        <v>-0.81633228790278878</v>
      </c>
      <c r="O33" s="272">
        <f t="shared" ref="O33:O36" si="7">J33+(SQRT(J33^2-(4*L33*N33)))</f>
        <v>139.83803746107202</v>
      </c>
      <c r="P33" s="272">
        <f>J33-(SQRT(J33^2-(4*L33*N33)))</f>
        <v>-0.33803746107200539</v>
      </c>
      <c r="Q33" s="72">
        <f t="shared" ref="Q33:Q36" si="8">G33+((-2*N33))/O33</f>
        <v>3.9881624368051081</v>
      </c>
      <c r="R33" s="273">
        <f t="shared" ref="R33:R36" si="9">ABS((Q33-G33)/Q33)</f>
        <v>2.9275128558859036E-3</v>
      </c>
    </row>
    <row r="34" spans="2:18" x14ac:dyDescent="0.3">
      <c r="B34" s="268">
        <f t="shared" si="2"/>
        <v>48</v>
      </c>
      <c r="C34" s="268">
        <f t="shared" si="3"/>
        <v>-0.81633228790278878</v>
      </c>
      <c r="D34" s="268">
        <f t="shared" si="3"/>
        <v>3.6780743762278689E-2</v>
      </c>
      <c r="E34" s="269">
        <f>C10</f>
        <v>5</v>
      </c>
      <c r="F34" s="269">
        <f>G33</f>
        <v>3.9764870399999999</v>
      </c>
      <c r="G34" s="269">
        <f>F35</f>
        <v>4.0010504999999998</v>
      </c>
      <c r="H34" s="270">
        <f t="shared" si="4"/>
        <v>-1.0235129600000001</v>
      </c>
      <c r="I34" s="270">
        <f t="shared" si="4"/>
        <v>2.4563459999999981E-2</v>
      </c>
      <c r="J34" s="5">
        <f>(C34-B34)/(F34-E34)</f>
        <v>47.694884379287963</v>
      </c>
      <c r="K34" s="5">
        <f t="shared" ref="K34:K36" si="10">(D34-C34)/(G34-F34)</f>
        <v>34.730979742473906</v>
      </c>
      <c r="L34" s="271">
        <f t="shared" ref="L34:L36" si="11">(K34-J34)/(I34+H34)</f>
        <v>12.977537539999824</v>
      </c>
      <c r="M34" s="271">
        <f t="shared" ref="M34:M36" si="12">(L34*I34)+K34</f>
        <v>35.049752966736193</v>
      </c>
      <c r="N34" s="271">
        <f t="shared" si="6"/>
        <v>3.6780743762278689E-2</v>
      </c>
      <c r="O34" s="272">
        <f t="shared" si="7"/>
        <v>95.369748847075925</v>
      </c>
      <c r="P34" s="272">
        <f t="shared" ref="P34:P36" si="13">J34-(SQRT(J34^2-(4*L34*N34)))</f>
        <v>2.0019911500007481E-2</v>
      </c>
      <c r="Q34" s="274">
        <f t="shared" si="8"/>
        <v>4.0002791706380814</v>
      </c>
      <c r="R34" s="273">
        <f t="shared" si="9"/>
        <v>1.9281888313696073E-4</v>
      </c>
    </row>
    <row r="35" spans="2:18" x14ac:dyDescent="0.3">
      <c r="B35" s="268">
        <f>E35^3-13*E35-12</f>
        <v>-0.81633228790278878</v>
      </c>
      <c r="C35" s="268">
        <f t="shared" si="3"/>
        <v>3.6780743762278689E-2</v>
      </c>
      <c r="D35" s="268">
        <f t="shared" si="3"/>
        <v>2.4850006056453822E-5</v>
      </c>
      <c r="E35" s="275">
        <f>F34</f>
        <v>3.9764870399999999</v>
      </c>
      <c r="F35" s="269">
        <v>4.0010504999999998</v>
      </c>
      <c r="G35" s="269">
        <f>F36</f>
        <v>4.0000007100000001</v>
      </c>
      <c r="H35" s="270">
        <f t="shared" si="4"/>
        <v>2.4563459999999981E-2</v>
      </c>
      <c r="I35" s="270">
        <f t="shared" si="4"/>
        <v>-1.0497899999997173E-3</v>
      </c>
      <c r="J35" s="5">
        <f t="shared" ref="J35:J36" si="14">(C35-B35)/(F35-E35)</f>
        <v>34.730979742473906</v>
      </c>
      <c r="K35" s="5">
        <f t="shared" si="10"/>
        <v>35.01261562429832</v>
      </c>
      <c r="L35" s="271">
        <f t="shared" si="11"/>
        <v>11.97753825006521</v>
      </c>
      <c r="M35" s="271">
        <f t="shared" si="12"/>
        <v>35.000041724418786</v>
      </c>
      <c r="N35" s="271">
        <f t="shared" si="6"/>
        <v>2.4850006056453822E-5</v>
      </c>
      <c r="O35" s="272">
        <f t="shared" si="7"/>
        <v>69.461942345093206</v>
      </c>
      <c r="P35" s="272">
        <f t="shared" si="13"/>
        <v>1.7139854598724469E-5</v>
      </c>
      <c r="Q35" s="274">
        <f t="shared" si="8"/>
        <v>3.9999999945001101</v>
      </c>
      <c r="R35" s="273">
        <f t="shared" si="9"/>
        <v>1.7887497274663479E-7</v>
      </c>
    </row>
    <row r="36" spans="2:18" x14ac:dyDescent="0.3">
      <c r="B36" s="268">
        <f>E36^3-13*E36-12</f>
        <v>3.6780743762278689E-2</v>
      </c>
      <c r="C36" s="268">
        <f>F36^3-13*F36-12</f>
        <v>2.4850006056453822E-5</v>
      </c>
      <c r="D36" s="276">
        <f>G36^3-13*G36-12</f>
        <v>0</v>
      </c>
      <c r="E36" s="269">
        <f>F35</f>
        <v>4.0010504999999998</v>
      </c>
      <c r="F36" s="269">
        <f>F11</f>
        <v>4.0000007100000001</v>
      </c>
      <c r="G36" s="269">
        <v>4</v>
      </c>
      <c r="H36" s="270">
        <f t="shared" si="4"/>
        <v>-1.0497899999997173E-3</v>
      </c>
      <c r="I36" s="270">
        <f t="shared" si="4"/>
        <v>-7.1000000012588771E-7</v>
      </c>
      <c r="J36" s="5">
        <f t="shared" si="14"/>
        <v>35.01261562429832</v>
      </c>
      <c r="K36" s="5">
        <f t="shared" si="10"/>
        <v>35.000008524010916</v>
      </c>
      <c r="L36" s="277">
        <f t="shared" si="11"/>
        <v>12.001047394008639</v>
      </c>
      <c r="M36" s="271">
        <f t="shared" si="12"/>
        <v>35.000000003267267</v>
      </c>
      <c r="N36" s="271">
        <f t="shared" si="6"/>
        <v>0</v>
      </c>
      <c r="O36" s="272">
        <f t="shared" si="7"/>
        <v>70.02523124859664</v>
      </c>
      <c r="P36" s="272">
        <f t="shared" si="13"/>
        <v>0</v>
      </c>
      <c r="Q36" s="274">
        <f t="shared" si="8"/>
        <v>4</v>
      </c>
      <c r="R36" s="273">
        <f t="shared" si="9"/>
        <v>0</v>
      </c>
    </row>
  </sheetData>
  <mergeCells count="4">
    <mergeCell ref="A1:N1"/>
    <mergeCell ref="B7:C7"/>
    <mergeCell ref="B15:C15"/>
    <mergeCell ref="E15:F15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28"/>
  <sheetViews>
    <sheetView topLeftCell="A8" zoomScaleNormal="100" workbookViewId="0">
      <selection activeCell="L24" sqref="L24"/>
    </sheetView>
  </sheetViews>
  <sheetFormatPr baseColWidth="10" defaultColWidth="11.44140625" defaultRowHeight="14.4" x14ac:dyDescent="0.3"/>
  <cols>
    <col min="1" max="1" width="11.44140625" style="279" customWidth="1"/>
    <col min="2" max="3" width="11.44140625" style="279"/>
    <col min="4" max="18" width="12" style="279" customWidth="1"/>
    <col min="19" max="16384" width="11.44140625" style="279"/>
  </cols>
  <sheetData>
    <row r="1" spans="1:16" s="61" customFormat="1" ht="28.8" x14ac:dyDescent="0.55000000000000004">
      <c r="A1" s="610" t="s">
        <v>147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6" s="400" customFormat="1" ht="15.75" customHeight="1" x14ac:dyDescent="0.3">
      <c r="A2" s="398"/>
      <c r="B2" s="399"/>
      <c r="C2" s="399"/>
      <c r="D2" s="399"/>
      <c r="E2" s="399"/>
      <c r="F2" s="399"/>
      <c r="G2" s="399"/>
      <c r="H2" s="399"/>
      <c r="I2" s="399"/>
      <c r="J2" s="399"/>
      <c r="K2" s="399"/>
      <c r="L2" s="399"/>
      <c r="M2" s="399"/>
      <c r="N2" s="399"/>
      <c r="O2" s="399"/>
      <c r="P2" s="399"/>
    </row>
    <row r="3" spans="1:16" ht="15" thickBot="1" x14ac:dyDescent="0.35"/>
    <row r="4" spans="1:16" ht="15" thickBot="1" x14ac:dyDescent="0.35">
      <c r="B4" s="617" t="s">
        <v>148</v>
      </c>
      <c r="C4" s="618"/>
    </row>
    <row r="5" spans="1:16" ht="15" thickBot="1" x14ac:dyDescent="0.35">
      <c r="B5" s="401" t="s">
        <v>22</v>
      </c>
      <c r="C5" s="401" t="s">
        <v>63</v>
      </c>
    </row>
    <row r="6" spans="1:16" x14ac:dyDescent="0.3">
      <c r="B6" s="390">
        <v>5</v>
      </c>
      <c r="C6" s="395">
        <f>(B6^3)-(13*B6)-12</f>
        <v>48</v>
      </c>
    </row>
    <row r="7" spans="1:16" x14ac:dyDescent="0.3">
      <c r="B7" s="391">
        <v>4</v>
      </c>
      <c r="C7" s="396">
        <f t="shared" ref="C7:C16" si="0">(B7^3)-(13*B7)-12</f>
        <v>0</v>
      </c>
    </row>
    <row r="8" spans="1:16" x14ac:dyDescent="0.3">
      <c r="B8" s="391">
        <v>3</v>
      </c>
      <c r="C8" s="396">
        <f t="shared" si="0"/>
        <v>-24</v>
      </c>
    </row>
    <row r="9" spans="1:16" x14ac:dyDescent="0.3">
      <c r="B9" s="391">
        <v>2</v>
      </c>
      <c r="C9" s="396">
        <f t="shared" si="0"/>
        <v>-30</v>
      </c>
    </row>
    <row r="10" spans="1:16" x14ac:dyDescent="0.3">
      <c r="B10" s="391">
        <v>1</v>
      </c>
      <c r="C10" s="396">
        <f t="shared" si="0"/>
        <v>-24</v>
      </c>
    </row>
    <row r="11" spans="1:16" x14ac:dyDescent="0.3">
      <c r="B11" s="391">
        <v>0</v>
      </c>
      <c r="C11" s="396">
        <f t="shared" si="0"/>
        <v>-12</v>
      </c>
    </row>
    <row r="12" spans="1:16" x14ac:dyDescent="0.3">
      <c r="B12" s="391">
        <v>-1</v>
      </c>
      <c r="C12" s="396">
        <f t="shared" si="0"/>
        <v>0</v>
      </c>
    </row>
    <row r="13" spans="1:16" x14ac:dyDescent="0.3">
      <c r="B13" s="391">
        <v>-2</v>
      </c>
      <c r="C13" s="396">
        <f t="shared" si="0"/>
        <v>6</v>
      </c>
    </row>
    <row r="14" spans="1:16" x14ac:dyDescent="0.3">
      <c r="B14" s="391">
        <v>-3</v>
      </c>
      <c r="C14" s="396">
        <f t="shared" si="0"/>
        <v>0</v>
      </c>
    </row>
    <row r="15" spans="1:16" x14ac:dyDescent="0.3">
      <c r="B15" s="391">
        <v>-4</v>
      </c>
      <c r="C15" s="396">
        <f t="shared" si="0"/>
        <v>-24</v>
      </c>
    </row>
    <row r="16" spans="1:16" ht="15" thickBot="1" x14ac:dyDescent="0.35">
      <c r="B16" s="392">
        <v>-5</v>
      </c>
      <c r="C16" s="397">
        <f t="shared" si="0"/>
        <v>-72</v>
      </c>
    </row>
    <row r="19" spans="2:15" ht="15" thickBot="1" x14ac:dyDescent="0.35"/>
    <row r="20" spans="2:15" ht="15" thickBot="1" x14ac:dyDescent="0.35">
      <c r="B20" s="10" t="s">
        <v>149</v>
      </c>
      <c r="C20" s="11" t="s">
        <v>150</v>
      </c>
      <c r="D20" s="38" t="s">
        <v>151</v>
      </c>
      <c r="E20" s="11" t="s">
        <v>32</v>
      </c>
      <c r="F20" s="38" t="s">
        <v>152</v>
      </c>
      <c r="G20" s="11" t="s">
        <v>109</v>
      </c>
      <c r="H20" s="38" t="s">
        <v>110</v>
      </c>
      <c r="I20" s="11" t="s">
        <v>153</v>
      </c>
      <c r="J20" s="38" t="s">
        <v>154</v>
      </c>
      <c r="K20" s="11" t="s">
        <v>155</v>
      </c>
      <c r="L20" s="38" t="s">
        <v>156</v>
      </c>
      <c r="M20" s="10" t="s">
        <v>42</v>
      </c>
      <c r="N20" s="11" t="s">
        <v>157</v>
      </c>
    </row>
    <row r="21" spans="2:15" x14ac:dyDescent="0.3">
      <c r="B21" s="402">
        <v>0</v>
      </c>
      <c r="C21" s="403">
        <v>4.5</v>
      </c>
      <c r="D21" s="404">
        <f>(C21^3)-(13*C21)-12</f>
        <v>20.625</v>
      </c>
      <c r="E21" s="403"/>
      <c r="F21" s="404"/>
      <c r="G21" s="403"/>
      <c r="H21" s="404"/>
      <c r="I21" s="403"/>
      <c r="J21" s="405"/>
      <c r="K21" s="403"/>
      <c r="L21" s="405"/>
      <c r="M21" s="406"/>
      <c r="N21" s="407"/>
    </row>
    <row r="22" spans="2:15" x14ac:dyDescent="0.3">
      <c r="B22" s="408">
        <v>1</v>
      </c>
      <c r="C22" s="409">
        <v>5.5</v>
      </c>
      <c r="D22" s="317">
        <f t="shared" ref="D22:D28" si="1">(C22^3)-(13*C22)-12</f>
        <v>82.875</v>
      </c>
      <c r="E22" s="409">
        <f>C22-C21</f>
        <v>1</v>
      </c>
      <c r="F22" s="317">
        <f>(D22-D21)/(C22-C21)</f>
        <v>62.25</v>
      </c>
      <c r="G22" s="409"/>
      <c r="H22" s="317"/>
      <c r="I22" s="409"/>
      <c r="J22" s="410"/>
      <c r="K22" s="409"/>
      <c r="L22" s="410"/>
      <c r="M22" s="411"/>
      <c r="N22" s="412"/>
    </row>
    <row r="23" spans="2:15" x14ac:dyDescent="0.3">
      <c r="B23" s="408">
        <v>2</v>
      </c>
      <c r="C23" s="409">
        <v>5</v>
      </c>
      <c r="D23" s="317">
        <f t="shared" si="1"/>
        <v>48</v>
      </c>
      <c r="E23" s="409">
        <f t="shared" ref="E23:E28" si="2">C23-C22</f>
        <v>-0.5</v>
      </c>
      <c r="F23" s="317">
        <f t="shared" ref="F23:F28" si="3">(D23-D22)/(C23-C22)</f>
        <v>69.75</v>
      </c>
      <c r="G23" s="409">
        <f>(F23-F22)/(E23+E22)</f>
        <v>15</v>
      </c>
      <c r="H23" s="317">
        <f>(G23*E23)+F23</f>
        <v>62.25</v>
      </c>
      <c r="I23" s="409">
        <f>D23</f>
        <v>48</v>
      </c>
      <c r="J23" s="410">
        <f t="shared" ref="J23:J28" si="4">SQRT((H23^2)-(4*G23*I23))</f>
        <v>31.544611267219636</v>
      </c>
      <c r="K23" s="409">
        <f>IF((F23+J23)&gt;(F23-J23),1,-1)</f>
        <v>1</v>
      </c>
      <c r="L23" s="410">
        <f>C23+((-2*I23)/(H23+(K23*J23)))</f>
        <v>3.9764870422406546</v>
      </c>
      <c r="M23" s="413">
        <f>ABS((L23-C23)/L23)</f>
        <v>0.25739124681835263</v>
      </c>
      <c r="N23" s="412" t="str">
        <f>IF(M23=0,"aquí","")</f>
        <v/>
      </c>
      <c r="O23" s="393">
        <f>M23</f>
        <v>0.25739124681835263</v>
      </c>
    </row>
    <row r="24" spans="2:15" x14ac:dyDescent="0.3">
      <c r="B24" s="408">
        <v>3</v>
      </c>
      <c r="C24" s="409">
        <f>L23</f>
        <v>3.9764870422406546</v>
      </c>
      <c r="D24" s="317">
        <f t="shared" si="1"/>
        <v>-0.81633221074058326</v>
      </c>
      <c r="E24" s="409">
        <f t="shared" si="2"/>
        <v>-1.0235129577593454</v>
      </c>
      <c r="F24" s="317">
        <f t="shared" si="3"/>
        <v>47.694884408311104</v>
      </c>
      <c r="G24" s="409">
        <f t="shared" ref="G24:G28" si="5">(F24-F23)/(E24-E23)</f>
        <v>42.129072957593252</v>
      </c>
      <c r="H24" s="317">
        <f t="shared" ref="H24:H28" si="6">(G24*E24)+F24</f>
        <v>4.5752323378255824</v>
      </c>
      <c r="I24" s="409">
        <f t="shared" ref="I24:I28" si="7">D24</f>
        <v>-0.81633221074058326</v>
      </c>
      <c r="J24" s="410">
        <f t="shared" si="4"/>
        <v>12.589599993676472</v>
      </c>
      <c r="K24" s="409">
        <f t="shared" ref="K24:K28" si="8">IF((F24+J24)&gt;(F24-J24),1,-1)</f>
        <v>1</v>
      </c>
      <c r="L24" s="410">
        <f t="shared" ref="L24:L28" si="9">C24+((-2*I24)/(H24+(K24*J24)))</f>
        <v>4.0716038712285378</v>
      </c>
      <c r="M24" s="413">
        <f t="shared" ref="M24:M28" si="10">ABS((L24-C24)/L24)</f>
        <v>2.3361022338153761E-2</v>
      </c>
      <c r="N24" s="412" t="str">
        <f t="shared" ref="N24:N25" si="11">IF(M24=0,"aquí","")</f>
        <v/>
      </c>
      <c r="O24" s="394">
        <f t="shared" ref="O24:O26" si="12">M24</f>
        <v>2.3361022338153761E-2</v>
      </c>
    </row>
    <row r="25" spans="2:15" ht="15" thickBot="1" x14ac:dyDescent="0.35">
      <c r="B25" s="414">
        <v>4</v>
      </c>
      <c r="C25" s="415">
        <f>L24</f>
        <v>4.0716038712285378</v>
      </c>
      <c r="D25" s="416">
        <f t="shared" si="1"/>
        <v>2.5680279867352596</v>
      </c>
      <c r="E25" s="415">
        <f t="shared" si="2"/>
        <v>9.5116828987883206E-2</v>
      </c>
      <c r="F25" s="416">
        <f t="shared" si="3"/>
        <v>35.581087316388263</v>
      </c>
      <c r="G25" s="415">
        <f t="shared" si="5"/>
        <v>-10.829138679694516</v>
      </c>
      <c r="H25" s="416">
        <f t="shared" si="6"/>
        <v>34.551053984505685</v>
      </c>
      <c r="I25" s="415">
        <f t="shared" si="7"/>
        <v>2.5680279867352596</v>
      </c>
      <c r="J25" s="417">
        <f t="shared" si="4"/>
        <v>36.124969982644934</v>
      </c>
      <c r="K25" s="415">
        <f t="shared" si="8"/>
        <v>1</v>
      </c>
      <c r="L25" s="417">
        <f t="shared" si="9"/>
        <v>3.9989334564941479</v>
      </c>
      <c r="M25" s="418">
        <f t="shared" si="10"/>
        <v>1.8172449110493545E-2</v>
      </c>
      <c r="N25" s="419" t="str">
        <f t="shared" si="11"/>
        <v/>
      </c>
      <c r="O25" s="394">
        <f t="shared" si="12"/>
        <v>1.8172449110493545E-2</v>
      </c>
    </row>
    <row r="26" spans="2:15" ht="15" thickBot="1" x14ac:dyDescent="0.35">
      <c r="B26" s="427">
        <v>5</v>
      </c>
      <c r="C26" s="428">
        <f>L25</f>
        <v>3.9989334564941479</v>
      </c>
      <c r="D26" s="429">
        <f t="shared" si="1"/>
        <v>-3.7315373737435209E-2</v>
      </c>
      <c r="E26" s="428">
        <f t="shared" si="2"/>
        <v>-7.2670414734389954E-2</v>
      </c>
      <c r="F26" s="429">
        <f t="shared" si="3"/>
        <v>35.851499815918395</v>
      </c>
      <c r="G26" s="428">
        <f t="shared" si="5"/>
        <v>-1.6116392017126571</v>
      </c>
      <c r="H26" s="429">
        <f t="shared" si="6"/>
        <v>35.968618305109054</v>
      </c>
      <c r="I26" s="428">
        <f t="shared" si="7"/>
        <v>-3.7315373737435209E-2</v>
      </c>
      <c r="J26" s="429">
        <f t="shared" si="4"/>
        <v>35.965274183607427</v>
      </c>
      <c r="K26" s="428">
        <f t="shared" si="8"/>
        <v>1</v>
      </c>
      <c r="L26" s="429">
        <f t="shared" si="9"/>
        <v>3.9999709472358949</v>
      </c>
      <c r="M26" s="430">
        <f t="shared" si="10"/>
        <v>2.5937456932378721E-4</v>
      </c>
      <c r="N26" s="431" t="str">
        <f>IF(M26&lt;0.001,"aquí","")</f>
        <v>aquí</v>
      </c>
      <c r="O26" s="394">
        <f t="shared" si="12"/>
        <v>2.5937456932378721E-4</v>
      </c>
    </row>
    <row r="27" spans="2:15" x14ac:dyDescent="0.3">
      <c r="B27" s="402">
        <v>6</v>
      </c>
      <c r="C27" s="403">
        <f>L26</f>
        <v>3.9999709472358949</v>
      </c>
      <c r="D27" s="404">
        <f t="shared" si="1"/>
        <v>-1.0168366149514441E-3</v>
      </c>
      <c r="E27" s="403">
        <f t="shared" si="2"/>
        <v>1.0374907417469714E-3</v>
      </c>
      <c r="F27" s="404">
        <f t="shared" si="3"/>
        <v>34.986854014102072</v>
      </c>
      <c r="G27" s="403">
        <f t="shared" si="5"/>
        <v>-11.73070644499936</v>
      </c>
      <c r="H27" s="404">
        <f t="shared" si="6"/>
        <v>34.974683514771236</v>
      </c>
      <c r="I27" s="403">
        <f t="shared" si="7"/>
        <v>-1.0168366149514441E-3</v>
      </c>
      <c r="J27" s="405">
        <f t="shared" si="4"/>
        <v>34.974001402628794</v>
      </c>
      <c r="K27" s="403">
        <f t="shared" si="8"/>
        <v>1</v>
      </c>
      <c r="L27" s="405">
        <f t="shared" si="9"/>
        <v>4.0000000210238049</v>
      </c>
      <c r="M27" s="420">
        <f t="shared" si="10"/>
        <v>7.2684469393126719E-6</v>
      </c>
      <c r="N27" s="421" t="str">
        <f t="shared" ref="N27:N28" si="13">IF(M27&lt;0.001,"aquí","")</f>
        <v>aquí</v>
      </c>
      <c r="O27" s="394">
        <f>M27</f>
        <v>7.2684469393126719E-6</v>
      </c>
    </row>
    <row r="28" spans="2:15" ht="15" thickBot="1" x14ac:dyDescent="0.35">
      <c r="B28" s="422">
        <v>7</v>
      </c>
      <c r="C28" s="423">
        <f>L27</f>
        <v>4.0000000210238049</v>
      </c>
      <c r="D28" s="319">
        <f t="shared" si="1"/>
        <v>7.3583316861913772E-7</v>
      </c>
      <c r="E28" s="423">
        <f t="shared" si="2"/>
        <v>2.90737879100611E-5</v>
      </c>
      <c r="F28" s="319">
        <f t="shared" si="3"/>
        <v>34.999651619799025</v>
      </c>
      <c r="G28" s="423">
        <f t="shared" si="5"/>
        <v>-12.690787920869012</v>
      </c>
      <c r="H28" s="319">
        <f t="shared" si="6"/>
        <v>34.999282650522602</v>
      </c>
      <c r="I28" s="423">
        <f t="shared" si="7"/>
        <v>7.3583316861913772E-7</v>
      </c>
      <c r="J28" s="424">
        <f t="shared" si="4"/>
        <v>34.999283184150833</v>
      </c>
      <c r="K28" s="423">
        <f t="shared" si="8"/>
        <v>1</v>
      </c>
      <c r="L28" s="424">
        <f t="shared" si="9"/>
        <v>3.9999999999995692</v>
      </c>
      <c r="M28" s="425">
        <f t="shared" si="10"/>
        <v>5.256058921432893E-9</v>
      </c>
      <c r="N28" s="426" t="str">
        <f t="shared" si="13"/>
        <v>aquí</v>
      </c>
      <c r="O28" s="394">
        <f>M28</f>
        <v>5.256058921432893E-9</v>
      </c>
    </row>
  </sheetData>
  <mergeCells count="2">
    <mergeCell ref="B4:C4"/>
    <mergeCell ref="A1:N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68"/>
  <sheetViews>
    <sheetView workbookViewId="0">
      <selection activeCell="I19" sqref="I19"/>
    </sheetView>
  </sheetViews>
  <sheetFormatPr baseColWidth="10" defaultColWidth="11.44140625" defaultRowHeight="14.4" x14ac:dyDescent="0.3"/>
  <cols>
    <col min="1" max="3" width="11.44140625" style="279"/>
    <col min="4" max="4" width="10.88671875" style="279" bestFit="1" customWidth="1"/>
    <col min="5" max="6" width="11.44140625" style="279"/>
    <col min="7" max="7" width="11.44140625" style="279" customWidth="1"/>
    <col min="8" max="8" width="11.88671875" style="279" bestFit="1" customWidth="1"/>
    <col min="9" max="16384" width="11.44140625" style="279"/>
  </cols>
  <sheetData>
    <row r="1" spans="1:15" s="61" customFormat="1" ht="28.8" x14ac:dyDescent="0.55000000000000004">
      <c r="A1" s="610" t="s">
        <v>132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5" s="278" customFormat="1" ht="15" customHeight="1" x14ac:dyDescent="0.55000000000000004"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</row>
    <row r="3" spans="1:15" ht="16.5" customHeight="1" x14ac:dyDescent="0.3">
      <c r="A3" s="288"/>
    </row>
    <row r="4" spans="1:15" x14ac:dyDescent="0.3">
      <c r="C4" s="280" t="s">
        <v>63</v>
      </c>
      <c r="D4" s="632" t="s">
        <v>133</v>
      </c>
      <c r="E4" s="632"/>
      <c r="F4" s="632"/>
      <c r="G4" s="632"/>
      <c r="H4" s="632"/>
    </row>
    <row r="5" spans="1:15" ht="15" thickBot="1" x14ac:dyDescent="0.35"/>
    <row r="6" spans="1:15" ht="15" thickBot="1" x14ac:dyDescent="0.35">
      <c r="A6" s="285" t="s">
        <v>48</v>
      </c>
      <c r="B6" s="283" t="s">
        <v>134</v>
      </c>
      <c r="C6" s="286" t="s">
        <v>135</v>
      </c>
      <c r="D6" s="283" t="s">
        <v>136</v>
      </c>
      <c r="E6" s="286" t="s">
        <v>137</v>
      </c>
      <c r="F6" s="283" t="s">
        <v>138</v>
      </c>
      <c r="G6" s="286" t="s">
        <v>139</v>
      </c>
      <c r="H6" s="283" t="s">
        <v>44</v>
      </c>
      <c r="I6" s="284" t="s">
        <v>140</v>
      </c>
      <c r="J6" s="284" t="s">
        <v>140</v>
      </c>
    </row>
    <row r="7" spans="1:15" x14ac:dyDescent="0.3">
      <c r="A7" s="630">
        <v>1</v>
      </c>
      <c r="B7" s="370">
        <v>5</v>
      </c>
      <c r="C7" s="312">
        <v>-1</v>
      </c>
      <c r="D7" s="354">
        <v>-1</v>
      </c>
      <c r="E7" s="346">
        <v>1</v>
      </c>
      <c r="F7" s="333">
        <f>E7</f>
        <v>1</v>
      </c>
      <c r="G7" s="322">
        <f>F7</f>
        <v>1</v>
      </c>
      <c r="H7" s="633"/>
      <c r="I7" s="636"/>
      <c r="J7" s="639"/>
    </row>
    <row r="8" spans="1:15" x14ac:dyDescent="0.3">
      <c r="A8" s="619"/>
      <c r="B8" s="371">
        <v>4</v>
      </c>
      <c r="C8" s="313">
        <v>-1</v>
      </c>
      <c r="D8" s="355">
        <v>-1</v>
      </c>
      <c r="E8" s="347">
        <v>-3.5</v>
      </c>
      <c r="F8" s="334">
        <f>E8+C8*F7</f>
        <v>-4.5</v>
      </c>
      <c r="G8" s="323">
        <f>F8+C8*G7</f>
        <v>-5.5</v>
      </c>
      <c r="H8" s="634"/>
      <c r="I8" s="637"/>
      <c r="J8" s="640"/>
      <c r="K8" s="281"/>
    </row>
    <row r="9" spans="1:15" x14ac:dyDescent="0.3">
      <c r="A9" s="619"/>
      <c r="B9" s="371">
        <v>3</v>
      </c>
      <c r="C9" s="313">
        <v>-1</v>
      </c>
      <c r="D9" s="355">
        <v>-1</v>
      </c>
      <c r="E9" s="347">
        <v>2.75</v>
      </c>
      <c r="F9" s="334">
        <f>E9+C9*F8+D9*F7</f>
        <v>6.25</v>
      </c>
      <c r="G9" s="323">
        <f>F9+C9*G8+D9*G7</f>
        <v>10.75</v>
      </c>
      <c r="H9" s="634"/>
      <c r="I9" s="637"/>
      <c r="J9" s="640"/>
      <c r="K9" s="281"/>
    </row>
    <row r="10" spans="1:15" x14ac:dyDescent="0.3">
      <c r="A10" s="619"/>
      <c r="B10" s="371">
        <v>2</v>
      </c>
      <c r="C10" s="313">
        <v>-1</v>
      </c>
      <c r="D10" s="355">
        <v>-1</v>
      </c>
      <c r="E10" s="347">
        <v>2.125</v>
      </c>
      <c r="F10" s="334">
        <f t="shared" ref="F10:F12" si="0">E10+C10*F9+D10*F8</f>
        <v>0.375</v>
      </c>
      <c r="G10" s="323">
        <f t="shared" ref="G10:G12" si="1">F10+C10*G9+D10*G8</f>
        <v>-4.875</v>
      </c>
      <c r="H10" s="634"/>
      <c r="I10" s="637"/>
      <c r="J10" s="640"/>
      <c r="K10" s="281"/>
    </row>
    <row r="11" spans="1:15" x14ac:dyDescent="0.3">
      <c r="A11" s="619"/>
      <c r="B11" s="371">
        <v>1</v>
      </c>
      <c r="C11" s="313">
        <v>-1</v>
      </c>
      <c r="D11" s="355">
        <v>-1</v>
      </c>
      <c r="E11" s="347">
        <v>-3.875</v>
      </c>
      <c r="F11" s="334">
        <f t="shared" si="0"/>
        <v>-10.5</v>
      </c>
      <c r="G11" s="323">
        <f>F11+C11*G10+D11*G9</f>
        <v>-16.375</v>
      </c>
      <c r="H11" s="634"/>
      <c r="I11" s="637"/>
      <c r="J11" s="640"/>
      <c r="K11" s="281"/>
    </row>
    <row r="12" spans="1:15" ht="15" thickBot="1" x14ac:dyDescent="0.35">
      <c r="A12" s="631"/>
      <c r="B12" s="372">
        <v>0</v>
      </c>
      <c r="C12" s="314">
        <v>-1</v>
      </c>
      <c r="D12" s="356">
        <v>-1</v>
      </c>
      <c r="E12" s="348">
        <v>1.25</v>
      </c>
      <c r="F12" s="335">
        <f t="shared" si="0"/>
        <v>11.375</v>
      </c>
      <c r="G12" s="324">
        <f t="shared" si="1"/>
        <v>32.625</v>
      </c>
      <c r="H12" s="635"/>
      <c r="I12" s="638"/>
      <c r="J12" s="641"/>
      <c r="K12" s="281"/>
    </row>
    <row r="13" spans="1:15" ht="15" hidden="1" customHeight="1" x14ac:dyDescent="0.3">
      <c r="A13" s="289"/>
      <c r="B13" s="373"/>
      <c r="C13" s="315"/>
      <c r="D13" s="357"/>
      <c r="E13" s="349">
        <v>-4.875</v>
      </c>
      <c r="F13" s="336" t="s">
        <v>141</v>
      </c>
      <c r="G13" s="325">
        <v>10.75</v>
      </c>
      <c r="H13" s="302" t="s">
        <v>142</v>
      </c>
      <c r="I13" s="296">
        <v>10.5</v>
      </c>
      <c r="J13" s="292">
        <v>10.5</v>
      </c>
    </row>
    <row r="14" spans="1:15" ht="15" hidden="1" customHeight="1" x14ac:dyDescent="0.3">
      <c r="A14" s="290"/>
      <c r="B14" s="371"/>
      <c r="C14" s="313"/>
      <c r="D14" s="355"/>
      <c r="E14" s="347">
        <v>-16.375</v>
      </c>
      <c r="F14" s="334" t="s">
        <v>141</v>
      </c>
      <c r="G14" s="323">
        <v>-4.875</v>
      </c>
      <c r="H14" s="303" t="s">
        <v>142</v>
      </c>
      <c r="I14" s="297">
        <v>-11.375</v>
      </c>
      <c r="J14" s="293">
        <v>-11.375</v>
      </c>
    </row>
    <row r="15" spans="1:15" ht="15" hidden="1" customHeight="1" x14ac:dyDescent="0.3">
      <c r="A15" s="290"/>
      <c r="B15" s="371"/>
      <c r="C15" s="313"/>
      <c r="D15" s="355"/>
      <c r="E15" s="347">
        <v>-0.45348837209302323</v>
      </c>
      <c r="F15" s="334" t="s">
        <v>141</v>
      </c>
      <c r="G15" s="323">
        <v>1</v>
      </c>
      <c r="H15" s="303" t="s">
        <v>142</v>
      </c>
      <c r="I15" s="297">
        <v>0.97674418604651159</v>
      </c>
      <c r="J15" s="293">
        <v>0.97674418604651159</v>
      </c>
    </row>
    <row r="16" spans="1:15" ht="15" hidden="1" customHeight="1" x14ac:dyDescent="0.3">
      <c r="A16" s="290"/>
      <c r="B16" s="371"/>
      <c r="C16" s="313"/>
      <c r="D16" s="355"/>
      <c r="E16" s="347">
        <v>-3.358974358974359</v>
      </c>
      <c r="F16" s="334" t="s">
        <v>141</v>
      </c>
      <c r="G16" s="323">
        <v>-1</v>
      </c>
      <c r="H16" s="303" t="s">
        <v>142</v>
      </c>
      <c r="I16" s="297">
        <v>-2.3333333333333335</v>
      </c>
      <c r="J16" s="293">
        <v>-2.3333333333333335</v>
      </c>
    </row>
    <row r="17" spans="1:10" x14ac:dyDescent="0.3">
      <c r="A17" s="290"/>
      <c r="B17" s="371"/>
      <c r="C17" s="313"/>
      <c r="D17" s="355"/>
      <c r="E17" s="347">
        <v>-3.8124627310673822</v>
      </c>
      <c r="F17" s="334" t="s">
        <v>141</v>
      </c>
      <c r="G17" s="323">
        <v>0</v>
      </c>
      <c r="H17" s="303" t="s">
        <v>142</v>
      </c>
      <c r="I17" s="297">
        <v>-1.3565891472868219</v>
      </c>
      <c r="J17" s="293">
        <v>-1.3565891472868219</v>
      </c>
    </row>
    <row r="18" spans="1:10" x14ac:dyDescent="0.3">
      <c r="A18" s="290"/>
      <c r="B18" s="371"/>
      <c r="C18" s="313"/>
      <c r="D18" s="355"/>
      <c r="E18" s="347"/>
      <c r="F18" s="334"/>
      <c r="G18" s="323"/>
      <c r="H18" s="303" t="s">
        <v>141</v>
      </c>
      <c r="I18" s="297">
        <v>0.35583013998592328</v>
      </c>
      <c r="J18" s="293">
        <v>0.35583013998592328</v>
      </c>
    </row>
    <row r="19" spans="1:10" x14ac:dyDescent="0.3">
      <c r="A19" s="290"/>
      <c r="B19" s="371"/>
      <c r="C19" s="313"/>
      <c r="D19" s="355"/>
      <c r="E19" s="347"/>
      <c r="F19" s="334"/>
      <c r="G19" s="323"/>
      <c r="H19" s="303" t="s">
        <v>142</v>
      </c>
      <c r="I19" s="297">
        <v>1.1381090169703605</v>
      </c>
      <c r="J19" s="293">
        <v>1.1381090169703605</v>
      </c>
    </row>
    <row r="20" spans="1:10" x14ac:dyDescent="0.3">
      <c r="A20" s="290"/>
      <c r="B20" s="371"/>
      <c r="C20" s="313"/>
      <c r="D20" s="355"/>
      <c r="E20" s="347"/>
      <c r="F20" s="334"/>
      <c r="G20" s="323"/>
      <c r="H20" s="303"/>
      <c r="I20" s="297"/>
      <c r="J20" s="293"/>
    </row>
    <row r="21" spans="1:10" x14ac:dyDescent="0.3">
      <c r="A21" s="290"/>
      <c r="B21" s="371"/>
      <c r="C21" s="313"/>
      <c r="D21" s="355"/>
      <c r="E21" s="347"/>
      <c r="F21" s="334" t="s">
        <v>135</v>
      </c>
      <c r="G21" s="326">
        <v>-0.64416986001407672</v>
      </c>
      <c r="H21" s="303" t="s">
        <v>143</v>
      </c>
      <c r="I21" s="298">
        <v>0.5523855772732793</v>
      </c>
      <c r="J21" s="294">
        <v>0.5523855772732793</v>
      </c>
    </row>
    <row r="22" spans="1:10" x14ac:dyDescent="0.3">
      <c r="A22" s="290"/>
      <c r="B22" s="371"/>
      <c r="C22" s="313"/>
      <c r="D22" s="355"/>
      <c r="E22" s="347"/>
      <c r="F22" s="334" t="s">
        <v>136</v>
      </c>
      <c r="G22" s="326">
        <v>0.13810901697036049</v>
      </c>
      <c r="H22" s="303" t="s">
        <v>144</v>
      </c>
      <c r="I22" s="298">
        <v>8.2406568516421306</v>
      </c>
      <c r="J22" s="294">
        <v>8.2406568516421306</v>
      </c>
    </row>
    <row r="23" spans="1:10" x14ac:dyDescent="0.3">
      <c r="A23" s="619">
        <v>2</v>
      </c>
      <c r="B23" s="371">
        <v>5</v>
      </c>
      <c r="C23" s="316">
        <v>-0.64416986001407672</v>
      </c>
      <c r="D23" s="358">
        <v>0.13810901697036049</v>
      </c>
      <c r="E23" s="347">
        <v>1</v>
      </c>
      <c r="F23" s="337">
        <v>1</v>
      </c>
      <c r="G23" s="323">
        <v>1</v>
      </c>
      <c r="H23" s="620">
        <f>ABS((1+C23)/C23)</f>
        <v>0.5523855772732793</v>
      </c>
      <c r="I23" s="621">
        <f>ABS((1+D23)/D23)</f>
        <v>8.2406568516421306</v>
      </c>
      <c r="J23" s="622" t="str">
        <f>IF(I23&lt;0.01,"aquí","")</f>
        <v/>
      </c>
    </row>
    <row r="24" spans="1:10" x14ac:dyDescent="0.3">
      <c r="A24" s="619"/>
      <c r="B24" s="371">
        <v>4</v>
      </c>
      <c r="C24" s="316">
        <v>-0.64416986001407672</v>
      </c>
      <c r="D24" s="358">
        <v>0.13810901697036049</v>
      </c>
      <c r="E24" s="347">
        <v>-3.5</v>
      </c>
      <c r="F24" s="337">
        <v>-4.1441698600140766</v>
      </c>
      <c r="G24" s="327">
        <v>-4.7883397200281532</v>
      </c>
      <c r="H24" s="620"/>
      <c r="I24" s="621"/>
      <c r="J24" s="622"/>
    </row>
    <row r="25" spans="1:10" x14ac:dyDescent="0.3">
      <c r="A25" s="619"/>
      <c r="B25" s="371">
        <v>3</v>
      </c>
      <c r="C25" s="316">
        <v>-0.64416986001407672</v>
      </c>
      <c r="D25" s="358">
        <v>0.13810901697036049</v>
      </c>
      <c r="E25" s="347">
        <v>2.75</v>
      </c>
      <c r="F25" s="337">
        <v>5.5576583355701841</v>
      </c>
      <c r="G25" s="327">
        <v>8.7802714796909243</v>
      </c>
      <c r="H25" s="620"/>
      <c r="I25" s="621"/>
      <c r="J25" s="622"/>
    </row>
    <row r="26" spans="1:10" x14ac:dyDescent="0.3">
      <c r="A26" s="619"/>
      <c r="B26" s="371">
        <v>2</v>
      </c>
      <c r="C26" s="316">
        <v>-0.64416986001407672</v>
      </c>
      <c r="D26" s="358">
        <v>0.13810901697036049</v>
      </c>
      <c r="E26" s="347">
        <v>2.125</v>
      </c>
      <c r="F26" s="337">
        <v>-2.0274232175550528</v>
      </c>
      <c r="G26" s="327">
        <v>-8.3447223591663651</v>
      </c>
      <c r="H26" s="620"/>
      <c r="I26" s="621"/>
      <c r="J26" s="622"/>
    </row>
    <row r="27" spans="1:10" x14ac:dyDescent="0.3">
      <c r="A27" s="619"/>
      <c r="B27" s="371">
        <v>1</v>
      </c>
      <c r="C27" s="316">
        <v>-0.64416986001407672</v>
      </c>
      <c r="D27" s="358">
        <v>0.13810901697036049</v>
      </c>
      <c r="E27" s="347">
        <v>-3.875</v>
      </c>
      <c r="F27" s="337">
        <v>-1.8014323403755448</v>
      </c>
      <c r="G27" s="327">
        <v>4.7866209563779947</v>
      </c>
      <c r="H27" s="620"/>
      <c r="I27" s="621"/>
      <c r="J27" s="622"/>
    </row>
    <row r="28" spans="1:10" x14ac:dyDescent="0.3">
      <c r="A28" s="619"/>
      <c r="B28" s="371">
        <v>0</v>
      </c>
      <c r="C28" s="316">
        <v>-0.64416986001407672</v>
      </c>
      <c r="D28" s="358">
        <v>0.13810901697036049</v>
      </c>
      <c r="E28" s="347">
        <v>1.25</v>
      </c>
      <c r="F28" s="337">
        <v>2.1304229909651315</v>
      </c>
      <c r="G28" s="327">
        <v>-2.1054553623603818</v>
      </c>
      <c r="H28" s="620"/>
      <c r="I28" s="621"/>
      <c r="J28" s="622"/>
    </row>
    <row r="29" spans="1:10" x14ac:dyDescent="0.3">
      <c r="A29" s="290"/>
      <c r="B29" s="371"/>
      <c r="C29" s="313"/>
      <c r="D29" s="355"/>
      <c r="E29" s="347"/>
      <c r="F29" s="334"/>
      <c r="G29" s="323"/>
      <c r="H29" s="304"/>
      <c r="I29" s="299"/>
      <c r="J29" s="293"/>
    </row>
    <row r="30" spans="1:10" x14ac:dyDescent="0.3">
      <c r="A30" s="290"/>
      <c r="B30" s="371"/>
      <c r="C30" s="313"/>
      <c r="D30" s="359">
        <f>G26</f>
        <v>-8.3447223591663651</v>
      </c>
      <c r="E30" s="347" t="s">
        <v>141</v>
      </c>
      <c r="F30" s="337">
        <f>G25</f>
        <v>8.7802714796909243</v>
      </c>
      <c r="G30" s="323" t="s">
        <v>142</v>
      </c>
      <c r="H30" s="305">
        <f>-F27</f>
        <v>1.8014323403755448</v>
      </c>
      <c r="I30" s="299"/>
      <c r="J30" s="293"/>
    </row>
    <row r="31" spans="1:10" x14ac:dyDescent="0.3">
      <c r="A31" s="290"/>
      <c r="B31" s="371"/>
      <c r="C31" s="313"/>
      <c r="D31" s="359">
        <f>G27</f>
        <v>4.7866209563779947</v>
      </c>
      <c r="E31" s="347" t="s">
        <v>141</v>
      </c>
      <c r="F31" s="337">
        <f>G26</f>
        <v>-8.3447223591663651</v>
      </c>
      <c r="G31" s="323" t="s">
        <v>142</v>
      </c>
      <c r="H31" s="305">
        <f>-F28</f>
        <v>-2.1304229909651315</v>
      </c>
      <c r="I31" s="299"/>
      <c r="J31" s="293"/>
    </row>
    <row r="32" spans="1:10" x14ac:dyDescent="0.3">
      <c r="A32" s="290"/>
      <c r="B32" s="371"/>
      <c r="C32" s="313"/>
      <c r="D32" s="355">
        <f>D30/F30</f>
        <v>-0.95039457247626113</v>
      </c>
      <c r="E32" s="347" t="s">
        <v>141</v>
      </c>
      <c r="F32" s="334">
        <f>F30/F30</f>
        <v>1</v>
      </c>
      <c r="G32" s="323" t="s">
        <v>142</v>
      </c>
      <c r="H32" s="304">
        <f>H30/F30</f>
        <v>0.20516818238961301</v>
      </c>
      <c r="I32" s="299"/>
      <c r="J32" s="293"/>
    </row>
    <row r="33" spans="1:10" x14ac:dyDescent="0.3">
      <c r="A33" s="290"/>
      <c r="B33" s="371"/>
      <c r="C33" s="313"/>
      <c r="D33" s="355">
        <f>D31/(-F$31)</f>
        <v>0.5736105708921605</v>
      </c>
      <c r="E33" s="347" t="s">
        <v>141</v>
      </c>
      <c r="F33" s="334">
        <f>F31/(-F$31)</f>
        <v>-1</v>
      </c>
      <c r="G33" s="323" t="s">
        <v>142</v>
      </c>
      <c r="H33" s="304">
        <f>H31/(-F$31)</f>
        <v>-0.25530184220268776</v>
      </c>
      <c r="I33" s="299"/>
      <c r="J33" s="293"/>
    </row>
    <row r="34" spans="1:10" x14ac:dyDescent="0.3">
      <c r="A34" s="290"/>
      <c r="B34" s="371"/>
      <c r="C34" s="313"/>
      <c r="D34" s="355">
        <f>D32+D33</f>
        <v>-0.37678400158410064</v>
      </c>
      <c r="E34" s="347" t="s">
        <v>141</v>
      </c>
      <c r="F34" s="334">
        <f t="shared" ref="F34" si="2">F32+F33</f>
        <v>0</v>
      </c>
      <c r="G34" s="323" t="s">
        <v>142</v>
      </c>
      <c r="H34" s="304">
        <f>H32+H33</f>
        <v>-5.0133659813074744E-2</v>
      </c>
      <c r="I34" s="299"/>
      <c r="J34" s="293"/>
    </row>
    <row r="35" spans="1:10" ht="15" thickBot="1" x14ac:dyDescent="0.35">
      <c r="A35" s="291"/>
      <c r="B35" s="374"/>
      <c r="C35" s="318"/>
      <c r="D35" s="360"/>
      <c r="E35" s="350" t="s">
        <v>141</v>
      </c>
      <c r="F35" s="338">
        <f>H34/D34</f>
        <v>0.13305676356294174</v>
      </c>
      <c r="G35" s="328" t="s">
        <v>142</v>
      </c>
      <c r="H35" s="306">
        <f>H32-(D32*F35)</f>
        <v>0.33162460831108997</v>
      </c>
      <c r="I35" s="300"/>
      <c r="J35" s="295"/>
    </row>
    <row r="36" spans="1:10" x14ac:dyDescent="0.3">
      <c r="A36" s="630">
        <v>3</v>
      </c>
      <c r="B36" s="370">
        <v>5</v>
      </c>
      <c r="C36" s="367">
        <f>C27+F35</f>
        <v>-0.51111309645113501</v>
      </c>
      <c r="D36" s="361">
        <f>D23+H35</f>
        <v>0.46973362528145046</v>
      </c>
      <c r="E36" s="346">
        <v>1</v>
      </c>
      <c r="F36" s="333">
        <v>1</v>
      </c>
      <c r="G36" s="322">
        <v>1</v>
      </c>
      <c r="H36" s="626">
        <f>ABS((C36-C27)/C36)</f>
        <v>0.26032743924350332</v>
      </c>
      <c r="I36" s="628">
        <f>ABS((D36-D27)/D36)</f>
        <v>0.70598439298951687</v>
      </c>
      <c r="J36" s="622" t="str">
        <f>IF(I36&lt;0.01,"aquí","")</f>
        <v/>
      </c>
    </row>
    <row r="37" spans="1:10" x14ac:dyDescent="0.3">
      <c r="A37" s="619"/>
      <c r="B37" s="371">
        <v>4</v>
      </c>
      <c r="C37" s="316">
        <f>C36</f>
        <v>-0.51111309645113501</v>
      </c>
      <c r="D37" s="358">
        <f>D36</f>
        <v>0.46973362528145046</v>
      </c>
      <c r="E37" s="347">
        <v>-3.5</v>
      </c>
      <c r="F37" s="337">
        <f>E37+C37*F36</f>
        <v>-4.011113096451135</v>
      </c>
      <c r="G37" s="327">
        <f>F37+C37*G36</f>
        <v>-4.52222619290227</v>
      </c>
      <c r="H37" s="620"/>
      <c r="I37" s="621"/>
      <c r="J37" s="622"/>
    </row>
    <row r="38" spans="1:10" x14ac:dyDescent="0.3">
      <c r="A38" s="619"/>
      <c r="B38" s="371">
        <v>3</v>
      </c>
      <c r="C38" s="316">
        <f t="shared" ref="C38:D41" si="3">C37</f>
        <v>-0.51111309645113501</v>
      </c>
      <c r="D38" s="358">
        <f t="shared" si="3"/>
        <v>0.46973362528145046</v>
      </c>
      <c r="E38" s="347">
        <v>2.75</v>
      </c>
      <c r="F38" s="337">
        <f>E38+C38*F37+D38*F36</f>
        <v>5.2698660602242899</v>
      </c>
      <c r="G38" s="327">
        <f>F38+C38*G37+D38*G36</f>
        <v>8.0509687178124487</v>
      </c>
      <c r="H38" s="620"/>
      <c r="I38" s="621"/>
      <c r="J38" s="622"/>
    </row>
    <row r="39" spans="1:10" x14ac:dyDescent="0.3">
      <c r="A39" s="619"/>
      <c r="B39" s="371">
        <v>2</v>
      </c>
      <c r="C39" s="316">
        <f t="shared" si="3"/>
        <v>-0.51111309645113501</v>
      </c>
      <c r="D39" s="358">
        <f t="shared" si="3"/>
        <v>0.46973362528145046</v>
      </c>
      <c r="E39" s="347">
        <v>2.125</v>
      </c>
      <c r="F39" s="337">
        <f t="shared" ref="F39:F41" si="4">E39+C39*F38+D39*F37</f>
        <v>-2.4526522561338764</v>
      </c>
      <c r="G39" s="327">
        <f t="shared" ref="G39:G41" si="5">F39+C39*G38+D39*G37</f>
        <v>-8.691849510860937</v>
      </c>
      <c r="H39" s="620"/>
      <c r="I39" s="621"/>
      <c r="J39" s="622"/>
    </row>
    <row r="40" spans="1:10" x14ac:dyDescent="0.3">
      <c r="A40" s="619"/>
      <c r="B40" s="371">
        <v>1</v>
      </c>
      <c r="C40" s="316">
        <f t="shared" si="3"/>
        <v>-0.51111309645113501</v>
      </c>
      <c r="D40" s="358">
        <f t="shared" si="3"/>
        <v>0.46973362528145046</v>
      </c>
      <c r="E40" s="347">
        <v>-3.875</v>
      </c>
      <c r="F40" s="337">
        <f t="shared" si="4"/>
        <v>-0.14598402163272217</v>
      </c>
      <c r="G40" s="327">
        <f t="shared" si="5"/>
        <v>8.0783448185962854</v>
      </c>
      <c r="H40" s="620"/>
      <c r="I40" s="621"/>
      <c r="J40" s="622"/>
    </row>
    <row r="41" spans="1:10" ht="15" thickBot="1" x14ac:dyDescent="0.35">
      <c r="A41" s="631"/>
      <c r="B41" s="372">
        <v>0</v>
      </c>
      <c r="C41" s="368">
        <f t="shared" si="3"/>
        <v>-0.51111309645113501</v>
      </c>
      <c r="D41" s="362">
        <f t="shared" si="3"/>
        <v>0.46973362528145046</v>
      </c>
      <c r="E41" s="348">
        <v>1.25</v>
      </c>
      <c r="F41" s="339">
        <f t="shared" si="4"/>
        <v>0.17252110950059585</v>
      </c>
      <c r="G41" s="329">
        <f t="shared" si="5"/>
        <v>-8.0392807060696434</v>
      </c>
      <c r="H41" s="627"/>
      <c r="I41" s="629"/>
      <c r="J41" s="622"/>
    </row>
    <row r="42" spans="1:10" x14ac:dyDescent="0.3">
      <c r="A42" s="289"/>
      <c r="B42" s="373"/>
      <c r="C42" s="315"/>
      <c r="D42" s="363">
        <f>G39</f>
        <v>-8.691849510860937</v>
      </c>
      <c r="E42" s="349" t="s">
        <v>141</v>
      </c>
      <c r="F42" s="340">
        <f>G38</f>
        <v>8.0509687178124487</v>
      </c>
      <c r="G42" s="325" t="s">
        <v>142</v>
      </c>
      <c r="H42" s="307">
        <f>-F40</f>
        <v>0.14598402163272217</v>
      </c>
      <c r="I42" s="296"/>
      <c r="J42" s="292"/>
    </row>
    <row r="43" spans="1:10" x14ac:dyDescent="0.3">
      <c r="A43" s="290"/>
      <c r="B43" s="371"/>
      <c r="C43" s="313"/>
      <c r="D43" s="359">
        <f>G40</f>
        <v>8.0783448185962854</v>
      </c>
      <c r="E43" s="347" t="s">
        <v>141</v>
      </c>
      <c r="F43" s="337">
        <f>G39</f>
        <v>-8.691849510860937</v>
      </c>
      <c r="G43" s="323" t="s">
        <v>142</v>
      </c>
      <c r="H43" s="308">
        <f>-F41</f>
        <v>-0.17252110950059585</v>
      </c>
      <c r="I43" s="297"/>
      <c r="J43" s="293"/>
    </row>
    <row r="44" spans="1:10" x14ac:dyDescent="0.3">
      <c r="A44" s="290"/>
      <c r="B44" s="371"/>
      <c r="C44" s="313"/>
      <c r="D44" s="355">
        <f>D42/F42</f>
        <v>-1.0796029416473281</v>
      </c>
      <c r="E44" s="347" t="s">
        <v>141</v>
      </c>
      <c r="F44" s="334">
        <f>F42/F42</f>
        <v>1</v>
      </c>
      <c r="G44" s="323" t="s">
        <v>142</v>
      </c>
      <c r="H44" s="303">
        <f>H42/F42</f>
        <v>1.8132479053078212E-2</v>
      </c>
      <c r="I44" s="297"/>
      <c r="J44" s="293"/>
    </row>
    <row r="45" spans="1:10" x14ac:dyDescent="0.3">
      <c r="A45" s="290"/>
      <c r="B45" s="371"/>
      <c r="C45" s="313"/>
      <c r="D45" s="355">
        <f>D43/(-F43)</f>
        <v>0.92941609360607957</v>
      </c>
      <c r="E45" s="347" t="s">
        <v>141</v>
      </c>
      <c r="F45" s="334">
        <f>F43/(-F43)</f>
        <v>-1</v>
      </c>
      <c r="G45" s="323" t="s">
        <v>142</v>
      </c>
      <c r="H45" s="303">
        <f>H43/(-F43)</f>
        <v>-1.9848607512707322E-2</v>
      </c>
      <c r="I45" s="297"/>
      <c r="J45" s="293"/>
    </row>
    <row r="46" spans="1:10" x14ac:dyDescent="0.3">
      <c r="A46" s="290"/>
      <c r="B46" s="371"/>
      <c r="C46" s="313"/>
      <c r="D46" s="355">
        <f>D44+D45</f>
        <v>-0.15018684804124849</v>
      </c>
      <c r="E46" s="347" t="s">
        <v>141</v>
      </c>
      <c r="F46" s="334">
        <f>F44+F45</f>
        <v>0</v>
      </c>
      <c r="G46" s="323" t="s">
        <v>142</v>
      </c>
      <c r="H46" s="303">
        <f>H44+H45</f>
        <v>-1.7161284596291099E-3</v>
      </c>
      <c r="I46" s="297"/>
      <c r="J46" s="293"/>
    </row>
    <row r="47" spans="1:10" x14ac:dyDescent="0.3">
      <c r="A47" s="290"/>
      <c r="B47" s="371"/>
      <c r="C47" s="313"/>
      <c r="D47" s="355"/>
      <c r="E47" s="347" t="s">
        <v>141</v>
      </c>
      <c r="F47" s="334">
        <f>H46/D46</f>
        <v>1.1426622783626026E-2</v>
      </c>
      <c r="G47" s="323" t="s">
        <v>142</v>
      </c>
      <c r="H47" s="303">
        <f>H44-(D44*F47)</f>
        <v>3.0468694623375252E-2</v>
      </c>
      <c r="I47" s="297"/>
      <c r="J47" s="293"/>
    </row>
    <row r="48" spans="1:10" x14ac:dyDescent="0.3">
      <c r="A48" s="619">
        <v>4</v>
      </c>
      <c r="B48" s="371">
        <v>5</v>
      </c>
      <c r="C48" s="316">
        <f>C36+F47</f>
        <v>-0.49968647366750896</v>
      </c>
      <c r="D48" s="358">
        <f>D36+H47</f>
        <v>0.50020231990482567</v>
      </c>
      <c r="E48" s="347">
        <v>1</v>
      </c>
      <c r="F48" s="334">
        <v>1</v>
      </c>
      <c r="G48" s="323">
        <v>1</v>
      </c>
      <c r="H48" s="620">
        <f>ABS((C48-C39)/C48)</f>
        <v>2.2867584747209541E-2</v>
      </c>
      <c r="I48" s="621">
        <f>ABS((D48-D39)/D48)</f>
        <v>6.0912741526613738E-2</v>
      </c>
      <c r="J48" s="622" t="str">
        <f>IF(I48&lt;0.01,"aquí","")</f>
        <v/>
      </c>
    </row>
    <row r="49" spans="1:10" x14ac:dyDescent="0.3">
      <c r="A49" s="619"/>
      <c r="B49" s="371">
        <v>4</v>
      </c>
      <c r="C49" s="316">
        <f>C48</f>
        <v>-0.49968647366750896</v>
      </c>
      <c r="D49" s="358">
        <f>D48</f>
        <v>0.50020231990482567</v>
      </c>
      <c r="E49" s="347">
        <v>-3.5</v>
      </c>
      <c r="F49" s="341">
        <f>E49+C49*F48</f>
        <v>-3.9996864736675088</v>
      </c>
      <c r="G49" s="326">
        <f>F49+C49*G48</f>
        <v>-4.4993729473350177</v>
      </c>
      <c r="H49" s="620"/>
      <c r="I49" s="621"/>
      <c r="J49" s="622"/>
    </row>
    <row r="50" spans="1:10" x14ac:dyDescent="0.3">
      <c r="A50" s="619"/>
      <c r="B50" s="371">
        <v>3</v>
      </c>
      <c r="C50" s="316">
        <f t="shared" ref="C50:D53" si="6">C49</f>
        <v>-0.49968647366750896</v>
      </c>
      <c r="D50" s="358">
        <f t="shared" si="6"/>
        <v>0.50020231990482567</v>
      </c>
      <c r="E50" s="347">
        <v>2.75</v>
      </c>
      <c r="F50" s="341">
        <f>E50+C50*F49+D50*F48</f>
        <v>5.2487915497073772</v>
      </c>
      <c r="G50" s="326">
        <f>F50+C50*G49+D50*G48</f>
        <v>7.9972696713810247</v>
      </c>
      <c r="H50" s="620"/>
      <c r="I50" s="621"/>
      <c r="J50" s="622"/>
    </row>
    <row r="51" spans="1:10" x14ac:dyDescent="0.3">
      <c r="A51" s="619"/>
      <c r="B51" s="371">
        <v>2</v>
      </c>
      <c r="C51" s="316">
        <f t="shared" si="6"/>
        <v>-0.49968647366750896</v>
      </c>
      <c r="D51" s="358">
        <f t="shared" si="6"/>
        <v>0.50020231990482567</v>
      </c>
      <c r="E51" s="347">
        <v>2.125</v>
      </c>
      <c r="F51" s="341">
        <f>E51+C51*F50+D51*F49</f>
        <v>-2.4984025935095384</v>
      </c>
      <c r="G51" s="326">
        <f t="shared" ref="G51:G53" si="7">F51+C51*G50+D51*G49</f>
        <v>-8.7451268609440298</v>
      </c>
      <c r="H51" s="620"/>
      <c r="I51" s="621"/>
      <c r="J51" s="622"/>
    </row>
    <row r="52" spans="1:10" x14ac:dyDescent="0.3">
      <c r="A52" s="619"/>
      <c r="B52" s="371">
        <v>1</v>
      </c>
      <c r="C52" s="316">
        <f t="shared" si="6"/>
        <v>-0.49968647366750896</v>
      </c>
      <c r="D52" s="358">
        <f t="shared" si="6"/>
        <v>0.50020231990482567</v>
      </c>
      <c r="E52" s="347">
        <v>-3.875</v>
      </c>
      <c r="F52" s="341">
        <f t="shared" ref="F52:F53" si="8">E52+C52*F51+D52*F50</f>
        <v>-1.1243083869847403E-3</v>
      </c>
      <c r="G52" s="326">
        <f t="shared" si="7"/>
        <v>8.3689501370624413</v>
      </c>
      <c r="H52" s="620"/>
      <c r="I52" s="621"/>
      <c r="J52" s="622"/>
    </row>
    <row r="53" spans="1:10" x14ac:dyDescent="0.3">
      <c r="A53" s="619"/>
      <c r="B53" s="371">
        <v>0</v>
      </c>
      <c r="C53" s="316">
        <f t="shared" si="6"/>
        <v>-0.49968647366750896</v>
      </c>
      <c r="D53" s="358">
        <f t="shared" si="6"/>
        <v>0.50020231990482567</v>
      </c>
      <c r="E53" s="347">
        <v>1.25</v>
      </c>
      <c r="F53" s="341">
        <f t="shared" si="8"/>
        <v>8.5502836350292988E-4</v>
      </c>
      <c r="G53" s="326">
        <f t="shared" si="7"/>
        <v>-8.5553288976306536</v>
      </c>
      <c r="H53" s="620"/>
      <c r="I53" s="621"/>
      <c r="J53" s="622"/>
    </row>
    <row r="54" spans="1:10" x14ac:dyDescent="0.3">
      <c r="A54" s="290"/>
      <c r="B54" s="371"/>
      <c r="C54" s="313"/>
      <c r="D54" s="358">
        <f>G51</f>
        <v>-8.7451268609440298</v>
      </c>
      <c r="E54" s="347" t="s">
        <v>141</v>
      </c>
      <c r="F54" s="341">
        <f>G50</f>
        <v>7.9972696713810247</v>
      </c>
      <c r="G54" s="323" t="s">
        <v>142</v>
      </c>
      <c r="H54" s="309">
        <f>-F52</f>
        <v>1.1243083869847403E-3</v>
      </c>
      <c r="I54" s="297"/>
      <c r="J54" s="293"/>
    </row>
    <row r="55" spans="1:10" x14ac:dyDescent="0.3">
      <c r="A55" s="290"/>
      <c r="B55" s="371"/>
      <c r="C55" s="313"/>
      <c r="D55" s="358">
        <f>G52</f>
        <v>8.3689501370624413</v>
      </c>
      <c r="E55" s="347" t="s">
        <v>141</v>
      </c>
      <c r="F55" s="341">
        <f>G51</f>
        <v>-8.7451268609440298</v>
      </c>
      <c r="G55" s="323" t="s">
        <v>142</v>
      </c>
      <c r="H55" s="309">
        <f>-F53</f>
        <v>-8.5502836350292988E-4</v>
      </c>
      <c r="I55" s="297"/>
      <c r="J55" s="293"/>
    </row>
    <row r="56" spans="1:10" x14ac:dyDescent="0.3">
      <c r="A56" s="290"/>
      <c r="B56" s="371"/>
      <c r="C56" s="313"/>
      <c r="D56" s="358">
        <f>D54/F54</f>
        <v>-1.0935140642110996</v>
      </c>
      <c r="E56" s="347" t="s">
        <v>141</v>
      </c>
      <c r="F56" s="334">
        <f>F54/F54</f>
        <v>1</v>
      </c>
      <c r="G56" s="323" t="s">
        <v>142</v>
      </c>
      <c r="H56" s="310">
        <f>H54/F54</f>
        <v>1.4058652930114171E-4</v>
      </c>
      <c r="I56" s="297"/>
      <c r="J56" s="293"/>
    </row>
    <row r="57" spans="1:10" x14ac:dyDescent="0.3">
      <c r="A57" s="290"/>
      <c r="B57" s="371"/>
      <c r="C57" s="313"/>
      <c r="D57" s="355">
        <f>D55/(-F55)</f>
        <v>0.95698441773765408</v>
      </c>
      <c r="E57" s="347" t="s">
        <v>141</v>
      </c>
      <c r="F57" s="334">
        <f>F55/(-F55)</f>
        <v>-1</v>
      </c>
      <c r="G57" s="323" t="s">
        <v>142</v>
      </c>
      <c r="H57" s="310">
        <f>H55/(-F55)</f>
        <v>-9.777197942336428E-5</v>
      </c>
      <c r="I57" s="297"/>
      <c r="J57" s="293"/>
    </row>
    <row r="58" spans="1:10" x14ac:dyDescent="0.3">
      <c r="A58" s="290"/>
      <c r="B58" s="371"/>
      <c r="C58" s="313"/>
      <c r="D58" s="358">
        <f>D56+D57</f>
        <v>-0.13652964647344557</v>
      </c>
      <c r="E58" s="347" t="s">
        <v>141</v>
      </c>
      <c r="F58" s="334">
        <f>F56+F57</f>
        <v>0</v>
      </c>
      <c r="G58" s="323" t="s">
        <v>142</v>
      </c>
      <c r="H58" s="310">
        <f>H56+H57</f>
        <v>4.2814549877777427E-5</v>
      </c>
      <c r="I58" s="297"/>
      <c r="J58" s="293"/>
    </row>
    <row r="59" spans="1:10" ht="15" thickBot="1" x14ac:dyDescent="0.35">
      <c r="A59" s="291"/>
      <c r="B59" s="374"/>
      <c r="C59" s="318"/>
      <c r="D59" s="360"/>
      <c r="E59" s="350" t="s">
        <v>141</v>
      </c>
      <c r="F59" s="342">
        <f>H58/D58</f>
        <v>-3.1359159701702349E-4</v>
      </c>
      <c r="G59" s="328" t="s">
        <v>142</v>
      </c>
      <c r="H59" s="311">
        <f>H56-(D56*F59)</f>
        <v>-2.0233029245539299E-4</v>
      </c>
      <c r="I59" s="301"/>
      <c r="J59" s="295"/>
    </row>
    <row r="60" spans="1:10" x14ac:dyDescent="0.3">
      <c r="A60" s="623">
        <v>5</v>
      </c>
      <c r="B60" s="375">
        <v>5</v>
      </c>
      <c r="C60" s="369">
        <f>C53+F59</f>
        <v>-0.50000006526452601</v>
      </c>
      <c r="D60" s="364">
        <f>D53+H59</f>
        <v>0.4999999896123703</v>
      </c>
      <c r="E60" s="351">
        <v>1</v>
      </c>
      <c r="F60" s="343">
        <v>1</v>
      </c>
      <c r="G60" s="330">
        <v>1</v>
      </c>
      <c r="H60" s="626">
        <f>ABS((C60-C51)/C60)</f>
        <v>6.2718311216848068E-4</v>
      </c>
      <c r="I60" s="628">
        <f>ABS((D60-D51)/D60)</f>
        <v>4.0466059331766089E-4</v>
      </c>
      <c r="J60" s="622" t="str">
        <f>IF(I60&lt;0.01,"aquí","")</f>
        <v>aquí</v>
      </c>
    </row>
    <row r="61" spans="1:10" x14ac:dyDescent="0.3">
      <c r="A61" s="624"/>
      <c r="B61" s="376">
        <v>4</v>
      </c>
      <c r="C61" s="320">
        <f>C60</f>
        <v>-0.50000006526452601</v>
      </c>
      <c r="D61" s="365">
        <f>D60</f>
        <v>0.4999999896123703</v>
      </c>
      <c r="E61" s="352">
        <v>-3.5</v>
      </c>
      <c r="F61" s="344">
        <f>E61+C61*F60</f>
        <v>-4.0000000652645262</v>
      </c>
      <c r="G61" s="331">
        <f>F61+C61*G60</f>
        <v>-4.5000001305290525</v>
      </c>
      <c r="H61" s="620"/>
      <c r="I61" s="621"/>
      <c r="J61" s="622"/>
    </row>
    <row r="62" spans="1:10" x14ac:dyDescent="0.3">
      <c r="A62" s="624"/>
      <c r="B62" s="376">
        <v>3</v>
      </c>
      <c r="C62" s="320">
        <f t="shared" ref="C62:D65" si="9">C61</f>
        <v>-0.50000006526452601</v>
      </c>
      <c r="D62" s="365">
        <f t="shared" si="9"/>
        <v>0.4999999896123703</v>
      </c>
      <c r="E62" s="352">
        <v>2.75</v>
      </c>
      <c r="F62" s="344">
        <f>E62+C62*F61+D62*F60</f>
        <v>5.2500002833027422</v>
      </c>
      <c r="G62" s="331">
        <f>F62+C62*G61+D62*G60</f>
        <v>8.0000006318700141</v>
      </c>
      <c r="H62" s="620"/>
      <c r="I62" s="621"/>
      <c r="J62" s="622"/>
    </row>
    <row r="63" spans="1:10" x14ac:dyDescent="0.3">
      <c r="A63" s="624"/>
      <c r="B63" s="376">
        <v>2</v>
      </c>
      <c r="C63" s="320">
        <f t="shared" si="9"/>
        <v>-0.50000006526452601</v>
      </c>
      <c r="D63" s="365">
        <f t="shared" si="9"/>
        <v>0.4999999896123703</v>
      </c>
      <c r="E63" s="352">
        <v>2.125</v>
      </c>
      <c r="F63" s="344">
        <f t="shared" ref="F63:F65" si="10">E63+C63*F62+D63*F61</f>
        <v>-2.5000004753718947</v>
      </c>
      <c r="G63" s="331">
        <f t="shared" ref="G63:G65" si="11">F63+C63*G62+D63*G61</f>
        <v>-8.7500013319433414</v>
      </c>
      <c r="H63" s="620"/>
      <c r="I63" s="621"/>
      <c r="J63" s="622"/>
    </row>
    <row r="64" spans="1:10" x14ac:dyDescent="0.3">
      <c r="A64" s="624"/>
      <c r="B64" s="376">
        <v>1</v>
      </c>
      <c r="C64" s="320">
        <f t="shared" si="9"/>
        <v>-0.50000006526452601</v>
      </c>
      <c r="D64" s="365">
        <f t="shared" si="9"/>
        <v>0.4999999896123703</v>
      </c>
      <c r="E64" s="352">
        <v>-3.875</v>
      </c>
      <c r="F64" s="344">
        <f t="shared" si="10"/>
        <v>4.8796360552216811E-7</v>
      </c>
      <c r="G64" s="331">
        <f t="shared" si="11"/>
        <v>8.3750019578339288</v>
      </c>
      <c r="H64" s="620"/>
      <c r="I64" s="621"/>
      <c r="J64" s="622"/>
    </row>
    <row r="65" spans="1:10" ht="15" thickBot="1" x14ac:dyDescent="0.35">
      <c r="A65" s="625"/>
      <c r="B65" s="377">
        <v>0</v>
      </c>
      <c r="C65" s="321">
        <f t="shared" si="9"/>
        <v>-0.50000006526452601</v>
      </c>
      <c r="D65" s="366">
        <f t="shared" si="9"/>
        <v>0.4999999896123703</v>
      </c>
      <c r="E65" s="353">
        <v>1.25</v>
      </c>
      <c r="F65" s="345">
        <f t="shared" si="10"/>
        <v>-4.5569870277262225E-7</v>
      </c>
      <c r="G65" s="332">
        <f t="shared" si="11"/>
        <v>-8.5625025562860966</v>
      </c>
      <c r="H65" s="627"/>
      <c r="I65" s="629"/>
      <c r="J65" s="622"/>
    </row>
    <row r="67" spans="1:10" x14ac:dyDescent="0.3">
      <c r="C67" s="389" t="s">
        <v>145</v>
      </c>
      <c r="D67" s="282">
        <f>(C60+SQRT((C60^2)+4*D60))/2</f>
        <v>0.49999997132007223</v>
      </c>
    </row>
    <row r="68" spans="1:10" x14ac:dyDescent="0.3">
      <c r="C68" s="389" t="s">
        <v>146</v>
      </c>
      <c r="D68" s="282">
        <f>(C61-SQRT((C61^2)+4*D61))/2</f>
        <v>-1.0000000365845982</v>
      </c>
    </row>
  </sheetData>
  <mergeCells count="22">
    <mergeCell ref="A1:N1"/>
    <mergeCell ref="D4:H4"/>
    <mergeCell ref="A7:A12"/>
    <mergeCell ref="H7:H12"/>
    <mergeCell ref="I7:I12"/>
    <mergeCell ref="J7:J12"/>
    <mergeCell ref="A23:A28"/>
    <mergeCell ref="H23:H28"/>
    <mergeCell ref="I23:I28"/>
    <mergeCell ref="J23:J28"/>
    <mergeCell ref="A36:A41"/>
    <mergeCell ref="H36:H41"/>
    <mergeCell ref="I36:I41"/>
    <mergeCell ref="J36:J41"/>
    <mergeCell ref="A48:A53"/>
    <mergeCell ref="H48:H53"/>
    <mergeCell ref="I48:I53"/>
    <mergeCell ref="J48:J53"/>
    <mergeCell ref="A60:A65"/>
    <mergeCell ref="H60:H65"/>
    <mergeCell ref="I60:I65"/>
    <mergeCell ref="J60:J6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7"/>
  <sheetViews>
    <sheetView topLeftCell="A7" workbookViewId="0">
      <selection activeCell="G19" sqref="G19"/>
    </sheetView>
  </sheetViews>
  <sheetFormatPr baseColWidth="10" defaultColWidth="11.44140625" defaultRowHeight="14.4" x14ac:dyDescent="0.3"/>
  <cols>
    <col min="1" max="2" width="11.44140625" style="279"/>
    <col min="3" max="3" width="12" style="279" bestFit="1" customWidth="1"/>
    <col min="4" max="16384" width="11.44140625" style="279"/>
  </cols>
  <sheetData>
    <row r="1" spans="1:17" s="61" customFormat="1" ht="28.8" x14ac:dyDescent="0.55000000000000004">
      <c r="A1" s="610" t="s">
        <v>128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7" ht="16.5" customHeight="1" x14ac:dyDescent="0.55000000000000004">
      <c r="A2" s="382"/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87"/>
    </row>
    <row r="4" spans="1:17" x14ac:dyDescent="0.3">
      <c r="B4" s="642" t="s">
        <v>129</v>
      </c>
      <c r="C4" s="642"/>
    </row>
    <row r="5" spans="1:17" x14ac:dyDescent="0.3">
      <c r="B5" s="264" t="s">
        <v>30</v>
      </c>
      <c r="C5" s="264" t="s">
        <v>63</v>
      </c>
    </row>
    <row r="6" spans="1:17" x14ac:dyDescent="0.3">
      <c r="B6" s="378">
        <v>0</v>
      </c>
      <c r="C6" s="379">
        <f>B6-COS(B6)</f>
        <v>-1</v>
      </c>
    </row>
    <row r="7" spans="1:17" x14ac:dyDescent="0.3">
      <c r="B7" s="378">
        <v>0.5</v>
      </c>
      <c r="C7" s="379">
        <f t="shared" ref="C7:C12" si="0">B7-COS(B7)</f>
        <v>-0.37758256189037276</v>
      </c>
    </row>
    <row r="8" spans="1:17" x14ac:dyDescent="0.3">
      <c r="B8" s="378">
        <v>1</v>
      </c>
      <c r="C8" s="379">
        <f t="shared" si="0"/>
        <v>0.45969769413186023</v>
      </c>
    </row>
    <row r="9" spans="1:17" x14ac:dyDescent="0.3">
      <c r="B9" s="378">
        <v>1.5</v>
      </c>
      <c r="C9" s="379">
        <f t="shared" si="0"/>
        <v>1.4292627983322972</v>
      </c>
    </row>
    <row r="10" spans="1:17" x14ac:dyDescent="0.3">
      <c r="B10" s="378">
        <v>2</v>
      </c>
      <c r="C10" s="379">
        <f t="shared" si="0"/>
        <v>2.4161468365471426</v>
      </c>
    </row>
    <row r="11" spans="1:17" x14ac:dyDescent="0.3">
      <c r="B11" s="378">
        <v>2.5</v>
      </c>
      <c r="C11" s="379">
        <f t="shared" si="0"/>
        <v>3.3011436155469336</v>
      </c>
    </row>
    <row r="12" spans="1:17" x14ac:dyDescent="0.3">
      <c r="B12" s="378">
        <v>3</v>
      </c>
      <c r="C12" s="379">
        <f t="shared" si="0"/>
        <v>3.9899924966004452</v>
      </c>
    </row>
    <row r="14" spans="1:17" x14ac:dyDescent="0.3">
      <c r="B14" s="643" t="s">
        <v>130</v>
      </c>
      <c r="C14" s="643"/>
    </row>
    <row r="15" spans="1:17" x14ac:dyDescent="0.3">
      <c r="B15" s="643"/>
      <c r="C15" s="643"/>
    </row>
    <row r="16" spans="1:17" x14ac:dyDescent="0.3">
      <c r="B16" s="378" t="s">
        <v>22</v>
      </c>
      <c r="C16" s="378" t="s">
        <v>131</v>
      </c>
    </row>
    <row r="17" spans="2:3" x14ac:dyDescent="0.3">
      <c r="B17" s="380">
        <v>0.73912500000000003</v>
      </c>
      <c r="C17" s="381">
        <f>B17-COS(B17)</f>
        <v>6.6722118001294461E-5</v>
      </c>
    </row>
  </sheetData>
  <mergeCells count="3">
    <mergeCell ref="B4:C4"/>
    <mergeCell ref="B14:C15"/>
    <mergeCell ref="A1:N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2"/>
  <sheetViews>
    <sheetView zoomScale="90" zoomScaleNormal="90" workbookViewId="0">
      <selection activeCell="H18" sqref="H18"/>
    </sheetView>
  </sheetViews>
  <sheetFormatPr baseColWidth="10" defaultColWidth="11.44140625" defaultRowHeight="14.4" x14ac:dyDescent="0.3"/>
  <cols>
    <col min="1" max="5" width="11.44140625" style="279"/>
    <col min="6" max="6" width="12" style="279" bestFit="1" customWidth="1"/>
    <col min="7" max="8" width="11.44140625" style="279"/>
    <col min="9" max="9" width="15.109375" style="279" bestFit="1" customWidth="1"/>
    <col min="10" max="16384" width="11.44140625" style="279"/>
  </cols>
  <sheetData>
    <row r="1" spans="1:15" s="61" customFormat="1" ht="28.8" x14ac:dyDescent="0.55000000000000004">
      <c r="A1" s="610" t="s">
        <v>121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5" ht="15" customHeight="1" x14ac:dyDescent="0.55000000000000004">
      <c r="A2" s="382"/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</row>
    <row r="4" spans="1:15" x14ac:dyDescent="0.3">
      <c r="B4" s="388" t="s">
        <v>122</v>
      </c>
      <c r="C4" s="280" t="s">
        <v>123</v>
      </c>
    </row>
    <row r="5" spans="1:15" x14ac:dyDescent="0.3">
      <c r="B5" s="388" t="s">
        <v>124</v>
      </c>
      <c r="C5" s="280" t="s">
        <v>125</v>
      </c>
    </row>
    <row r="7" spans="1:15" ht="15" customHeight="1" x14ac:dyDescent="0.3">
      <c r="A7" s="387" t="s">
        <v>30</v>
      </c>
      <c r="B7" s="387" t="s">
        <v>126</v>
      </c>
      <c r="C7" s="387" t="s">
        <v>122</v>
      </c>
      <c r="D7" s="387" t="s">
        <v>124</v>
      </c>
      <c r="F7" s="644" t="s">
        <v>127</v>
      </c>
    </row>
    <row r="8" spans="1:15" x14ac:dyDescent="0.3">
      <c r="A8" s="384">
        <v>2</v>
      </c>
      <c r="B8" s="384">
        <v>3</v>
      </c>
      <c r="C8" s="384">
        <f>(A8^3)+(A8*B8)-10</f>
        <v>4</v>
      </c>
      <c r="D8" s="384">
        <f>B8+(3*A8*(B8)^2)-57</f>
        <v>0</v>
      </c>
      <c r="F8" s="645"/>
      <c r="J8" s="385"/>
    </row>
    <row r="9" spans="1:15" x14ac:dyDescent="0.3">
      <c r="A9" s="383">
        <v>1.6573473123923044</v>
      </c>
      <c r="B9" s="383">
        <v>3.28680386650825</v>
      </c>
      <c r="C9" s="383">
        <f t="shared" ref="C9:C12" si="0">(A9^3)+(A9*B9)-10</f>
        <v>-2.2265904082985344E-4</v>
      </c>
      <c r="D9" s="383">
        <f t="shared" ref="D9:D12" si="1">B9+(3*A9*(B9)^2)-57</f>
        <v>1.6897124591253032E-4</v>
      </c>
      <c r="F9" s="386">
        <f>SUMSQ(C9:D9)</f>
        <v>7.8128330408503135E-8</v>
      </c>
    </row>
    <row r="10" spans="1:15" x14ac:dyDescent="0.3">
      <c r="A10" s="384">
        <v>0</v>
      </c>
      <c r="B10" s="384">
        <v>4</v>
      </c>
      <c r="C10" s="384">
        <f t="shared" si="0"/>
        <v>-10</v>
      </c>
      <c r="D10" s="384">
        <f t="shared" si="1"/>
        <v>-53</v>
      </c>
    </row>
    <row r="11" spans="1:15" x14ac:dyDescent="0.3">
      <c r="A11" s="384">
        <v>-1</v>
      </c>
      <c r="B11" s="384">
        <v>4.5</v>
      </c>
      <c r="C11" s="384">
        <f t="shared" si="0"/>
        <v>-15.5</v>
      </c>
      <c r="D11" s="384">
        <f t="shared" si="1"/>
        <v>-113.25</v>
      </c>
    </row>
    <row r="12" spans="1:15" x14ac:dyDescent="0.3">
      <c r="A12" s="384">
        <v>-2</v>
      </c>
      <c r="B12" s="384">
        <v>5</v>
      </c>
      <c r="C12" s="384">
        <f t="shared" si="0"/>
        <v>-28</v>
      </c>
      <c r="D12" s="384">
        <f t="shared" si="1"/>
        <v>-202</v>
      </c>
    </row>
  </sheetData>
  <mergeCells count="2">
    <mergeCell ref="F7:F8"/>
    <mergeCell ref="A1:N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41"/>
  <sheetViews>
    <sheetView zoomScale="80" zoomScaleNormal="80" workbookViewId="0">
      <selection activeCell="J21" sqref="J21"/>
    </sheetView>
  </sheetViews>
  <sheetFormatPr baseColWidth="10" defaultRowHeight="14.4" x14ac:dyDescent="0.3"/>
  <cols>
    <col min="1" max="1" width="16.33203125" customWidth="1"/>
    <col min="2" max="2" width="13" customWidth="1"/>
    <col min="3" max="3" width="21.6640625" customWidth="1"/>
    <col min="4" max="4" width="16.88671875" customWidth="1"/>
    <col min="5" max="5" width="16" customWidth="1"/>
    <col min="7" max="7" width="11.44140625" style="250"/>
    <col min="12" max="12" width="13.109375" customWidth="1"/>
    <col min="19" max="19" width="13" customWidth="1"/>
  </cols>
  <sheetData>
    <row r="1" spans="1:19" s="61" customFormat="1" ht="28.8" x14ac:dyDescent="0.55000000000000004">
      <c r="A1" s="610" t="s">
        <v>103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9" x14ac:dyDescent="0.3">
      <c r="H3" s="250"/>
      <c r="M3" s="252" t="s">
        <v>115</v>
      </c>
    </row>
    <row r="4" spans="1:19" x14ac:dyDescent="0.3">
      <c r="I4" s="250" t="s">
        <v>119</v>
      </c>
      <c r="L4">
        <v>1E-3</v>
      </c>
      <c r="P4" t="s">
        <v>120</v>
      </c>
    </row>
    <row r="5" spans="1:19" x14ac:dyDescent="0.3">
      <c r="A5" s="3" t="s">
        <v>108</v>
      </c>
      <c r="B5" s="3" t="s">
        <v>109</v>
      </c>
      <c r="C5" s="3" t="s">
        <v>110</v>
      </c>
      <c r="D5" s="3" t="s">
        <v>109</v>
      </c>
      <c r="E5" s="3" t="s">
        <v>110</v>
      </c>
      <c r="G5" s="262" t="s">
        <v>48</v>
      </c>
      <c r="H5" s="262" t="s">
        <v>26</v>
      </c>
      <c r="I5" s="262" t="s">
        <v>116</v>
      </c>
      <c r="J5" s="262" t="s">
        <v>117</v>
      </c>
      <c r="K5" s="262" t="s">
        <v>118</v>
      </c>
      <c r="L5" s="262" t="s">
        <v>42</v>
      </c>
      <c r="N5" s="264" t="s">
        <v>48</v>
      </c>
      <c r="O5" s="264" t="s">
        <v>26</v>
      </c>
      <c r="P5" s="264" t="s">
        <v>116</v>
      </c>
      <c r="Q5" s="264" t="s">
        <v>117</v>
      </c>
      <c r="R5" s="264" t="s">
        <v>118</v>
      </c>
      <c r="S5" s="264" t="s">
        <v>42</v>
      </c>
    </row>
    <row r="6" spans="1:19" x14ac:dyDescent="0.3">
      <c r="A6" s="251">
        <v>8.2054000000000002E-2</v>
      </c>
      <c r="B6" s="263">
        <v>3.5920000000000001</v>
      </c>
      <c r="C6" s="263">
        <v>4.267E-2</v>
      </c>
      <c r="D6" s="260">
        <v>1.36</v>
      </c>
      <c r="E6" s="260">
        <v>3.1829999999999997E-2</v>
      </c>
      <c r="G6" s="251">
        <v>1</v>
      </c>
      <c r="H6" s="251">
        <f>C11</f>
        <v>24.616199999999999</v>
      </c>
      <c r="I6" s="251">
        <f>($B$11+($B$6/H6^2))*(H6-$C$6)-($A$6*A11)</f>
        <v>0.10299722672467126</v>
      </c>
      <c r="J6" s="251">
        <f>$B$11-$B$6/H6^2+2*$B$6*$C$6/H6^3</f>
        <v>0.99409274026637495</v>
      </c>
      <c r="K6" s="251">
        <f>I6/J6</f>
        <v>0.10360927361472567</v>
      </c>
      <c r="L6" s="253" t="b">
        <f>K6&lt;$L$4</f>
        <v>0</v>
      </c>
      <c r="N6" s="251">
        <v>1</v>
      </c>
      <c r="O6" s="251">
        <f>C11</f>
        <v>24.616199999999999</v>
      </c>
      <c r="P6" s="251">
        <f>($B$11+($D$6/O6^2))*(O6-$E$6)-($A$6*$A$11)</f>
        <v>2.3346731207578131E-2</v>
      </c>
      <c r="Q6" s="251">
        <f>$B$11-$D$6/O6^2+2*$D$6*$E$6/O6^3</f>
        <v>0.99776142164465753</v>
      </c>
      <c r="R6" s="251">
        <f>P6/Q6</f>
        <v>2.3399111953130644E-2</v>
      </c>
      <c r="S6" s="253" t="b">
        <f>R6&lt;$L$4</f>
        <v>0</v>
      </c>
    </row>
    <row r="7" spans="1:19" x14ac:dyDescent="0.3">
      <c r="G7" s="251">
        <v>2</v>
      </c>
      <c r="H7" s="432">
        <f>H6-K6</f>
        <v>24.512590726385273</v>
      </c>
      <c r="I7" s="251">
        <f>($B$11+($B$6/H7^2))*(H7-$C$6)-($A$6*A12)</f>
        <v>2.5824672604812804E-6</v>
      </c>
      <c r="J7" s="251">
        <f>$B$11-$B$6/H7^2+2*$B$6*$C$6/H7^3</f>
        <v>0.99404278498002618</v>
      </c>
      <c r="K7" s="251">
        <f>I7/J7</f>
        <v>2.5979437701297446E-6</v>
      </c>
      <c r="L7" s="253" t="b">
        <f>K7&lt;$L$4</f>
        <v>1</v>
      </c>
      <c r="N7" s="251">
        <v>2</v>
      </c>
      <c r="O7" s="251">
        <f>O6-R6</f>
        <v>24.59280088804687</v>
      </c>
      <c r="P7" s="251">
        <f>($B$11+($D$6/O7^2))*(O7-$E$6)-($A$6*$A$11)</f>
        <v>4.9773607457836988E-8</v>
      </c>
      <c r="Q7" s="251">
        <f>$B$11-$D$6/O7^2+2*$D$6*$E$6/O7^3</f>
        <v>0.99775716530727943</v>
      </c>
      <c r="R7" s="251">
        <f>P7/Q7</f>
        <v>4.9885492370789643E-8</v>
      </c>
      <c r="S7" s="253" t="b">
        <f>R7&lt;$L$4</f>
        <v>1</v>
      </c>
    </row>
    <row r="8" spans="1:19" x14ac:dyDescent="0.3">
      <c r="G8" s="255"/>
      <c r="H8" s="255"/>
      <c r="I8" s="255"/>
      <c r="J8" s="255"/>
      <c r="K8" s="255"/>
      <c r="L8" s="256"/>
      <c r="N8" s="255"/>
      <c r="O8" s="255"/>
      <c r="P8" s="255"/>
      <c r="Q8" s="255"/>
      <c r="R8" s="255"/>
      <c r="S8" s="256"/>
    </row>
    <row r="9" spans="1:19" x14ac:dyDescent="0.3">
      <c r="A9" s="261" t="s">
        <v>111</v>
      </c>
      <c r="B9" s="261" t="s">
        <v>114</v>
      </c>
      <c r="C9" s="646" t="s">
        <v>106</v>
      </c>
      <c r="D9" s="646"/>
      <c r="E9" s="646"/>
      <c r="G9" s="251">
        <v>1</v>
      </c>
      <c r="H9" s="251">
        <f>C12</f>
        <v>2.4616199999999999</v>
      </c>
      <c r="I9" s="251">
        <f>($B$12+($B$6/H9^2))*(H9-$C$6)-($A$6*$A$12)</f>
        <v>1.0072076969635688</v>
      </c>
      <c r="J9" s="251">
        <f>$B$12-$B$6/H9^2+2*$B$6*$C$6/H9^3</f>
        <v>9.4277696273257998</v>
      </c>
      <c r="K9" s="251">
        <f>I9/J9</f>
        <v>0.10683414389382621</v>
      </c>
      <c r="L9" s="253" t="b">
        <f>K9&lt;$L$4</f>
        <v>0</v>
      </c>
      <c r="N9" s="251">
        <v>1</v>
      </c>
      <c r="O9" s="251">
        <f>C12</f>
        <v>2.4616199999999999</v>
      </c>
      <c r="P9" s="251">
        <f>($B$12+($D$6/O9^2))*(O9-$E$6)-($A$6*$A$12)</f>
        <v>0.22703782936417483</v>
      </c>
      <c r="Q9" s="251">
        <f>$B$12-$D$6/O9^2+2*$D$6*$E$6/O9^3</f>
        <v>9.7813659461311531</v>
      </c>
      <c r="R9" s="251">
        <f t="shared" ref="R9" si="0">P9/Q9</f>
        <v>2.3211260126094722E-2</v>
      </c>
      <c r="S9" s="253" t="b">
        <f t="shared" ref="S9:S32" si="1">R9&lt;$L$4</f>
        <v>0</v>
      </c>
    </row>
    <row r="10" spans="1:19" x14ac:dyDescent="0.3">
      <c r="A10" s="261" t="s">
        <v>112</v>
      </c>
      <c r="B10" s="261" t="s">
        <v>113</v>
      </c>
      <c r="C10" s="261" t="s">
        <v>104</v>
      </c>
      <c r="D10" s="261" t="s">
        <v>105</v>
      </c>
      <c r="E10" s="261" t="s">
        <v>107</v>
      </c>
      <c r="G10" s="257">
        <v>2</v>
      </c>
      <c r="H10" s="251">
        <f>H9-K9</f>
        <v>2.3547858561061736</v>
      </c>
      <c r="I10" s="251">
        <f>($B$12+($B$6/H10^2))*(H10-$C$6)-($A$6*$A$12)</f>
        <v>2.7215096113124559E-3</v>
      </c>
      <c r="J10" s="251">
        <f>$B$12-$B$6/H10^2+2*$B$6*$C$6/H10^3</f>
        <v>9.3756876902050958</v>
      </c>
      <c r="K10" s="251">
        <f>I10/J10</f>
        <v>2.9027306595927387E-4</v>
      </c>
      <c r="L10" s="253" t="b">
        <f>K10&lt;$L$4</f>
        <v>1</v>
      </c>
      <c r="N10" s="257">
        <v>2</v>
      </c>
      <c r="O10" s="251">
        <f>O9-R9</f>
        <v>2.4384087398739052</v>
      </c>
      <c r="P10" s="251">
        <f>($B$12+($D$6/O10^2))*(O10-$E$6)-($A$6*$A$12)</f>
        <v>4.7659533795041398E-5</v>
      </c>
      <c r="Q10" s="251">
        <f>$B$12-$D$6/O10^2+2*$D$6*$E$6/O10^3</f>
        <v>9.7772400788898928</v>
      </c>
      <c r="R10" s="251">
        <f t="shared" ref="R10" si="2">P10/Q10</f>
        <v>4.8745385620573471E-6</v>
      </c>
      <c r="S10" s="253" t="b">
        <f t="shared" si="1"/>
        <v>1</v>
      </c>
    </row>
    <row r="11" spans="1:19" x14ac:dyDescent="0.3">
      <c r="A11" s="259">
        <v>300</v>
      </c>
      <c r="B11" s="251">
        <v>1</v>
      </c>
      <c r="C11" s="434">
        <f>$A$6*A11/B11</f>
        <v>24.616199999999999</v>
      </c>
      <c r="D11" s="434">
        <f>H7</f>
        <v>24.512590726385273</v>
      </c>
      <c r="E11" s="434">
        <f>O7</f>
        <v>24.59280088804687</v>
      </c>
      <c r="G11" s="257">
        <v>3</v>
      </c>
      <c r="H11" s="251">
        <f>H10-K10</f>
        <v>2.3544955830402143</v>
      </c>
      <c r="I11" s="251">
        <f>($B$12+($B$6/H11^2))*(H11-$C$6)-($A$6*$A$12)</f>
        <v>2.1921643167388538E-8</v>
      </c>
      <c r="J11" s="251">
        <f>$B$12-$B$6/H11^2+2*$B$6*$C$6/H11^3</f>
        <v>9.3755366395327009</v>
      </c>
      <c r="K11" s="251">
        <f>I11/J11</f>
        <v>2.338174763773433E-9</v>
      </c>
      <c r="L11" s="253" t="b">
        <f>K11&lt;$L$4</f>
        <v>1</v>
      </c>
      <c r="N11" s="255"/>
      <c r="O11" s="255"/>
      <c r="P11" s="255"/>
      <c r="Q11" s="255"/>
      <c r="R11" s="255"/>
      <c r="S11" s="256"/>
    </row>
    <row r="12" spans="1:19" x14ac:dyDescent="0.3">
      <c r="A12" s="259">
        <v>300</v>
      </c>
      <c r="B12" s="251">
        <v>10</v>
      </c>
      <c r="C12" s="434">
        <f>$A$6*A12/B12</f>
        <v>2.4616199999999999</v>
      </c>
      <c r="D12" s="434">
        <f>H11</f>
        <v>2.3544955830402143</v>
      </c>
      <c r="E12" s="434">
        <f>O10</f>
        <v>2.4384087398739052</v>
      </c>
      <c r="N12" s="257">
        <v>1</v>
      </c>
      <c r="O12" s="251">
        <f>C13</f>
        <v>0.24616199999999999</v>
      </c>
      <c r="P12" s="251">
        <f>($B$13+($D$6/O12^2))*(O12-$E$6)-($A$6*$A$13)</f>
        <v>1.6274300224826916</v>
      </c>
      <c r="Q12" s="251">
        <f>$B$13-$D$6/O12^2+2*$D$6*$E$6/O12^3</f>
        <v>83.360376278514991</v>
      </c>
      <c r="R12" s="251">
        <f t="shared" ref="R12" si="3">P12/Q12</f>
        <v>1.9522824813617591E-2</v>
      </c>
      <c r="S12" s="253" t="b">
        <f t="shared" si="1"/>
        <v>0</v>
      </c>
    </row>
    <row r="13" spans="1:19" x14ac:dyDescent="0.3">
      <c r="A13" s="259">
        <v>300</v>
      </c>
      <c r="B13" s="251">
        <v>100</v>
      </c>
      <c r="C13" s="434">
        <f t="shared" ref="C13:C19" si="4">$A$6*A13/B13</f>
        <v>0.24616199999999999</v>
      </c>
      <c r="D13" s="434">
        <f>H21</f>
        <v>7.9509039272217294E-2</v>
      </c>
      <c r="E13" s="434">
        <f>O14</f>
        <v>0.2263590112762463</v>
      </c>
      <c r="G13" s="257">
        <v>1</v>
      </c>
      <c r="H13" s="251">
        <f>C13</f>
        <v>0.24616199999999999</v>
      </c>
      <c r="I13" s="251">
        <f t="shared" ref="I13:I21" si="5">($B$13+($B$6/H13^2))*(H13-$C$6)-($A$6*$A$13)</f>
        <v>7.7956199413179874</v>
      </c>
      <c r="J13" s="251">
        <f t="shared" ref="J13:J21" si="6">$B$13-$B$6/H13^2+2*$B$6*$C$6/H13^3</f>
        <v>61.272563420888844</v>
      </c>
      <c r="K13" s="251">
        <f t="shared" ref="K13:K21" si="7">I13/J13</f>
        <v>0.12722855885380388</v>
      </c>
      <c r="L13" s="253" t="b">
        <f t="shared" ref="L13:L21" si="8">K13&lt;$L$4</f>
        <v>0</v>
      </c>
      <c r="N13" s="257">
        <v>2</v>
      </c>
      <c r="O13" s="251">
        <f>O12-R12</f>
        <v>0.22663917518638241</v>
      </c>
      <c r="P13" s="251">
        <f>($B$13+($D$6/O13^2))*(O13-$E$6)-($A$6*$A$13)</f>
        <v>2.2682080765026313E-2</v>
      </c>
      <c r="Q13" s="251">
        <f>$B$13-$D$6/O13^2+2*$D$6*$E$6/O13^3</f>
        <v>80.960037836451335</v>
      </c>
      <c r="R13" s="251">
        <f t="shared" ref="R13" si="9">P13/Q13</f>
        <v>2.8016391013609387E-4</v>
      </c>
      <c r="S13" s="253" t="b">
        <f t="shared" si="1"/>
        <v>1</v>
      </c>
    </row>
    <row r="14" spans="1:19" x14ac:dyDescent="0.3">
      <c r="A14" s="258">
        <v>500</v>
      </c>
      <c r="B14" s="251">
        <v>1</v>
      </c>
      <c r="C14" s="434">
        <f t="shared" si="4"/>
        <v>41.027000000000001</v>
      </c>
      <c r="D14" s="434">
        <f>H24</f>
        <v>40.982113369096176</v>
      </c>
      <c r="E14" s="434">
        <f>O17</f>
        <v>41.025705771903347</v>
      </c>
      <c r="G14" s="251">
        <v>2</v>
      </c>
      <c r="H14" s="251">
        <f t="shared" ref="H14:H21" si="10">H13-K13</f>
        <v>0.11893344114619611</v>
      </c>
      <c r="I14" s="251">
        <f t="shared" si="5"/>
        <v>2.3763594355483804</v>
      </c>
      <c r="J14" s="251">
        <f t="shared" si="6"/>
        <v>28.273627538887638</v>
      </c>
      <c r="K14" s="251">
        <f t="shared" si="7"/>
        <v>8.4048622069450685E-2</v>
      </c>
      <c r="L14" s="253" t="b">
        <f t="shared" si="8"/>
        <v>0</v>
      </c>
      <c r="N14" s="257">
        <v>3</v>
      </c>
      <c r="O14" s="251">
        <f>O13-R13</f>
        <v>0.2263590112762463</v>
      </c>
      <c r="P14" s="251">
        <f>($B$13+($D$6/O14^2))*(O14-$E$6)-($A$6*$A$13)</f>
        <v>5.3112365421270624E-6</v>
      </c>
      <c r="Q14" s="251">
        <f>$B$13-$D$6/O14^2+2*$D$6*$E$6/O14^3</f>
        <v>80.922104867562936</v>
      </c>
      <c r="R14" s="251">
        <f t="shared" ref="R14" si="11">P14/Q14</f>
        <v>6.5633939586957471E-8</v>
      </c>
      <c r="S14" s="253" t="b">
        <f t="shared" si="1"/>
        <v>1</v>
      </c>
    </row>
    <row r="15" spans="1:19" x14ac:dyDescent="0.3">
      <c r="A15" s="258">
        <v>500</v>
      </c>
      <c r="B15" s="251">
        <v>10</v>
      </c>
      <c r="C15" s="434">
        <f t="shared" si="4"/>
        <v>4.1027000000000005</v>
      </c>
      <c r="D15" s="434">
        <f>H27</f>
        <v>4.0577900343155449</v>
      </c>
      <c r="E15" s="434">
        <f>O20</f>
        <v>4.1016297642758976</v>
      </c>
      <c r="G15" s="257">
        <v>3</v>
      </c>
      <c r="H15" s="251">
        <f t="shared" si="10"/>
        <v>3.4884819076745427E-2</v>
      </c>
      <c r="I15" s="251">
        <f t="shared" si="5"/>
        <v>-48.373769033239299</v>
      </c>
      <c r="J15" s="251">
        <f t="shared" si="6"/>
        <v>4369.0640529257089</v>
      </c>
      <c r="K15" s="251">
        <f t="shared" si="7"/>
        <v>-1.1071883691164058E-2</v>
      </c>
      <c r="L15" s="253" t="b">
        <f t="shared" si="8"/>
        <v>1</v>
      </c>
      <c r="O15" s="255"/>
      <c r="P15" s="255"/>
      <c r="Q15" s="255"/>
      <c r="R15" s="255"/>
      <c r="S15" s="256"/>
    </row>
    <row r="16" spans="1:19" x14ac:dyDescent="0.3">
      <c r="A16" s="258">
        <v>500</v>
      </c>
      <c r="B16" s="251">
        <v>100</v>
      </c>
      <c r="C16" s="434">
        <f t="shared" si="4"/>
        <v>0.41027000000000002</v>
      </c>
      <c r="D16" s="434">
        <f>H31</f>
        <v>0.36630230128413793</v>
      </c>
      <c r="E16" s="434">
        <f>O23</f>
        <v>0.4116146799300166</v>
      </c>
      <c r="G16" s="257">
        <v>4</v>
      </c>
      <c r="H16" s="251">
        <f t="shared" si="10"/>
        <v>4.5956702767909488E-2</v>
      </c>
      <c r="I16" s="251">
        <f t="shared" si="5"/>
        <v>-18.697694132962091</v>
      </c>
      <c r="J16" s="251">
        <f t="shared" si="6"/>
        <v>1557.47735250138</v>
      </c>
      <c r="K16" s="251">
        <f t="shared" si="7"/>
        <v>-1.2005114618798622E-2</v>
      </c>
      <c r="L16" s="253" t="b">
        <f t="shared" si="8"/>
        <v>1</v>
      </c>
      <c r="N16" s="257">
        <v>1</v>
      </c>
      <c r="O16" s="251">
        <f>C14</f>
        <v>41.027000000000001</v>
      </c>
      <c r="P16" s="251">
        <f>($B$14+($D$6/O16^2))*(O16-$E$6)-($A$6*$A$14)</f>
        <v>1.2931840117715865E-3</v>
      </c>
      <c r="Q16" s="251">
        <f>$B$14-$D$6/O16^2+2*$D$6*$E$6/O16^3</f>
        <v>0.99919327598701024</v>
      </c>
      <c r="R16" s="251">
        <f t="shared" ref="R16" si="12">P16/Q16</f>
        <v>1.2942280966554444E-3</v>
      </c>
      <c r="S16" s="253" t="b">
        <f t="shared" si="1"/>
        <v>0</v>
      </c>
    </row>
    <row r="17" spans="1:19" x14ac:dyDescent="0.3">
      <c r="A17" s="260">
        <v>700</v>
      </c>
      <c r="B17" s="251">
        <v>1</v>
      </c>
      <c r="C17" s="434">
        <f t="shared" si="4"/>
        <v>57.437800000000003</v>
      </c>
      <c r="D17" s="434">
        <f>H34</f>
        <v>57.417957672277005</v>
      </c>
      <c r="E17" s="434">
        <f>O26</f>
        <v>57.445968697970429</v>
      </c>
      <c r="G17" s="251">
        <v>5</v>
      </c>
      <c r="H17" s="251">
        <f t="shared" si="10"/>
        <v>5.7961817386708109E-2</v>
      </c>
      <c r="I17" s="251">
        <f t="shared" si="5"/>
        <v>-6.7372559818990325</v>
      </c>
      <c r="J17" s="251">
        <f t="shared" si="6"/>
        <v>605.02742317197772</v>
      </c>
      <c r="K17" s="251">
        <f t="shared" si="7"/>
        <v>-1.113545555766318E-2</v>
      </c>
      <c r="L17" s="253" t="b">
        <f t="shared" si="8"/>
        <v>1</v>
      </c>
      <c r="N17" s="257">
        <v>2</v>
      </c>
      <c r="O17" s="251">
        <f>O16-R16</f>
        <v>41.025705771903347</v>
      </c>
      <c r="P17" s="251">
        <f>($B$14+($D$6/O17^2))*(O17-$E$6)-($A$6*$A$14)</f>
        <v>3.2919444947765442E-11</v>
      </c>
      <c r="Q17" s="251">
        <f>$B$14-$D$6/O17^2+2*$D$6*$E$6/O17^3</f>
        <v>0.99919322512670261</v>
      </c>
      <c r="R17" s="251">
        <f t="shared" ref="R17" si="13">P17/Q17</f>
        <v>3.2946024972888599E-11</v>
      </c>
      <c r="S17" s="253" t="b">
        <f t="shared" si="1"/>
        <v>1</v>
      </c>
    </row>
    <row r="18" spans="1:19" x14ac:dyDescent="0.3">
      <c r="A18" s="260">
        <v>700</v>
      </c>
      <c r="B18" s="251">
        <v>10</v>
      </c>
      <c r="C18" s="434">
        <f t="shared" si="4"/>
        <v>5.7437800000000001</v>
      </c>
      <c r="D18" s="434">
        <f>H37</f>
        <v>5.7241669989480233</v>
      </c>
      <c r="E18" s="434">
        <f>O29</f>
        <v>5.7520973336581385</v>
      </c>
      <c r="G18" s="257">
        <v>6</v>
      </c>
      <c r="H18" s="251">
        <f t="shared" si="10"/>
        <v>6.9097272944371291E-2</v>
      </c>
      <c r="I18" s="251">
        <f t="shared" si="5"/>
        <v>-2.0911616825978321</v>
      </c>
      <c r="J18" s="251">
        <f t="shared" si="6"/>
        <v>276.853049202639</v>
      </c>
      <c r="K18" s="251">
        <f t="shared" si="7"/>
        <v>-7.5533272565375771E-3</v>
      </c>
      <c r="L18" s="253" t="b">
        <f t="shared" si="8"/>
        <v>1</v>
      </c>
      <c r="N18" s="255"/>
      <c r="O18" s="255"/>
      <c r="P18" s="255"/>
      <c r="Q18" s="255"/>
      <c r="R18" s="255"/>
      <c r="S18" s="256"/>
    </row>
    <row r="19" spans="1:19" x14ac:dyDescent="0.3">
      <c r="A19" s="260">
        <v>700</v>
      </c>
      <c r="B19" s="251">
        <v>100</v>
      </c>
      <c r="C19" s="434">
        <f t="shared" si="4"/>
        <v>0.57437800000000006</v>
      </c>
      <c r="D19" s="434">
        <f>H41</f>
        <v>0.55755420030814595</v>
      </c>
      <c r="E19" s="434">
        <f>O32</f>
        <v>0.58420246247439112</v>
      </c>
      <c r="G19" s="257">
        <v>7</v>
      </c>
      <c r="H19" s="251">
        <f t="shared" si="10"/>
        <v>7.6650600200908872E-2</v>
      </c>
      <c r="I19" s="251">
        <f t="shared" si="5"/>
        <v>-0.44336857153137288</v>
      </c>
      <c r="J19" s="251">
        <f t="shared" si="6"/>
        <v>169.30737141797101</v>
      </c>
      <c r="K19" s="251">
        <f t="shared" si="7"/>
        <v>-2.6187198337444145E-3</v>
      </c>
      <c r="L19" s="253" t="b">
        <f t="shared" si="8"/>
        <v>1</v>
      </c>
      <c r="N19" s="257">
        <v>1</v>
      </c>
      <c r="O19" s="251">
        <f>C15</f>
        <v>4.1027000000000005</v>
      </c>
      <c r="P19" s="251">
        <f>($B$15+($D$6/O19^2))*(O19-$E$6)-($A$6*$A$15)</f>
        <v>1.0617226341601338E-2</v>
      </c>
      <c r="Q19" s="251">
        <f>$B$15-$D$6/O19^2+2*$D$6*$E$6/O19^3</f>
        <v>9.9204559355407511</v>
      </c>
      <c r="R19" s="251">
        <f t="shared" ref="R19" si="14">P19/Q19</f>
        <v>1.0702357241025946E-3</v>
      </c>
      <c r="S19" s="253" t="b">
        <f t="shared" si="1"/>
        <v>0</v>
      </c>
    </row>
    <row r="20" spans="1:19" x14ac:dyDescent="0.3">
      <c r="G20" s="251">
        <v>8</v>
      </c>
      <c r="H20" s="251">
        <f t="shared" si="10"/>
        <v>7.9269320034653284E-2</v>
      </c>
      <c r="I20" s="251">
        <f t="shared" si="5"/>
        <v>-3.4466409343327342E-2</v>
      </c>
      <c r="J20" s="251">
        <f t="shared" si="6"/>
        <v>143.77823696408507</v>
      </c>
      <c r="K20" s="251">
        <f t="shared" si="7"/>
        <v>-2.397192375640052E-4</v>
      </c>
      <c r="L20" s="253" t="b">
        <f t="shared" si="8"/>
        <v>1</v>
      </c>
      <c r="N20" s="257">
        <v>2</v>
      </c>
      <c r="O20" s="251">
        <f>O19-R19</f>
        <v>4.1016297642758976</v>
      </c>
      <c r="P20" s="251">
        <f>($B$15+($D$6/O20^2))*(O20-$E$6)-($A$6*$A$15)</f>
        <v>2.2038044278360758E-8</v>
      </c>
      <c r="Q20" s="251">
        <f>$B$15-$D$6/O20^2+2*$D$6*$E$6/O20^3</f>
        <v>9.9204147466576131</v>
      </c>
      <c r="R20" s="251">
        <f t="shared" ref="R20" si="15">P20/Q20</f>
        <v>2.2214841658496E-9</v>
      </c>
      <c r="S20" s="253" t="b">
        <f t="shared" si="1"/>
        <v>1</v>
      </c>
    </row>
    <row r="21" spans="1:19" x14ac:dyDescent="0.3">
      <c r="G21" s="257">
        <v>9</v>
      </c>
      <c r="H21" s="251">
        <f t="shared" si="10"/>
        <v>7.9509039272217294E-2</v>
      </c>
      <c r="I21" s="251">
        <f t="shared" si="5"/>
        <v>-2.5336928042918316E-4</v>
      </c>
      <c r="J21" s="251">
        <f t="shared" si="6"/>
        <v>141.67032877388101</v>
      </c>
      <c r="K21" s="251">
        <f t="shared" si="7"/>
        <v>-1.7884428067756096E-6</v>
      </c>
      <c r="L21" s="253" t="b">
        <f t="shared" si="8"/>
        <v>1</v>
      </c>
      <c r="O21" s="255"/>
      <c r="P21" s="255"/>
      <c r="Q21" s="255"/>
      <c r="R21" s="255"/>
      <c r="S21" s="256"/>
    </row>
    <row r="22" spans="1:19" x14ac:dyDescent="0.3">
      <c r="G22" s="255"/>
      <c r="H22" s="255"/>
      <c r="I22" s="255"/>
      <c r="J22" s="255"/>
      <c r="K22" s="255"/>
      <c r="L22" s="256"/>
      <c r="N22" s="257">
        <v>1</v>
      </c>
      <c r="O22" s="251">
        <f>C16</f>
        <v>0.41027000000000002</v>
      </c>
      <c r="P22" s="251">
        <f>($B$16+($D$6/O22^2))*(O22-$E$6)-($A$6*$A$16)</f>
        <v>-0.12528911420130839</v>
      </c>
      <c r="Q22" s="251">
        <f>$B$16-$D$6/O22^2+2*$D$6*$E$6/O22^3</f>
        <v>93.17393039380147</v>
      </c>
      <c r="R22" s="251">
        <f t="shared" ref="R22" si="16">P22/Q22</f>
        <v>-1.3446799300165986E-3</v>
      </c>
      <c r="S22" s="253" t="b">
        <f t="shared" si="1"/>
        <v>1</v>
      </c>
    </row>
    <row r="23" spans="1:19" x14ac:dyDescent="0.3">
      <c r="G23" s="257">
        <v>1</v>
      </c>
      <c r="H23" s="251">
        <f>C14</f>
        <v>41.027000000000001</v>
      </c>
      <c r="I23" s="251">
        <f>($B$14+($B$6/H23^2))*(H23-$C$6)-($A$6*$A$14)</f>
        <v>4.4791041555562572E-2</v>
      </c>
      <c r="J23" s="251">
        <f>$B$14-$B$6/H23^2+2*$B$6*$C$6/H23^3</f>
        <v>0.99787042719978492</v>
      </c>
      <c r="K23" s="251">
        <f t="shared" ref="K23" si="17">I23/J23</f>
        <v>4.4886630903828661E-2</v>
      </c>
      <c r="L23" s="253" t="b">
        <f>K23&lt;$L$4</f>
        <v>0</v>
      </c>
      <c r="N23" s="257">
        <v>2</v>
      </c>
      <c r="O23" s="251">
        <f>O22-R22</f>
        <v>0.4116146799300166</v>
      </c>
      <c r="P23" s="251">
        <f>($B$16+($D$6/O23^2))*(O23-$E$6)-($A$6*$A$16)</f>
        <v>2.7241259658694617E-5</v>
      </c>
      <c r="Q23" s="251">
        <f>$B$16-$D$6/O23^2+2*$D$6*$E$6/O23^3</f>
        <v>93.214387971593638</v>
      </c>
      <c r="R23" s="251">
        <f t="shared" ref="R23" si="18">P23/Q23</f>
        <v>2.9224307804280362E-7</v>
      </c>
      <c r="S23" s="253" t="b">
        <f t="shared" si="1"/>
        <v>1</v>
      </c>
    </row>
    <row r="24" spans="1:19" x14ac:dyDescent="0.3">
      <c r="G24" s="251">
        <v>2</v>
      </c>
      <c r="H24" s="251">
        <f>H23-K23</f>
        <v>40.982113369096176</v>
      </c>
      <c r="I24" s="251">
        <f>($B$14+($B$6/H24^2))*(H24-$C$6)-($A$6*$A$14)</f>
        <v>1.0458725796524959E-7</v>
      </c>
      <c r="J24" s="251">
        <f>$B$14-$B$6/H24^2+2*$B$6*$C$6/H24^3</f>
        <v>0.99786576458745546</v>
      </c>
      <c r="K24" s="251">
        <f>I24/J24</f>
        <v>1.048109492046646E-7</v>
      </c>
      <c r="L24" s="253" t="b">
        <f>K24&lt;$L$4</f>
        <v>1</v>
      </c>
      <c r="O24" s="254"/>
      <c r="P24" s="254"/>
      <c r="Q24" s="254"/>
      <c r="R24" s="254"/>
      <c r="S24" s="256"/>
    </row>
    <row r="25" spans="1:19" x14ac:dyDescent="0.3">
      <c r="G25" s="255"/>
      <c r="H25" s="255"/>
      <c r="I25" s="255"/>
      <c r="J25" s="255"/>
      <c r="K25" s="255"/>
      <c r="L25" s="256"/>
      <c r="N25" s="257">
        <v>1</v>
      </c>
      <c r="O25" s="251">
        <f>C17</f>
        <v>57.437800000000003</v>
      </c>
      <c r="P25" s="251">
        <f>($B$17+($D$6/O25^2))*(O25-$E$6)-($A$6*$A$17)</f>
        <v>-8.1653342914194127E-3</v>
      </c>
      <c r="Q25" s="251">
        <f>$B$17-$D$6/O25^2+2*$D$6*$E$6/O25^3</f>
        <v>0.99958822335961162</v>
      </c>
      <c r="R25" s="251">
        <f t="shared" ref="R25" si="19">P25/Q25</f>
        <v>-8.1686979704260216E-3</v>
      </c>
      <c r="S25" s="253" t="b">
        <f t="shared" si="1"/>
        <v>1</v>
      </c>
    </row>
    <row r="26" spans="1:19" x14ac:dyDescent="0.3">
      <c r="G26" s="251">
        <v>1</v>
      </c>
      <c r="H26" s="251">
        <f>C15</f>
        <v>4.1027000000000005</v>
      </c>
      <c r="I26" s="251">
        <f>($B$15+($B$6/H26^2))*(H26-$C$6)-($A$6*$A$15)</f>
        <v>0.43971517025365614</v>
      </c>
      <c r="J26" s="251">
        <f>$B$15-$B$6/H26^2+2*$B$6*$C$6/H26^3</f>
        <v>9.7910377697271596</v>
      </c>
      <c r="K26" s="251">
        <f t="shared" ref="K26" si="20">I26/J26</f>
        <v>4.4909965684455676E-2</v>
      </c>
      <c r="L26" s="253" t="b">
        <f>K26&lt;$L$4</f>
        <v>0</v>
      </c>
      <c r="N26" s="257">
        <v>2</v>
      </c>
      <c r="O26" s="251">
        <f>O25-R25</f>
        <v>57.445968697970429</v>
      </c>
      <c r="P26" s="251">
        <f>($B$17+($D$6/O26^2))*(O26-$E$6)-($A$6*$A$17)</f>
        <v>4.780460471920378E-10</v>
      </c>
      <c r="Q26" s="251">
        <f>$B$17-$D$6/O26^2+2*$D$6*$E$6/O26^3</f>
        <v>0.99958834039390876</v>
      </c>
      <c r="R26" s="251">
        <f t="shared" ref="R26" si="21">P26/Q26</f>
        <v>4.7824292048430026E-10</v>
      </c>
      <c r="S26" s="253" t="b">
        <f t="shared" si="1"/>
        <v>1</v>
      </c>
    </row>
    <row r="27" spans="1:19" x14ac:dyDescent="0.3">
      <c r="G27" s="251">
        <v>2</v>
      </c>
      <c r="H27" s="251">
        <f>H26-K26</f>
        <v>4.0577900343155449</v>
      </c>
      <c r="I27" s="251">
        <f>($B$15+($B$6/H27^2))*(H27-$C$6)-($A$6*$A$15)</f>
        <v>1.0274828396461544E-4</v>
      </c>
      <c r="J27" s="251">
        <f>$B$15-$B$6/H27^2+2*$B$6*$C$6/H27^3</f>
        <v>9.7864369779822784</v>
      </c>
      <c r="K27" s="251">
        <f>I27/J27</f>
        <v>1.0499049265404823E-5</v>
      </c>
      <c r="L27" s="253" t="b">
        <f>K27&lt;$L$4</f>
        <v>1</v>
      </c>
      <c r="O27" s="255"/>
      <c r="P27" s="255"/>
      <c r="Q27" s="255"/>
      <c r="R27" s="255"/>
      <c r="S27" s="256"/>
    </row>
    <row r="28" spans="1:19" x14ac:dyDescent="0.3">
      <c r="G28" s="255"/>
      <c r="H28" s="255"/>
      <c r="I28" s="255"/>
      <c r="J28" s="255"/>
      <c r="K28" s="255"/>
      <c r="L28" s="256"/>
      <c r="N28" s="257">
        <v>1</v>
      </c>
      <c r="O28" s="251">
        <f>C18</f>
        <v>5.7437800000000001</v>
      </c>
      <c r="P28" s="251">
        <f>($B$18+($D$6/O28^2))*(O28-$E$6)-($A$6*$A$18)</f>
        <v>-8.2834268310158166E-2</v>
      </c>
      <c r="Q28" s="251">
        <f>$B$18-$D$6/O28^2+2*$D$6*$E$6/O28^3</f>
        <v>9.9592335374333718</v>
      </c>
      <c r="R28" s="251">
        <f t="shared" ref="R28" si="22">P28/Q28</f>
        <v>-8.3173336581386838E-3</v>
      </c>
      <c r="S28" s="253" t="b">
        <f t="shared" si="1"/>
        <v>1</v>
      </c>
    </row>
    <row r="29" spans="1:19" x14ac:dyDescent="0.3">
      <c r="G29" s="251">
        <v>1</v>
      </c>
      <c r="H29" s="251">
        <f>C16</f>
        <v>0.41027000000000002</v>
      </c>
      <c r="I29" s="251">
        <f>($B$16+($B$6/H29^2))*(H29-$C$6)-($A$6*$A$16)</f>
        <v>3.5776271723421971</v>
      </c>
      <c r="J29" s="251">
        <f>$B$16-$B$6/H29^2+2*$B$6*$C$6/H29^3</f>
        <v>83.098826721390566</v>
      </c>
      <c r="K29" s="251">
        <f t="shared" ref="K29" si="23">I29/J29</f>
        <v>4.3052679724794186E-2</v>
      </c>
      <c r="L29" s="253" t="b">
        <f>K29&lt;$L$4</f>
        <v>0</v>
      </c>
      <c r="N29" s="257">
        <v>2</v>
      </c>
      <c r="O29" s="251">
        <f>O28-R28</f>
        <v>5.7520973336581385</v>
      </c>
      <c r="P29" s="251">
        <f>($B$18+($D$6/O29^2))*(O29-$E$6)-($A$6*$A$18)</f>
        <v>4.8753753389974008E-7</v>
      </c>
      <c r="Q29" s="251">
        <f>$B$18-$D$6/O29^2+2*$D$6*$E$6/O29^3</f>
        <v>9.9593506872472854</v>
      </c>
      <c r="R29" s="251">
        <f t="shared" ref="R29" si="24">P29/Q29</f>
        <v>4.8952742925703024E-8</v>
      </c>
      <c r="S29" s="253" t="b">
        <f t="shared" si="1"/>
        <v>1</v>
      </c>
    </row>
    <row r="30" spans="1:19" x14ac:dyDescent="0.3">
      <c r="G30" s="251">
        <v>2</v>
      </c>
      <c r="H30" s="251">
        <f>H29-K29</f>
        <v>0.36721732027520582</v>
      </c>
      <c r="I30" s="251">
        <f>($B$16+($B$6/H30^2))*(H30-$C$6)-($A$6*$A$16)</f>
        <v>7.2792618065108172E-2</v>
      </c>
      <c r="J30" s="251">
        <f>$B$16-$B$6/H30^2+2*$B$6*$C$6/H30^3</f>
        <v>79.553122695470677</v>
      </c>
      <c r="K30" s="251">
        <f>I30/J30</f>
        <v>9.1501899106787151E-4</v>
      </c>
      <c r="L30" s="253" t="b">
        <f>K30&lt;$L$4</f>
        <v>1</v>
      </c>
      <c r="O30" s="255"/>
      <c r="P30" s="255"/>
      <c r="Q30" s="255"/>
      <c r="R30" s="255"/>
      <c r="S30" s="256"/>
    </row>
    <row r="31" spans="1:19" x14ac:dyDescent="0.3">
      <c r="G31" s="251">
        <v>3</v>
      </c>
      <c r="H31" s="251">
        <f>H30-K30</f>
        <v>0.36630230128413793</v>
      </c>
      <c r="I31" s="251">
        <f>($B$16+($B$6/H31^2))*(H31-$C$6)-($A$6*$A$16)</f>
        <v>3.964316586291261E-5</v>
      </c>
      <c r="J31" s="251">
        <f>$B$16-$B$6/H31^2+2*$B$6*$C$6/H31^3</f>
        <v>79.466383902152501</v>
      </c>
      <c r="K31" s="251">
        <f>I31/J31</f>
        <v>4.9886711734266796E-7</v>
      </c>
      <c r="L31" s="253" t="b">
        <f>K31&lt;$L$4</f>
        <v>1</v>
      </c>
      <c r="N31" s="257">
        <v>1</v>
      </c>
      <c r="O31" s="251">
        <f>C19</f>
        <v>0.57437800000000006</v>
      </c>
      <c r="P31" s="251">
        <f>($B$19+($D$6/O31^2))*(O31-$E$6)-($A$6*$A$19)</f>
        <v>-0.94643522270223457</v>
      </c>
      <c r="Q31" s="251">
        <f>$B$19-$D$6/O31^2+2*$D$6*$E$6/O31^3</f>
        <v>96.334555215540703</v>
      </c>
      <c r="R31" s="251">
        <f t="shared" ref="R31" si="25">P31/Q31</f>
        <v>-9.8244624743910741E-3</v>
      </c>
      <c r="S31" s="253" t="b">
        <f t="shared" si="1"/>
        <v>1</v>
      </c>
    </row>
    <row r="32" spans="1:19" x14ac:dyDescent="0.3">
      <c r="H32" s="255"/>
      <c r="I32" s="255"/>
      <c r="J32" s="255"/>
      <c r="K32" s="255"/>
      <c r="L32" s="256"/>
      <c r="N32" s="257">
        <v>2</v>
      </c>
      <c r="O32" s="251">
        <f>O31-R31</f>
        <v>0.58420246247439112</v>
      </c>
      <c r="P32" s="251">
        <f>($B$19+($D$6/O32^2))*(O32-$E$6)-($A$6*$A$19)</f>
        <v>5.6848479093218884E-4</v>
      </c>
      <c r="Q32" s="251">
        <f>$B$19-$D$6/O32^2+2*$D$6*$E$6/O32^3</f>
        <v>96.449374065930655</v>
      </c>
      <c r="R32" s="251">
        <f t="shared" ref="R32" si="26">P32/Q32</f>
        <v>5.8941262858127539E-6</v>
      </c>
      <c r="S32" s="253" t="b">
        <f t="shared" si="1"/>
        <v>1</v>
      </c>
    </row>
    <row r="33" spans="7:12" x14ac:dyDescent="0.3">
      <c r="G33" s="251">
        <v>1</v>
      </c>
      <c r="H33" s="251">
        <f>C17</f>
        <v>57.437800000000003</v>
      </c>
      <c r="I33" s="251">
        <f>($B$17+($B$6/H33^2))*(H33-$C$6)-($A$6*$A$17)</f>
        <v>1.982075586236931E-2</v>
      </c>
      <c r="J33" s="251">
        <f>$B$17-$B$6/H33^2+2*$B$6*$C$6/H33^3</f>
        <v>0.99891283618878735</v>
      </c>
      <c r="K33" s="251">
        <f t="shared" ref="K33" si="27">I33/J33</f>
        <v>1.9842327722999979E-2</v>
      </c>
      <c r="L33" s="253" t="b">
        <f>K33&lt;$L$4</f>
        <v>0</v>
      </c>
    </row>
    <row r="34" spans="7:12" x14ac:dyDescent="0.3">
      <c r="G34" s="251">
        <v>2</v>
      </c>
      <c r="H34" s="251">
        <f>H33-K33</f>
        <v>57.417957672277005</v>
      </c>
      <c r="I34" s="251">
        <f>($B$17+($B$6/H34^2))*(H34-$C$6)-($A$6*$A$17)</f>
        <v>7.4491879331617383E-9</v>
      </c>
      <c r="J34" s="251">
        <f>$B$17-$B$6/H34^2+2*$B$6*$C$6/H34^3</f>
        <v>0.99891208522067909</v>
      </c>
      <c r="K34" s="251">
        <f>I34/J34</f>
        <v>7.4573008409604621E-9</v>
      </c>
      <c r="L34" s="253" t="b">
        <f>K34&lt;$L$4</f>
        <v>1</v>
      </c>
    </row>
    <row r="35" spans="7:12" x14ac:dyDescent="0.3">
      <c r="H35" s="255"/>
      <c r="I35" s="255"/>
      <c r="J35" s="255"/>
      <c r="K35" s="255"/>
      <c r="L35" s="256"/>
    </row>
    <row r="36" spans="7:12" x14ac:dyDescent="0.3">
      <c r="G36" s="251">
        <v>1</v>
      </c>
      <c r="H36" s="251">
        <f>C18</f>
        <v>5.7437800000000001</v>
      </c>
      <c r="I36" s="251">
        <f>($B$18+($B$6/H36^2))*(H36-$C$6)-($A$6*$A$18)</f>
        <v>0.19402631102062173</v>
      </c>
      <c r="J36" s="251">
        <f>$B$18-$B$6/H36^2+2*$B$6*$C$6/H36^3</f>
        <v>9.8927395407988126</v>
      </c>
      <c r="K36" s="251">
        <f t="shared" ref="K36" si="28">I36/J36</f>
        <v>1.9613001051977014E-2</v>
      </c>
      <c r="L36" s="253" t="b">
        <f>K36&lt;$L$4</f>
        <v>0</v>
      </c>
    </row>
    <row r="37" spans="7:12" x14ac:dyDescent="0.3">
      <c r="G37" s="251">
        <v>2</v>
      </c>
      <c r="H37" s="251">
        <f>H36-K36</f>
        <v>5.7241669989480233</v>
      </c>
      <c r="I37" s="251">
        <f>($B$18+($B$6/H37^2))*(H37-$C$6)-($A$6*$A$18)</f>
        <v>7.1534698378172834E-6</v>
      </c>
      <c r="J37" s="251">
        <f>$B$18-$B$6/H37^2+2*$B$6*$C$6/H37^3</f>
        <v>9.8920088385951157</v>
      </c>
      <c r="K37" s="251">
        <f>I37/J37</f>
        <v>7.2315643410133008E-7</v>
      </c>
      <c r="L37" s="253" t="b">
        <f>K37&lt;$L$4</f>
        <v>1</v>
      </c>
    </row>
    <row r="38" spans="7:12" x14ac:dyDescent="0.3">
      <c r="H38" s="255"/>
      <c r="I38" s="255"/>
      <c r="J38" s="255"/>
      <c r="K38" s="255"/>
      <c r="L38" s="256"/>
    </row>
    <row r="39" spans="7:12" x14ac:dyDescent="0.3">
      <c r="G39" s="251">
        <v>1</v>
      </c>
      <c r="H39" s="251">
        <f>C19</f>
        <v>0.57437800000000006</v>
      </c>
      <c r="I39" s="251">
        <f>($B$19+($B$6/H39^2))*(H39-$C$6)-($A$6*$A$19)</f>
        <v>1.5221383499030168</v>
      </c>
      <c r="J39" s="251">
        <f>$B$19-$B$6/H39^2+2*$B$6*$C$6/H39^3</f>
        <v>90.729875999952313</v>
      </c>
      <c r="K39" s="251">
        <f t="shared" ref="K39" si="29">I39/J39</f>
        <v>1.6776594623625594E-2</v>
      </c>
      <c r="L39" s="253" t="b">
        <f>K39&lt;$L$4</f>
        <v>0</v>
      </c>
    </row>
    <row r="40" spans="7:12" x14ac:dyDescent="0.3">
      <c r="G40" s="251">
        <v>2</v>
      </c>
      <c r="H40" s="251">
        <f>H39-K39</f>
        <v>0.55760140537637448</v>
      </c>
      <c r="I40" s="251">
        <f>($B$19+($B$6/H40^2))*(H40-$C$6)-($A$6*$A$19)</f>
        <v>4.2586197220515487E-3</v>
      </c>
      <c r="J40" s="251">
        <f>$B$19-$B$6/H40^2+2*$B$6*$C$6/H40^3</f>
        <v>90.21530699710631</v>
      </c>
      <c r="K40" s="251">
        <f>I40/J40</f>
        <v>4.7205068228478625E-5</v>
      </c>
      <c r="L40" s="253" t="b">
        <f>K40&lt;$L$4</f>
        <v>1</v>
      </c>
    </row>
    <row r="41" spans="7:12" x14ac:dyDescent="0.3">
      <c r="G41" s="251">
        <v>3</v>
      </c>
      <c r="H41" s="251">
        <f>H40-K40</f>
        <v>0.55755420030814595</v>
      </c>
      <c r="I41" s="251">
        <f>($B$19+($B$6/H41^2))*(H41-$C$6)-($A$6*$A$19)</f>
        <v>3.5571872558648465E-8</v>
      </c>
      <c r="J41" s="251">
        <f>$B$19-$B$6/H41^2+2*$B$6*$C$6/H41^3</f>
        <v>90.213799818321448</v>
      </c>
      <c r="K41" s="251">
        <f>I41/J41</f>
        <v>3.9430633262633287E-10</v>
      </c>
      <c r="L41" s="253" t="b">
        <f>K41&lt;$L$4</f>
        <v>1</v>
      </c>
    </row>
  </sheetData>
  <mergeCells count="2">
    <mergeCell ref="A1:N1"/>
    <mergeCell ref="C9:E9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34"/>
  <sheetViews>
    <sheetView workbookViewId="0">
      <selection sqref="A1:XFD1"/>
    </sheetView>
  </sheetViews>
  <sheetFormatPr baseColWidth="10" defaultRowHeight="14.4" x14ac:dyDescent="0.3"/>
  <sheetData>
    <row r="1" spans="1:14" s="61" customFormat="1" ht="28.8" x14ac:dyDescent="0.55000000000000004">
      <c r="A1" s="610" t="s">
        <v>186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A3" s="96" t="s">
        <v>177</v>
      </c>
      <c r="B3" t="s">
        <v>178</v>
      </c>
    </row>
    <row r="4" spans="1:14" x14ac:dyDescent="0.3">
      <c r="B4" t="s">
        <v>179</v>
      </c>
    </row>
    <row r="5" spans="1:14" ht="15" thickBot="1" x14ac:dyDescent="0.35"/>
    <row r="6" spans="1:14" x14ac:dyDescent="0.3">
      <c r="B6" s="435"/>
      <c r="C6" s="436"/>
    </row>
    <row r="7" spans="1:14" ht="15" thickBot="1" x14ac:dyDescent="0.35">
      <c r="B7" s="437"/>
      <c r="C7" s="438"/>
    </row>
    <row r="9" spans="1:14" x14ac:dyDescent="0.3">
      <c r="A9" t="s">
        <v>180</v>
      </c>
      <c r="B9" t="s">
        <v>181</v>
      </c>
    </row>
    <row r="13" spans="1:14" ht="15" thickBot="1" x14ac:dyDescent="0.35"/>
    <row r="14" spans="1:14" ht="15" thickBot="1" x14ac:dyDescent="0.35">
      <c r="B14" s="439" t="s">
        <v>182</v>
      </c>
      <c r="C14" s="440"/>
      <c r="E14" s="439" t="s">
        <v>183</v>
      </c>
      <c r="F14" s="441"/>
    </row>
    <row r="16" spans="1:14" x14ac:dyDescent="0.3">
      <c r="B16" s="433" t="s">
        <v>30</v>
      </c>
      <c r="C16" s="433" t="s">
        <v>126</v>
      </c>
      <c r="E16" s="433" t="s">
        <v>30</v>
      </c>
      <c r="F16" s="433" t="s">
        <v>126</v>
      </c>
    </row>
    <row r="17" spans="2:6" x14ac:dyDescent="0.3">
      <c r="B17" s="251">
        <v>-6</v>
      </c>
      <c r="C17" s="251">
        <f>3*B17+2*B17-18</f>
        <v>-48</v>
      </c>
      <c r="E17" s="251">
        <v>-6</v>
      </c>
      <c r="F17" s="251">
        <f>-E17+2*E17-2</f>
        <v>-8</v>
      </c>
    </row>
    <row r="18" spans="2:6" x14ac:dyDescent="0.3">
      <c r="B18" s="251">
        <v>-4.5</v>
      </c>
      <c r="C18" s="251">
        <f t="shared" ref="C18:C30" si="0">3*B18+2*B18-18</f>
        <v>-40.5</v>
      </c>
      <c r="E18" s="251">
        <v>-4.5</v>
      </c>
      <c r="F18" s="251">
        <f t="shared" ref="F18:F30" si="1">-E18+2*E18-2</f>
        <v>-6.5</v>
      </c>
    </row>
    <row r="19" spans="2:6" x14ac:dyDescent="0.3">
      <c r="B19" s="251">
        <f>B18+1.5</f>
        <v>-3</v>
      </c>
      <c r="C19" s="251">
        <f t="shared" si="0"/>
        <v>-33</v>
      </c>
      <c r="E19" s="251">
        <f>E18+1.5</f>
        <v>-3</v>
      </c>
      <c r="F19" s="251">
        <f t="shared" si="1"/>
        <v>-5</v>
      </c>
    </row>
    <row r="20" spans="2:6" x14ac:dyDescent="0.3">
      <c r="B20" s="251">
        <f t="shared" ref="B20:B23" si="2">B19+1.5</f>
        <v>-1.5</v>
      </c>
      <c r="C20" s="251">
        <f t="shared" si="0"/>
        <v>-25.5</v>
      </c>
      <c r="E20" s="251">
        <f t="shared" ref="E20:E30" si="3">E19+1.5</f>
        <v>-1.5</v>
      </c>
      <c r="F20" s="251">
        <f t="shared" si="1"/>
        <v>-3.5</v>
      </c>
    </row>
    <row r="21" spans="2:6" x14ac:dyDescent="0.3">
      <c r="B21" s="251">
        <f t="shared" si="2"/>
        <v>0</v>
      </c>
      <c r="C21" s="251">
        <f t="shared" si="0"/>
        <v>-18</v>
      </c>
      <c r="E21" s="251">
        <f t="shared" si="3"/>
        <v>0</v>
      </c>
      <c r="F21" s="251">
        <f t="shared" si="1"/>
        <v>-2</v>
      </c>
    </row>
    <row r="22" spans="2:6" x14ac:dyDescent="0.3">
      <c r="B22" s="251">
        <f t="shared" si="2"/>
        <v>1.5</v>
      </c>
      <c r="C22" s="251">
        <f t="shared" si="0"/>
        <v>-10.5</v>
      </c>
      <c r="E22" s="251">
        <f t="shared" si="3"/>
        <v>1.5</v>
      </c>
      <c r="F22" s="251">
        <f t="shared" si="1"/>
        <v>-0.5</v>
      </c>
    </row>
    <row r="23" spans="2:6" x14ac:dyDescent="0.3">
      <c r="B23" s="251">
        <f t="shared" si="2"/>
        <v>3</v>
      </c>
      <c r="C23" s="251">
        <f t="shared" si="0"/>
        <v>-3</v>
      </c>
      <c r="E23" s="251">
        <f t="shared" si="3"/>
        <v>3</v>
      </c>
      <c r="F23" s="251">
        <f t="shared" si="1"/>
        <v>1</v>
      </c>
    </row>
    <row r="24" spans="2:6" x14ac:dyDescent="0.3">
      <c r="B24" s="251">
        <f>B23+1.5</f>
        <v>4.5</v>
      </c>
      <c r="C24" s="251">
        <f t="shared" si="0"/>
        <v>4.5</v>
      </c>
      <c r="E24" s="251">
        <f t="shared" si="3"/>
        <v>4.5</v>
      </c>
      <c r="F24" s="251">
        <f t="shared" si="1"/>
        <v>2.5</v>
      </c>
    </row>
    <row r="25" spans="2:6" x14ac:dyDescent="0.3">
      <c r="B25" s="251">
        <f>B24+1.5</f>
        <v>6</v>
      </c>
      <c r="C25" s="251">
        <f t="shared" si="0"/>
        <v>12</v>
      </c>
      <c r="E25" s="251">
        <f t="shared" si="3"/>
        <v>6</v>
      </c>
      <c r="F25" s="251">
        <f t="shared" si="1"/>
        <v>4</v>
      </c>
    </row>
    <row r="26" spans="2:6" x14ac:dyDescent="0.3">
      <c r="B26" s="251">
        <f>B25+1.5</f>
        <v>7.5</v>
      </c>
      <c r="C26" s="251">
        <f t="shared" si="0"/>
        <v>19.5</v>
      </c>
      <c r="E26" s="251">
        <f t="shared" si="3"/>
        <v>7.5</v>
      </c>
      <c r="F26" s="251">
        <f t="shared" si="1"/>
        <v>5.5</v>
      </c>
    </row>
    <row r="27" spans="2:6" x14ac:dyDescent="0.3">
      <c r="B27" s="251">
        <f t="shared" ref="B27" si="4">B26+1.5</f>
        <v>9</v>
      </c>
      <c r="C27" s="251">
        <f t="shared" si="0"/>
        <v>27</v>
      </c>
      <c r="E27" s="251">
        <f t="shared" si="3"/>
        <v>9</v>
      </c>
      <c r="F27" s="251">
        <f t="shared" si="1"/>
        <v>7</v>
      </c>
    </row>
    <row r="28" spans="2:6" x14ac:dyDescent="0.3">
      <c r="B28" s="251">
        <f>B27+1.5</f>
        <v>10.5</v>
      </c>
      <c r="C28" s="251">
        <f t="shared" si="0"/>
        <v>34.5</v>
      </c>
      <c r="E28" s="251">
        <f t="shared" si="3"/>
        <v>10.5</v>
      </c>
      <c r="F28" s="251">
        <f t="shared" si="1"/>
        <v>8.5</v>
      </c>
    </row>
    <row r="29" spans="2:6" x14ac:dyDescent="0.3">
      <c r="B29" s="251">
        <f t="shared" ref="B29" si="5">B28+1.5</f>
        <v>12</v>
      </c>
      <c r="C29" s="251">
        <f t="shared" si="0"/>
        <v>42</v>
      </c>
      <c r="E29" s="251">
        <f t="shared" si="3"/>
        <v>12</v>
      </c>
      <c r="F29" s="251">
        <f t="shared" si="1"/>
        <v>10</v>
      </c>
    </row>
    <row r="30" spans="2:6" x14ac:dyDescent="0.3">
      <c r="B30" s="251">
        <f>B29+1.5</f>
        <v>13.5</v>
      </c>
      <c r="C30" s="251">
        <f t="shared" si="0"/>
        <v>49.5</v>
      </c>
      <c r="E30" s="251">
        <f t="shared" si="3"/>
        <v>13.5</v>
      </c>
      <c r="F30" s="251">
        <f t="shared" si="1"/>
        <v>11.5</v>
      </c>
    </row>
    <row r="33" spans="3:3" x14ac:dyDescent="0.3">
      <c r="C33" t="s">
        <v>184</v>
      </c>
    </row>
    <row r="34" spans="3:3" x14ac:dyDescent="0.3">
      <c r="C34" t="s">
        <v>185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1"/>
  <sheetViews>
    <sheetView workbookViewId="0">
      <selection activeCell="F11" sqref="F11"/>
    </sheetView>
  </sheetViews>
  <sheetFormatPr baseColWidth="10" defaultRowHeight="14.4" x14ac:dyDescent="0.3"/>
  <sheetData>
    <row r="1" spans="1:16" s="61" customFormat="1" ht="28.8" x14ac:dyDescent="0.55000000000000004">
      <c r="A1" s="610" t="s">
        <v>200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5" spans="1:16" x14ac:dyDescent="0.3">
      <c r="G5" s="455"/>
      <c r="H5" s="647" t="s">
        <v>191</v>
      </c>
      <c r="I5" s="647"/>
      <c r="J5" s="647"/>
      <c r="K5" s="647" t="s">
        <v>192</v>
      </c>
      <c r="L5" s="647"/>
      <c r="M5" s="647"/>
      <c r="N5" s="647" t="s">
        <v>193</v>
      </c>
      <c r="O5" s="647"/>
      <c r="P5" s="647"/>
    </row>
    <row r="6" spans="1:16" x14ac:dyDescent="0.3">
      <c r="B6" s="648" t="s">
        <v>194</v>
      </c>
      <c r="C6" s="648"/>
      <c r="D6" s="648"/>
      <c r="E6" s="459" t="s">
        <v>195</v>
      </c>
      <c r="G6" s="456" t="s">
        <v>196</v>
      </c>
      <c r="H6" s="457" t="s">
        <v>197</v>
      </c>
      <c r="I6" s="457" t="s">
        <v>198</v>
      </c>
      <c r="J6" s="457" t="s">
        <v>199</v>
      </c>
      <c r="K6" s="454" t="s">
        <v>197</v>
      </c>
      <c r="L6" s="454" t="s">
        <v>198</v>
      </c>
      <c r="M6" s="454" t="s">
        <v>199</v>
      </c>
      <c r="N6" s="271" t="s">
        <v>197</v>
      </c>
      <c r="O6" s="271" t="s">
        <v>198</v>
      </c>
      <c r="P6" s="271" t="s">
        <v>199</v>
      </c>
    </row>
    <row r="7" spans="1:16" x14ac:dyDescent="0.3">
      <c r="B7" s="443">
        <v>3</v>
      </c>
      <c r="C7" s="443">
        <v>-0.1</v>
      </c>
      <c r="D7" s="443">
        <v>-0.2</v>
      </c>
      <c r="E7" s="444">
        <v>7.85</v>
      </c>
      <c r="G7" s="107">
        <v>1</v>
      </c>
      <c r="H7" s="445">
        <v>0</v>
      </c>
      <c r="I7" s="445">
        <v>0</v>
      </c>
      <c r="J7" s="445">
        <v>0</v>
      </c>
      <c r="K7" s="453">
        <f>($E$7-$C$7*I7-$D$7*J7)/$B$7</f>
        <v>2.6166666666666667</v>
      </c>
      <c r="L7" s="453">
        <f>($E$8-$B$8*K7-$D$8*J7)/$C$8</f>
        <v>-2.7945238095238096</v>
      </c>
      <c r="M7" s="458">
        <f>($E$9-$B$9*K7-$C$9*L7)/$D$9</f>
        <v>7.0056095238095253</v>
      </c>
      <c r="N7" s="266">
        <v>100</v>
      </c>
      <c r="O7" s="266">
        <v>100</v>
      </c>
      <c r="P7" s="266">
        <v>100</v>
      </c>
    </row>
    <row r="8" spans="1:16" x14ac:dyDescent="0.3">
      <c r="B8" s="443">
        <v>0.1</v>
      </c>
      <c r="C8" s="443">
        <v>7</v>
      </c>
      <c r="D8" s="443">
        <v>-0.3</v>
      </c>
      <c r="E8" s="444">
        <v>-19.3</v>
      </c>
      <c r="G8" s="107">
        <f>G7+1</f>
        <v>2</v>
      </c>
      <c r="H8" s="445">
        <v>2.6166666666666667</v>
      </c>
      <c r="I8" s="445">
        <v>-2.7945238095238096</v>
      </c>
      <c r="J8" s="445">
        <v>7.0056095238095253</v>
      </c>
      <c r="K8" s="453">
        <f>($E$7-$C$7*I8-$D$7*J8)/$B$7</f>
        <v>2.9905565079365082</v>
      </c>
      <c r="L8" s="453">
        <f>($E$8-$B$8*K8-$D$8*J8)/$C$8</f>
        <v>-2.4996246848072561</v>
      </c>
      <c r="M8" s="458">
        <f>($E$9-$B$9*K8-$C$9*L8)/$D$9</f>
        <v>7.00029081106576</v>
      </c>
      <c r="N8" s="266">
        <f>ABS((K8-K7)/K8)*100</f>
        <v>12.502349989963122</v>
      </c>
      <c r="O8" s="266">
        <f t="shared" ref="O8:P11" si="0">ABS((L8-L7)/L8)*100</f>
        <v>11.797736136506948</v>
      </c>
      <c r="P8" s="266">
        <f t="shared" si="0"/>
        <v>7.5978454143043342E-2</v>
      </c>
    </row>
    <row r="9" spans="1:16" x14ac:dyDescent="0.3">
      <c r="B9" s="443">
        <v>0.3</v>
      </c>
      <c r="C9" s="443">
        <v>-0.2</v>
      </c>
      <c r="D9" s="443">
        <v>10</v>
      </c>
      <c r="E9" s="444">
        <v>71.400000000000006</v>
      </c>
      <c r="G9" s="107">
        <f t="shared" ref="G9:G11" si="1">G8+1</f>
        <v>3</v>
      </c>
      <c r="H9" s="445">
        <v>2.99055650793651</v>
      </c>
      <c r="I9" s="445">
        <v>-2.4996246848072561</v>
      </c>
      <c r="J9" s="445">
        <v>7.00029081106576</v>
      </c>
      <c r="K9" s="453">
        <f>($E$7-$C$7*I9-$D$7*J9)/$B$7</f>
        <v>3.0000318979108087</v>
      </c>
      <c r="L9" s="453">
        <f>($E$8-$B$8*K9-$D$8*J9)/$C$8</f>
        <v>-2.4999879923530508</v>
      </c>
      <c r="M9" s="458">
        <f>($E$9-$B$9*K9-$C$9*L9)/$D$9</f>
        <v>6.9999992832156153</v>
      </c>
      <c r="N9" s="266">
        <f>ABS((K9-K8)/K9)*100</f>
        <v>0.31584297423301044</v>
      </c>
      <c r="O9" s="266">
        <f t="shared" si="0"/>
        <v>1.4532371631624038E-2</v>
      </c>
      <c r="P9" s="266">
        <f t="shared" si="0"/>
        <v>4.1646839999507227E-3</v>
      </c>
    </row>
    <row r="10" spans="1:16" x14ac:dyDescent="0.3">
      <c r="G10" s="107">
        <f t="shared" si="1"/>
        <v>4</v>
      </c>
      <c r="H10" s="445">
        <v>3.0000318979108087</v>
      </c>
      <c r="I10" s="445">
        <v>-2.4999879923530508</v>
      </c>
      <c r="J10" s="445">
        <v>6.9999992832156153</v>
      </c>
      <c r="K10" s="453">
        <f>($E$7-$C$7*I10-$D$7*J10)/$B$7</f>
        <v>3.0000003524692729</v>
      </c>
      <c r="L10" s="453">
        <f>($E$8-$B$8*K10-$D$8*J10)/$C$8</f>
        <v>-2.5000000357546064</v>
      </c>
      <c r="M10" s="458">
        <f>($E$9-$B$9*K10-$C$9*L10)/$D$9</f>
        <v>6.9999999887108304</v>
      </c>
      <c r="N10" s="266">
        <f>ABS((K10-K9)/K10)*100</f>
        <v>1.0515145943187922E-3</v>
      </c>
      <c r="O10" s="266">
        <f t="shared" si="0"/>
        <v>4.8173605533363478E-4</v>
      </c>
      <c r="P10" s="266">
        <f t="shared" si="0"/>
        <v>1.0078503089631263E-5</v>
      </c>
    </row>
    <row r="11" spans="1:16" x14ac:dyDescent="0.3">
      <c r="G11" s="460">
        <f t="shared" si="1"/>
        <v>5</v>
      </c>
      <c r="H11" s="461">
        <v>3.0000003524692729</v>
      </c>
      <c r="I11" s="461">
        <v>-2.5000000357546064</v>
      </c>
      <c r="J11" s="461">
        <v>6.9999999887108304</v>
      </c>
      <c r="K11" s="462">
        <f>($E$7-$C$7*I11-$D$7*J11)/$B$7</f>
        <v>2.9999999980555683</v>
      </c>
      <c r="L11" s="462">
        <f>($E$8-$B$8*K11-$D$8*J11)/$C$8</f>
        <v>-2.5000000004560441</v>
      </c>
      <c r="M11" s="463">
        <f>($E$9-$B$9*K11-$C$9*L11)/$D$9</f>
        <v>7.000000000049214</v>
      </c>
      <c r="N11" s="464">
        <f>ABS((K11-K10)/K11)*100</f>
        <v>1.181379016120089E-5</v>
      </c>
      <c r="O11" s="464">
        <f t="shared" si="0"/>
        <v>1.4119424915559705E-6</v>
      </c>
      <c r="P11" s="464">
        <f t="shared" si="0"/>
        <v>1.6197690807562597E-7</v>
      </c>
    </row>
  </sheetData>
  <mergeCells count="5">
    <mergeCell ref="H5:J5"/>
    <mergeCell ref="K5:M5"/>
    <mergeCell ref="N5:P5"/>
    <mergeCell ref="B6:D6"/>
    <mergeCell ref="A1:N1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12"/>
  <sheetViews>
    <sheetView workbookViewId="0">
      <selection sqref="A1:XFD1"/>
    </sheetView>
  </sheetViews>
  <sheetFormatPr baseColWidth="10" defaultRowHeight="14.4" x14ac:dyDescent="0.3"/>
  <sheetData>
    <row r="1" spans="1:14" s="61" customFormat="1" ht="28.8" x14ac:dyDescent="0.55000000000000004">
      <c r="A1" s="610" t="s">
        <v>200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4" spans="1:14" x14ac:dyDescent="0.3">
      <c r="C4" s="442"/>
      <c r="D4" s="442"/>
    </row>
    <row r="5" spans="1:14" x14ac:dyDescent="0.3">
      <c r="C5" s="442"/>
      <c r="D5" s="442"/>
    </row>
    <row r="6" spans="1:14" x14ac:dyDescent="0.3">
      <c r="B6" s="446">
        <v>1</v>
      </c>
      <c r="C6" s="447">
        <v>0.5</v>
      </c>
      <c r="D6" s="448">
        <v>0.33333333333333331</v>
      </c>
      <c r="G6" s="451">
        <v>1.8333330000000001</v>
      </c>
    </row>
    <row r="7" spans="1:14" x14ac:dyDescent="0.3">
      <c r="A7" t="s">
        <v>187</v>
      </c>
      <c r="B7" s="446">
        <v>1</v>
      </c>
      <c r="C7" s="447">
        <v>0.66666666666666663</v>
      </c>
      <c r="D7" s="448">
        <v>0.5</v>
      </c>
      <c r="F7" t="s">
        <v>188</v>
      </c>
      <c r="G7" s="451">
        <v>2.1666669999999999</v>
      </c>
    </row>
    <row r="8" spans="1:14" x14ac:dyDescent="0.3">
      <c r="B8" s="446">
        <v>1</v>
      </c>
      <c r="C8" s="447">
        <v>0.75</v>
      </c>
      <c r="D8" s="448">
        <v>0.6</v>
      </c>
      <c r="G8" s="451">
        <v>2.35</v>
      </c>
    </row>
    <row r="9" spans="1:14" x14ac:dyDescent="0.3">
      <c r="G9" s="452"/>
    </row>
    <row r="10" spans="1:14" x14ac:dyDescent="0.3">
      <c r="B10" s="446">
        <f t="array" ref="B10:D12">MINVERSE(B6:D8)</f>
        <v>9.0000000000000391</v>
      </c>
      <c r="C10" s="449">
        <v>-18.000000000000107</v>
      </c>
      <c r="D10" s="450">
        <v>10.000000000000071</v>
      </c>
      <c r="G10" s="451">
        <f t="array" ref="G10:G12">MMULT(B10:D12,G6:G8)</f>
        <v>0.99999100000001206</v>
      </c>
    </row>
    <row r="11" spans="1:14" x14ac:dyDescent="0.3">
      <c r="A11" t="s">
        <v>189</v>
      </c>
      <c r="B11" s="446">
        <v>-36.000000000000206</v>
      </c>
      <c r="C11" s="449">
        <v>96.000000000000568</v>
      </c>
      <c r="D11" s="450">
        <v>-60.000000000000369</v>
      </c>
      <c r="F11" t="s">
        <v>190</v>
      </c>
      <c r="G11" s="451">
        <v>1.0000439999999742</v>
      </c>
    </row>
    <row r="12" spans="1:14" x14ac:dyDescent="0.3">
      <c r="B12" s="446">
        <v>30.000000000000195</v>
      </c>
      <c r="C12" s="449">
        <v>-90.00000000000054</v>
      </c>
      <c r="D12" s="450">
        <v>60.000000000000348</v>
      </c>
      <c r="G12" s="451">
        <v>0.99996000000001573</v>
      </c>
    </row>
  </sheetData>
  <mergeCells count="1">
    <mergeCell ref="A1:N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25"/>
  <sheetViews>
    <sheetView topLeftCell="A4" workbookViewId="0">
      <selection activeCell="F24" sqref="F24"/>
    </sheetView>
  </sheetViews>
  <sheetFormatPr baseColWidth="10" defaultRowHeight="14.4" x14ac:dyDescent="0.3"/>
  <cols>
    <col min="3" max="3" width="19.6640625" customWidth="1"/>
    <col min="5" max="5" width="16" customWidth="1"/>
  </cols>
  <sheetData>
    <row r="1" spans="1:14" s="61" customFormat="1" ht="28.8" x14ac:dyDescent="0.55000000000000004">
      <c r="A1" s="610" t="s">
        <v>219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A3" s="511" t="s">
        <v>264</v>
      </c>
      <c r="B3" s="511" t="s">
        <v>265</v>
      </c>
      <c r="C3" s="511"/>
      <c r="D3" s="511"/>
      <c r="E3" s="511"/>
      <c r="F3" s="511"/>
    </row>
    <row r="6" spans="1:14" x14ac:dyDescent="0.3">
      <c r="B6" t="s">
        <v>229</v>
      </c>
    </row>
    <row r="7" spans="1:14" x14ac:dyDescent="0.3">
      <c r="B7" s="650" t="s">
        <v>225</v>
      </c>
      <c r="C7" s="650"/>
      <c r="D7" s="650" t="s">
        <v>226</v>
      </c>
      <c r="E7" s="650"/>
      <c r="G7" s="510" t="s">
        <v>268</v>
      </c>
      <c r="H7" s="510"/>
      <c r="I7" s="510"/>
      <c r="J7" s="510"/>
      <c r="K7" s="510"/>
    </row>
    <row r="8" spans="1:14" x14ac:dyDescent="0.3">
      <c r="B8" s="650" t="s">
        <v>227</v>
      </c>
      <c r="C8" s="650"/>
      <c r="D8" s="650" t="s">
        <v>228</v>
      </c>
      <c r="E8" s="650"/>
    </row>
    <row r="9" spans="1:14" x14ac:dyDescent="0.3">
      <c r="B9" s="649"/>
      <c r="C9" s="649"/>
      <c r="D9" s="649"/>
      <c r="E9" s="649"/>
    </row>
    <row r="10" spans="1:14" x14ac:dyDescent="0.3">
      <c r="B10" s="649" t="s">
        <v>266</v>
      </c>
      <c r="C10" s="649"/>
      <c r="D10" s="649"/>
      <c r="E10" s="649"/>
    </row>
    <row r="11" spans="1:14" x14ac:dyDescent="0.3">
      <c r="B11" s="649" t="s">
        <v>267</v>
      </c>
      <c r="C11" s="649"/>
      <c r="D11" s="649"/>
      <c r="E11" s="649"/>
    </row>
    <row r="15" spans="1:14" x14ac:dyDescent="0.3">
      <c r="F15" s="512">
        <v>6</v>
      </c>
      <c r="G15" s="513">
        <v>0</v>
      </c>
      <c r="H15" s="513">
        <v>-1</v>
      </c>
      <c r="I15" s="513">
        <v>0</v>
      </c>
      <c r="J15" s="514">
        <v>0</v>
      </c>
      <c r="M15" s="515">
        <v>50</v>
      </c>
    </row>
    <row r="16" spans="1:14" x14ac:dyDescent="0.3">
      <c r="F16" s="512">
        <v>-3</v>
      </c>
      <c r="G16" s="513">
        <v>3</v>
      </c>
      <c r="H16" s="513">
        <v>0</v>
      </c>
      <c r="I16" s="513">
        <v>0</v>
      </c>
      <c r="J16" s="514">
        <v>0</v>
      </c>
      <c r="M16" s="515">
        <v>0</v>
      </c>
    </row>
    <row r="17" spans="5:13" x14ac:dyDescent="0.3">
      <c r="E17" s="478" t="s">
        <v>210</v>
      </c>
      <c r="F17" s="512">
        <v>0</v>
      </c>
      <c r="G17" s="513">
        <v>-1</v>
      </c>
      <c r="H17" s="513">
        <v>9</v>
      </c>
      <c r="I17" s="513">
        <v>0</v>
      </c>
      <c r="J17" s="514">
        <v>0</v>
      </c>
      <c r="L17" s="478" t="s">
        <v>211</v>
      </c>
      <c r="M17" s="515">
        <v>160</v>
      </c>
    </row>
    <row r="18" spans="5:13" x14ac:dyDescent="0.3">
      <c r="F18" s="512">
        <v>0</v>
      </c>
      <c r="G18" s="513">
        <v>-1</v>
      </c>
      <c r="H18" s="513">
        <v>-8</v>
      </c>
      <c r="I18" s="513">
        <v>11</v>
      </c>
      <c r="J18" s="514">
        <v>-2</v>
      </c>
      <c r="M18" s="515">
        <v>0</v>
      </c>
    </row>
    <row r="19" spans="5:13" x14ac:dyDescent="0.3">
      <c r="F19" s="512">
        <v>-3</v>
      </c>
      <c r="G19" s="513">
        <v>-2</v>
      </c>
      <c r="H19" s="513">
        <v>0</v>
      </c>
      <c r="I19" s="513">
        <v>0</v>
      </c>
      <c r="J19" s="514">
        <v>4</v>
      </c>
      <c r="M19" s="515">
        <v>0</v>
      </c>
    </row>
    <row r="21" spans="5:13" x14ac:dyDescent="0.3">
      <c r="F21" s="512">
        <f t="array" ref="F21:J25">MINVERSE(F15:J19)</f>
        <v>0.16981132075471697</v>
      </c>
      <c r="G21" s="513">
        <v>6.2893081761006284E-3</v>
      </c>
      <c r="H21" s="513">
        <v>1.8867924528301886E-2</v>
      </c>
      <c r="I21" s="513">
        <v>0</v>
      </c>
      <c r="J21" s="514">
        <v>0</v>
      </c>
      <c r="M21" s="519">
        <v>11.51</v>
      </c>
    </row>
    <row r="22" spans="5:13" x14ac:dyDescent="0.3">
      <c r="F22" s="512">
        <v>0.16981132075471697</v>
      </c>
      <c r="G22" s="513">
        <v>0.33962264150943394</v>
      </c>
      <c r="H22" s="513">
        <v>1.8867924528301886E-2</v>
      </c>
      <c r="I22" s="513">
        <v>0</v>
      </c>
      <c r="J22" s="514">
        <v>0</v>
      </c>
      <c r="M22" s="519">
        <v>11.51</v>
      </c>
    </row>
    <row r="23" spans="5:13" x14ac:dyDescent="0.3">
      <c r="E23" s="478" t="s">
        <v>298</v>
      </c>
      <c r="F23" s="512">
        <v>1.8867924528301886E-2</v>
      </c>
      <c r="G23" s="513">
        <v>3.7735849056603772E-2</v>
      </c>
      <c r="H23" s="513">
        <v>0.11320754716981131</v>
      </c>
      <c r="I23" s="513">
        <v>0</v>
      </c>
      <c r="J23" s="514">
        <v>0</v>
      </c>
      <c r="L23" s="478" t="s">
        <v>299</v>
      </c>
      <c r="M23" s="519">
        <v>19.059999999999999</v>
      </c>
    </row>
    <row r="24" spans="5:13" x14ac:dyDescent="0.3">
      <c r="F24" s="512">
        <v>6.7753001715265868E-2</v>
      </c>
      <c r="G24" s="513">
        <v>9.0051457975986265E-2</v>
      </c>
      <c r="H24" s="513">
        <v>8.8336192109777001E-2</v>
      </c>
      <c r="I24" s="513">
        <v>9.0909090909090912E-2</v>
      </c>
      <c r="J24" s="514">
        <v>4.5454545454545456E-2</v>
      </c>
      <c r="M24" s="519">
        <v>17</v>
      </c>
    </row>
    <row r="25" spans="5:13" x14ac:dyDescent="0.3">
      <c r="F25" s="512">
        <v>0.21226415094339621</v>
      </c>
      <c r="G25" s="513">
        <v>0.17452830188679244</v>
      </c>
      <c r="H25" s="513">
        <v>2.3584905660377353E-2</v>
      </c>
      <c r="I25" s="513">
        <v>0</v>
      </c>
      <c r="J25" s="514">
        <v>0.25</v>
      </c>
      <c r="M25" s="519">
        <v>11.51</v>
      </c>
    </row>
  </sheetData>
  <mergeCells count="8">
    <mergeCell ref="B9:E9"/>
    <mergeCell ref="B10:E10"/>
    <mergeCell ref="B11:E11"/>
    <mergeCell ref="A1:N1"/>
    <mergeCell ref="B7:C7"/>
    <mergeCell ref="D7:E7"/>
    <mergeCell ref="B8:C8"/>
    <mergeCell ref="D8:E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23"/>
  <sheetViews>
    <sheetView workbookViewId="0">
      <selection activeCell="B20" sqref="B20:E20"/>
    </sheetView>
  </sheetViews>
  <sheetFormatPr baseColWidth="10" defaultRowHeight="14.4" x14ac:dyDescent="0.3"/>
  <cols>
    <col min="3" max="3" width="25.44140625" customWidth="1"/>
    <col min="5" max="5" width="19.88671875" customWidth="1"/>
  </cols>
  <sheetData>
    <row r="1" spans="1:14" s="61" customFormat="1" ht="28.8" x14ac:dyDescent="0.55000000000000004">
      <c r="A1" s="610" t="s">
        <v>219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A3" s="517" t="s">
        <v>250</v>
      </c>
      <c r="B3" s="518" t="s">
        <v>251</v>
      </c>
      <c r="C3" s="518"/>
      <c r="D3" s="518"/>
      <c r="E3" s="518" t="s">
        <v>252</v>
      </c>
      <c r="F3" s="518"/>
    </row>
    <row r="4" spans="1:14" x14ac:dyDescent="0.3">
      <c r="A4" s="518"/>
      <c r="B4" s="518" t="s">
        <v>253</v>
      </c>
      <c r="C4" s="518"/>
      <c r="D4" s="518"/>
      <c r="E4" s="518"/>
      <c r="F4" s="518"/>
    </row>
    <row r="7" spans="1:14" x14ac:dyDescent="0.3">
      <c r="B7" s="649" t="s">
        <v>225</v>
      </c>
      <c r="C7" s="649"/>
      <c r="D7" s="649" t="s">
        <v>226</v>
      </c>
      <c r="E7" s="649"/>
      <c r="G7" s="512">
        <v>7</v>
      </c>
      <c r="H7" s="513">
        <v>0</v>
      </c>
      <c r="I7" s="513">
        <v>-1</v>
      </c>
      <c r="J7" s="513">
        <v>0</v>
      </c>
      <c r="K7" s="514">
        <v>0</v>
      </c>
      <c r="M7" s="515">
        <v>240</v>
      </c>
    </row>
    <row r="8" spans="1:14" x14ac:dyDescent="0.3">
      <c r="B8" s="653" t="s">
        <v>227</v>
      </c>
      <c r="C8" s="653"/>
      <c r="D8" s="653" t="s">
        <v>228</v>
      </c>
      <c r="E8" s="653"/>
      <c r="G8" s="512">
        <v>-4</v>
      </c>
      <c r="H8" s="513">
        <v>4</v>
      </c>
      <c r="I8" s="513">
        <v>0</v>
      </c>
      <c r="J8" s="513">
        <v>0</v>
      </c>
      <c r="K8" s="514">
        <v>0</v>
      </c>
      <c r="M8" s="515">
        <v>0</v>
      </c>
    </row>
    <row r="9" spans="1:14" x14ac:dyDescent="0.3">
      <c r="A9" s="516" t="s">
        <v>229</v>
      </c>
      <c r="B9" s="651" t="s">
        <v>230</v>
      </c>
      <c r="C9" s="651"/>
      <c r="D9" s="651"/>
      <c r="E9" s="651"/>
      <c r="F9" s="478" t="s">
        <v>210</v>
      </c>
      <c r="G9" s="512">
        <v>0</v>
      </c>
      <c r="H9" s="513">
        <v>-1</v>
      </c>
      <c r="I9" s="513">
        <v>9</v>
      </c>
      <c r="J9" s="513">
        <v>0</v>
      </c>
      <c r="K9" s="514">
        <v>0</v>
      </c>
      <c r="L9" s="478" t="s">
        <v>211</v>
      </c>
      <c r="M9" s="515">
        <v>80</v>
      </c>
    </row>
    <row r="10" spans="1:14" x14ac:dyDescent="0.3">
      <c r="A10" s="1"/>
      <c r="B10" s="651" t="s">
        <v>254</v>
      </c>
      <c r="C10" s="651"/>
      <c r="D10" s="651"/>
      <c r="E10" s="651"/>
      <c r="G10" s="512">
        <v>0</v>
      </c>
      <c r="H10" s="513">
        <v>-2</v>
      </c>
      <c r="I10" s="513">
        <v>-8</v>
      </c>
      <c r="J10" s="513">
        <v>12</v>
      </c>
      <c r="K10" s="514">
        <v>-2</v>
      </c>
      <c r="M10" s="515">
        <v>0</v>
      </c>
    </row>
    <row r="11" spans="1:14" x14ac:dyDescent="0.3">
      <c r="A11" s="1"/>
      <c r="B11" s="652" t="s">
        <v>255</v>
      </c>
      <c r="C11" s="652"/>
      <c r="D11" s="652"/>
      <c r="E11" s="652"/>
      <c r="G11" s="512">
        <v>-3</v>
      </c>
      <c r="H11" s="513">
        <v>-1</v>
      </c>
      <c r="I11" s="513">
        <v>0</v>
      </c>
      <c r="J11" s="513">
        <v>0</v>
      </c>
      <c r="K11" s="514">
        <v>4</v>
      </c>
      <c r="M11" s="515">
        <v>0</v>
      </c>
    </row>
    <row r="12" spans="1:14" x14ac:dyDescent="0.3">
      <c r="A12" s="516" t="s">
        <v>233</v>
      </c>
      <c r="B12" s="651" t="s">
        <v>234</v>
      </c>
      <c r="C12" s="651"/>
      <c r="D12" s="651"/>
      <c r="E12" s="651"/>
    </row>
    <row r="13" spans="1:14" x14ac:dyDescent="0.3">
      <c r="A13" s="1" t="s">
        <v>235</v>
      </c>
      <c r="B13" s="651" t="s">
        <v>256</v>
      </c>
      <c r="C13" s="651"/>
      <c r="D13" s="651"/>
      <c r="E13" s="651"/>
      <c r="G13" s="512">
        <v>7</v>
      </c>
      <c r="H13" s="513">
        <v>0</v>
      </c>
      <c r="I13" s="513">
        <v>-1</v>
      </c>
      <c r="J13" s="513">
        <v>0</v>
      </c>
      <c r="K13" s="514">
        <v>0</v>
      </c>
    </row>
    <row r="14" spans="1:14" x14ac:dyDescent="0.3">
      <c r="A14" s="1"/>
      <c r="B14" s="652" t="s">
        <v>257</v>
      </c>
      <c r="C14" s="652"/>
      <c r="D14" s="652"/>
      <c r="E14" s="652"/>
      <c r="G14" s="512">
        <v>-4</v>
      </c>
      <c r="H14" s="513">
        <v>4</v>
      </c>
      <c r="I14" s="513">
        <v>0</v>
      </c>
      <c r="J14" s="513">
        <v>0</v>
      </c>
      <c r="K14" s="514">
        <v>0</v>
      </c>
    </row>
    <row r="15" spans="1:14" x14ac:dyDescent="0.3">
      <c r="A15" s="516" t="s">
        <v>238</v>
      </c>
      <c r="B15" s="651" t="s">
        <v>239</v>
      </c>
      <c r="C15" s="651"/>
      <c r="D15" s="651"/>
      <c r="E15" s="651"/>
      <c r="F15" s="478" t="s">
        <v>298</v>
      </c>
      <c r="G15" s="512">
        <v>0</v>
      </c>
      <c r="H15" s="513">
        <v>-1</v>
      </c>
      <c r="I15" s="513">
        <v>9</v>
      </c>
      <c r="J15" s="513">
        <v>0</v>
      </c>
      <c r="K15" s="514">
        <v>0</v>
      </c>
    </row>
    <row r="16" spans="1:14" x14ac:dyDescent="0.3">
      <c r="A16" s="1"/>
      <c r="B16" s="651" t="s">
        <v>258</v>
      </c>
      <c r="C16" s="651"/>
      <c r="D16" s="651"/>
      <c r="E16" s="651"/>
      <c r="G16" s="512">
        <v>0</v>
      </c>
      <c r="H16" s="513">
        <v>-2</v>
      </c>
      <c r="I16" s="513">
        <v>-8</v>
      </c>
      <c r="J16" s="513">
        <v>12</v>
      </c>
      <c r="K16" s="514">
        <v>-2</v>
      </c>
    </row>
    <row r="17" spans="1:11" x14ac:dyDescent="0.3">
      <c r="A17" s="1"/>
      <c r="B17" s="652" t="s">
        <v>259</v>
      </c>
      <c r="C17" s="652"/>
      <c r="D17" s="652"/>
      <c r="E17" s="652"/>
      <c r="G17" s="512">
        <v>-3</v>
      </c>
      <c r="H17" s="513">
        <v>-1</v>
      </c>
      <c r="I17" s="513">
        <v>0</v>
      </c>
      <c r="J17" s="513">
        <v>0</v>
      </c>
      <c r="K17" s="514">
        <v>4</v>
      </c>
    </row>
    <row r="18" spans="1:11" x14ac:dyDescent="0.3">
      <c r="A18" s="516" t="s">
        <v>242</v>
      </c>
      <c r="B18" s="651" t="s">
        <v>243</v>
      </c>
      <c r="C18" s="651"/>
      <c r="D18" s="651"/>
      <c r="E18" s="651"/>
    </row>
    <row r="19" spans="1:11" x14ac:dyDescent="0.3">
      <c r="A19" s="1"/>
      <c r="B19" s="651" t="s">
        <v>260</v>
      </c>
      <c r="C19" s="651"/>
      <c r="D19" s="651"/>
      <c r="E19" s="651"/>
    </row>
    <row r="20" spans="1:11" x14ac:dyDescent="0.3">
      <c r="A20" s="1"/>
      <c r="B20" s="652" t="s">
        <v>261</v>
      </c>
      <c r="C20" s="652"/>
      <c r="D20" s="652"/>
      <c r="E20" s="652"/>
    </row>
    <row r="21" spans="1:11" x14ac:dyDescent="0.3">
      <c r="A21" s="516" t="s">
        <v>246</v>
      </c>
      <c r="B21" s="651" t="s">
        <v>247</v>
      </c>
      <c r="C21" s="651"/>
      <c r="D21" s="651"/>
      <c r="E21" s="651"/>
    </row>
    <row r="22" spans="1:11" x14ac:dyDescent="0.3">
      <c r="A22" s="1"/>
      <c r="B22" s="651" t="s">
        <v>262</v>
      </c>
      <c r="C22" s="651"/>
      <c r="D22" s="651"/>
      <c r="E22" s="651"/>
    </row>
    <row r="23" spans="1:11" x14ac:dyDescent="0.3">
      <c r="A23" s="1"/>
      <c r="B23" s="652" t="s">
        <v>263</v>
      </c>
      <c r="C23" s="652"/>
      <c r="D23" s="652"/>
      <c r="E23" s="652"/>
    </row>
  </sheetData>
  <mergeCells count="20">
    <mergeCell ref="B15:E15"/>
    <mergeCell ref="A1:N1"/>
    <mergeCell ref="B7:C7"/>
    <mergeCell ref="D7:E7"/>
    <mergeCell ref="B8:C8"/>
    <mergeCell ref="D8:E8"/>
    <mergeCell ref="B9:E9"/>
    <mergeCell ref="B10:E10"/>
    <mergeCell ref="B11:E11"/>
    <mergeCell ref="B12:E12"/>
    <mergeCell ref="B13:E13"/>
    <mergeCell ref="B14:E14"/>
    <mergeCell ref="B22:E22"/>
    <mergeCell ref="B23:E23"/>
    <mergeCell ref="B16:E16"/>
    <mergeCell ref="B17:E17"/>
    <mergeCell ref="B18:E18"/>
    <mergeCell ref="B19:E19"/>
    <mergeCell ref="B20:E20"/>
    <mergeCell ref="B21:E2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23"/>
  <sheetViews>
    <sheetView workbookViewId="0">
      <selection activeCell="K15" sqref="K15"/>
    </sheetView>
  </sheetViews>
  <sheetFormatPr baseColWidth="10" defaultRowHeight="14.4" x14ac:dyDescent="0.3"/>
  <cols>
    <col min="3" max="3" width="22.109375" customWidth="1"/>
    <col min="5" max="5" width="18.44140625" customWidth="1"/>
  </cols>
  <sheetData>
    <row r="1" spans="1:14" s="61" customFormat="1" ht="28.8" x14ac:dyDescent="0.55000000000000004">
      <c r="A1" s="610" t="s">
        <v>219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A3" s="517" t="s">
        <v>220</v>
      </c>
      <c r="B3" s="518" t="s">
        <v>221</v>
      </c>
      <c r="C3" s="518"/>
      <c r="D3" s="518"/>
      <c r="E3" s="518" t="s">
        <v>222</v>
      </c>
      <c r="F3" s="518"/>
      <c r="G3" s="518"/>
      <c r="H3" s="518"/>
      <c r="I3" s="518"/>
      <c r="J3" s="518"/>
      <c r="K3" s="518"/>
      <c r="L3" s="518"/>
    </row>
    <row r="4" spans="1:14" x14ac:dyDescent="0.3">
      <c r="A4" s="518"/>
      <c r="B4" s="518" t="s">
        <v>223</v>
      </c>
      <c r="C4" s="518"/>
      <c r="D4" s="518"/>
      <c r="E4" s="518"/>
      <c r="F4" s="518"/>
      <c r="G4" s="518"/>
      <c r="H4" s="518"/>
      <c r="I4" s="518"/>
      <c r="J4" s="518"/>
      <c r="K4" s="518"/>
      <c r="L4" s="518"/>
    </row>
    <row r="5" spans="1:14" x14ac:dyDescent="0.3">
      <c r="A5" s="518"/>
      <c r="B5" s="518" t="s">
        <v>224</v>
      </c>
      <c r="C5" s="518"/>
      <c r="D5" s="518"/>
      <c r="E5" s="518"/>
      <c r="F5" s="518"/>
      <c r="G5" s="518"/>
      <c r="H5" s="518"/>
      <c r="I5" s="518"/>
      <c r="J5" s="518"/>
      <c r="K5" s="518"/>
      <c r="L5" s="518"/>
    </row>
    <row r="7" spans="1:14" x14ac:dyDescent="0.3">
      <c r="B7" s="649" t="s">
        <v>225</v>
      </c>
      <c r="C7" s="649"/>
      <c r="D7" s="649" t="s">
        <v>226</v>
      </c>
      <c r="E7" s="649"/>
      <c r="G7" s="512">
        <v>8</v>
      </c>
      <c r="H7" s="513">
        <v>0</v>
      </c>
      <c r="I7" s="513">
        <v>-3</v>
      </c>
      <c r="J7" s="513">
        <v>0</v>
      </c>
      <c r="K7" s="514">
        <v>0</v>
      </c>
      <c r="M7" s="515">
        <v>50</v>
      </c>
    </row>
    <row r="8" spans="1:14" x14ac:dyDescent="0.3">
      <c r="B8" s="655" t="s">
        <v>227</v>
      </c>
      <c r="C8" s="655"/>
      <c r="D8" s="655" t="s">
        <v>228</v>
      </c>
      <c r="E8" s="655"/>
      <c r="G8" s="512">
        <v>-4</v>
      </c>
      <c r="H8" s="513">
        <v>4</v>
      </c>
      <c r="I8" s="513">
        <v>0</v>
      </c>
      <c r="J8" s="513">
        <v>0</v>
      </c>
      <c r="K8" s="514">
        <v>0</v>
      </c>
      <c r="M8" s="515">
        <v>0</v>
      </c>
    </row>
    <row r="9" spans="1:14" x14ac:dyDescent="0.3">
      <c r="A9" s="455" t="s">
        <v>229</v>
      </c>
      <c r="B9" s="654" t="s">
        <v>230</v>
      </c>
      <c r="C9" s="654"/>
      <c r="D9" s="654"/>
      <c r="E9" s="654"/>
      <c r="F9" s="478" t="s">
        <v>210</v>
      </c>
      <c r="G9" s="512">
        <v>0</v>
      </c>
      <c r="H9" s="513">
        <v>-2</v>
      </c>
      <c r="I9" s="513">
        <v>10</v>
      </c>
      <c r="J9" s="513">
        <v>0</v>
      </c>
      <c r="K9" s="514">
        <v>0</v>
      </c>
      <c r="L9" s="478" t="s">
        <v>211</v>
      </c>
      <c r="M9" s="515">
        <v>160</v>
      </c>
    </row>
    <row r="10" spans="1:14" x14ac:dyDescent="0.3">
      <c r="A10" s="1"/>
      <c r="B10" s="654" t="s">
        <v>231</v>
      </c>
      <c r="C10" s="654"/>
      <c r="D10" s="654"/>
      <c r="E10" s="654"/>
      <c r="G10" s="512">
        <v>0</v>
      </c>
      <c r="H10" s="513">
        <v>0</v>
      </c>
      <c r="I10" s="513">
        <v>-7</v>
      </c>
      <c r="J10" s="513">
        <v>10</v>
      </c>
      <c r="K10" s="514">
        <v>-3</v>
      </c>
      <c r="M10" s="515">
        <v>0</v>
      </c>
    </row>
    <row r="11" spans="1:14" x14ac:dyDescent="0.3">
      <c r="A11" s="1"/>
      <c r="B11" s="652" t="s">
        <v>232</v>
      </c>
      <c r="C11" s="652"/>
      <c r="D11" s="652"/>
      <c r="E11" s="652"/>
      <c r="G11" s="512">
        <v>-4</v>
      </c>
      <c r="H11" s="513">
        <v>-2</v>
      </c>
      <c r="I11" s="513">
        <v>0</v>
      </c>
      <c r="J11" s="513">
        <v>0</v>
      </c>
      <c r="K11" s="514">
        <v>6</v>
      </c>
      <c r="M11" s="515">
        <v>0</v>
      </c>
    </row>
    <row r="12" spans="1:14" x14ac:dyDescent="0.3">
      <c r="A12" s="455" t="s">
        <v>233</v>
      </c>
      <c r="B12" s="654" t="s">
        <v>234</v>
      </c>
      <c r="C12" s="654"/>
      <c r="D12" s="654"/>
      <c r="E12" s="654"/>
    </row>
    <row r="13" spans="1:14" x14ac:dyDescent="0.3">
      <c r="A13" s="1" t="s">
        <v>235</v>
      </c>
      <c r="B13" s="654" t="s">
        <v>236</v>
      </c>
      <c r="C13" s="654"/>
      <c r="D13" s="654"/>
      <c r="E13" s="654"/>
      <c r="G13" s="512">
        <f>MINVERSE(G7:K11)</f>
        <v>0.13513513513513514</v>
      </c>
      <c r="H13" s="513">
        <v>0</v>
      </c>
      <c r="I13" s="513">
        <v>-3</v>
      </c>
      <c r="J13" s="513">
        <v>0</v>
      </c>
      <c r="K13" s="514">
        <v>0</v>
      </c>
    </row>
    <row r="14" spans="1:14" x14ac:dyDescent="0.3">
      <c r="A14" s="1"/>
      <c r="B14" s="652" t="s">
        <v>237</v>
      </c>
      <c r="C14" s="652"/>
      <c r="D14" s="652"/>
      <c r="E14" s="652"/>
      <c r="G14" s="512">
        <v>-4</v>
      </c>
      <c r="H14" s="513">
        <v>4</v>
      </c>
      <c r="I14" s="513">
        <v>0</v>
      </c>
      <c r="J14" s="513">
        <v>0</v>
      </c>
      <c r="K14" s="514">
        <v>0</v>
      </c>
    </row>
    <row r="15" spans="1:14" x14ac:dyDescent="0.3">
      <c r="A15" s="455" t="s">
        <v>238</v>
      </c>
      <c r="B15" s="654" t="s">
        <v>239</v>
      </c>
      <c r="C15" s="654"/>
      <c r="D15" s="654"/>
      <c r="E15" s="654"/>
      <c r="F15" s="478" t="s">
        <v>298</v>
      </c>
      <c r="G15" s="512">
        <v>0</v>
      </c>
      <c r="H15" s="513">
        <v>-2</v>
      </c>
      <c r="I15" s="513">
        <v>10</v>
      </c>
      <c r="J15" s="513">
        <v>0</v>
      </c>
      <c r="K15" s="514">
        <v>0</v>
      </c>
    </row>
    <row r="16" spans="1:14" x14ac:dyDescent="0.3">
      <c r="A16" s="1"/>
      <c r="B16" s="654" t="s">
        <v>240</v>
      </c>
      <c r="C16" s="654"/>
      <c r="D16" s="654"/>
      <c r="E16" s="654"/>
      <c r="G16" s="512">
        <v>0</v>
      </c>
      <c r="H16" s="513">
        <v>0</v>
      </c>
      <c r="I16" s="513">
        <v>-7</v>
      </c>
      <c r="J16" s="513">
        <v>10</v>
      </c>
      <c r="K16" s="514">
        <v>-3</v>
      </c>
    </row>
    <row r="17" spans="1:11" x14ac:dyDescent="0.3">
      <c r="A17" s="1"/>
      <c r="B17" s="652" t="s">
        <v>241</v>
      </c>
      <c r="C17" s="652"/>
      <c r="D17" s="652"/>
      <c r="E17" s="652"/>
      <c r="G17" s="512">
        <v>-4</v>
      </c>
      <c r="H17" s="513">
        <v>-2</v>
      </c>
      <c r="I17" s="513">
        <v>0</v>
      </c>
      <c r="J17" s="513">
        <v>0</v>
      </c>
      <c r="K17" s="514">
        <v>6</v>
      </c>
    </row>
    <row r="18" spans="1:11" x14ac:dyDescent="0.3">
      <c r="A18" s="455" t="s">
        <v>242</v>
      </c>
      <c r="B18" s="654" t="s">
        <v>243</v>
      </c>
      <c r="C18" s="654"/>
      <c r="D18" s="654"/>
      <c r="E18" s="654"/>
    </row>
    <row r="19" spans="1:11" x14ac:dyDescent="0.3">
      <c r="A19" s="1"/>
      <c r="B19" s="654" t="s">
        <v>244</v>
      </c>
      <c r="C19" s="654"/>
      <c r="D19" s="654"/>
      <c r="E19" s="654"/>
    </row>
    <row r="20" spans="1:11" x14ac:dyDescent="0.3">
      <c r="A20" s="1"/>
      <c r="B20" s="652" t="s">
        <v>245</v>
      </c>
      <c r="C20" s="652"/>
      <c r="D20" s="652"/>
      <c r="E20" s="652"/>
    </row>
    <row r="21" spans="1:11" x14ac:dyDescent="0.3">
      <c r="A21" s="455" t="s">
        <v>246</v>
      </c>
      <c r="B21" s="654" t="s">
        <v>247</v>
      </c>
      <c r="C21" s="654"/>
      <c r="D21" s="654"/>
      <c r="E21" s="654"/>
    </row>
    <row r="22" spans="1:11" x14ac:dyDescent="0.3">
      <c r="A22" s="1"/>
      <c r="B22" s="654" t="s">
        <v>248</v>
      </c>
      <c r="C22" s="654"/>
      <c r="D22" s="654"/>
      <c r="E22" s="654"/>
    </row>
    <row r="23" spans="1:11" x14ac:dyDescent="0.3">
      <c r="A23" s="1"/>
      <c r="B23" s="652" t="s">
        <v>249</v>
      </c>
      <c r="C23" s="652"/>
      <c r="D23" s="652"/>
      <c r="E23" s="652"/>
    </row>
  </sheetData>
  <mergeCells count="20">
    <mergeCell ref="B15:E15"/>
    <mergeCell ref="A1:N1"/>
    <mergeCell ref="B7:C7"/>
    <mergeCell ref="D7:E7"/>
    <mergeCell ref="B8:C8"/>
    <mergeCell ref="D8:E8"/>
    <mergeCell ref="B9:E9"/>
    <mergeCell ref="B10:E10"/>
    <mergeCell ref="B11:E11"/>
    <mergeCell ref="B12:E12"/>
    <mergeCell ref="B13:E13"/>
    <mergeCell ref="B14:E14"/>
    <mergeCell ref="B22:E22"/>
    <mergeCell ref="B23:E23"/>
    <mergeCell ref="B16:E16"/>
    <mergeCell ref="B17:E17"/>
    <mergeCell ref="B18:E18"/>
    <mergeCell ref="B19:E19"/>
    <mergeCell ref="B20:E20"/>
    <mergeCell ref="B21:E2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R27"/>
  <sheetViews>
    <sheetView workbookViewId="0">
      <selection activeCell="I11" sqref="I11"/>
    </sheetView>
  </sheetViews>
  <sheetFormatPr baseColWidth="10" defaultRowHeight="14.4" x14ac:dyDescent="0.3"/>
  <cols>
    <col min="11" max="11" width="13.88671875" customWidth="1"/>
  </cols>
  <sheetData>
    <row r="1" spans="1:14" s="61" customFormat="1" ht="28.8" x14ac:dyDescent="0.55000000000000004">
      <c r="A1" s="610" t="s">
        <v>219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A3" s="96" t="s">
        <v>201</v>
      </c>
      <c r="B3" s="476" t="s">
        <v>202</v>
      </c>
      <c r="C3" s="476"/>
      <c r="D3" s="476"/>
      <c r="E3" s="476"/>
      <c r="G3" s="476" t="s">
        <v>203</v>
      </c>
      <c r="H3" s="476"/>
      <c r="I3" s="476"/>
      <c r="J3" s="476"/>
      <c r="K3" s="476"/>
    </row>
    <row r="4" spans="1:14" x14ac:dyDescent="0.3">
      <c r="B4" s="476" t="s">
        <v>204</v>
      </c>
      <c r="C4" s="476"/>
      <c r="D4" s="476"/>
      <c r="E4" s="476"/>
      <c r="F4" s="476"/>
      <c r="G4" s="476"/>
      <c r="H4" s="476"/>
      <c r="I4" s="476"/>
      <c r="J4" s="476"/>
      <c r="K4" s="476"/>
    </row>
    <row r="5" spans="1:14" x14ac:dyDescent="0.3">
      <c r="B5" s="476" t="s">
        <v>205</v>
      </c>
      <c r="C5" s="476"/>
      <c r="D5" s="476"/>
      <c r="E5" s="476"/>
      <c r="F5" s="476"/>
      <c r="G5" s="476"/>
      <c r="H5" s="476"/>
      <c r="I5" s="476"/>
      <c r="J5" s="476"/>
      <c r="K5" s="476"/>
    </row>
    <row r="6" spans="1:14" x14ac:dyDescent="0.3">
      <c r="B6" s="476"/>
      <c r="C6" s="476"/>
      <c r="D6" s="476"/>
      <c r="E6" s="476"/>
      <c r="F6" s="476"/>
      <c r="G6" s="476"/>
      <c r="H6" s="476"/>
      <c r="I6" s="476"/>
      <c r="J6" s="476"/>
      <c r="K6" s="476"/>
    </row>
    <row r="7" spans="1:14" x14ac:dyDescent="0.3">
      <c r="B7" s="476" t="s">
        <v>206</v>
      </c>
      <c r="C7" s="476"/>
      <c r="D7" s="476"/>
      <c r="E7" s="476"/>
      <c r="F7" s="476"/>
      <c r="G7" s="476"/>
      <c r="H7" s="476"/>
      <c r="I7" s="476"/>
      <c r="J7" s="476"/>
      <c r="K7" s="476"/>
    </row>
    <row r="8" spans="1:14" x14ac:dyDescent="0.3">
      <c r="B8" s="476" t="s">
        <v>207</v>
      </c>
      <c r="C8" s="476"/>
      <c r="D8" s="476"/>
      <c r="E8" s="476"/>
      <c r="F8" s="476"/>
      <c r="G8" s="476"/>
      <c r="H8" s="476"/>
      <c r="I8" s="476"/>
      <c r="J8" s="476"/>
      <c r="K8" s="476"/>
    </row>
    <row r="9" spans="1:14" x14ac:dyDescent="0.3">
      <c r="B9" s="476"/>
      <c r="C9" s="476"/>
      <c r="D9" s="476"/>
      <c r="E9" s="476"/>
      <c r="F9" s="476"/>
      <c r="G9" s="476"/>
      <c r="H9" s="476"/>
      <c r="I9" s="476"/>
      <c r="J9" s="476"/>
      <c r="K9" s="476"/>
    </row>
    <row r="10" spans="1:14" x14ac:dyDescent="0.3">
      <c r="B10" s="476" t="s">
        <v>208</v>
      </c>
      <c r="C10" s="476"/>
      <c r="D10" s="476"/>
      <c r="E10" s="476"/>
      <c r="F10" s="476"/>
      <c r="G10" s="476"/>
      <c r="H10" s="476"/>
      <c r="I10" s="476"/>
      <c r="J10" s="476"/>
      <c r="K10" s="476"/>
    </row>
    <row r="11" spans="1:14" x14ac:dyDescent="0.3">
      <c r="B11" s="476" t="s">
        <v>209</v>
      </c>
      <c r="C11" s="476"/>
      <c r="D11" s="476"/>
      <c r="E11" s="476"/>
      <c r="F11" s="476"/>
      <c r="G11" s="476"/>
      <c r="H11" s="476"/>
      <c r="I11" s="476"/>
      <c r="J11" s="476"/>
      <c r="K11" s="476"/>
    </row>
    <row r="14" spans="1:14" x14ac:dyDescent="0.3">
      <c r="C14" s="465">
        <v>13.42</v>
      </c>
      <c r="D14" s="254">
        <v>0</v>
      </c>
      <c r="E14" s="254">
        <v>0</v>
      </c>
      <c r="F14" s="466">
        <v>0</v>
      </c>
      <c r="I14" s="472">
        <v>452.4</v>
      </c>
      <c r="J14" s="250"/>
      <c r="L14" s="469">
        <v>750.5</v>
      </c>
    </row>
    <row r="15" spans="1:14" x14ac:dyDescent="0.3">
      <c r="B15" s="656" t="s">
        <v>210</v>
      </c>
      <c r="C15" s="465">
        <v>-13.42</v>
      </c>
      <c r="D15" s="254">
        <v>12.525</v>
      </c>
      <c r="E15" s="254">
        <v>0</v>
      </c>
      <c r="F15" s="466">
        <v>0</v>
      </c>
      <c r="H15" s="656" t="s">
        <v>211</v>
      </c>
      <c r="I15" s="472">
        <v>300</v>
      </c>
      <c r="J15" s="250"/>
      <c r="K15" s="656" t="s">
        <v>212</v>
      </c>
      <c r="L15" s="469">
        <v>300</v>
      </c>
    </row>
    <row r="16" spans="1:14" x14ac:dyDescent="0.3">
      <c r="B16" s="656"/>
      <c r="C16" s="465">
        <v>0</v>
      </c>
      <c r="D16" s="254">
        <v>-12.525</v>
      </c>
      <c r="E16" s="254">
        <v>12.377000000000001</v>
      </c>
      <c r="F16" s="466">
        <v>0</v>
      </c>
      <c r="H16" s="656"/>
      <c r="I16" s="472">
        <v>102</v>
      </c>
      <c r="J16" s="250"/>
      <c r="K16" s="656"/>
      <c r="L16" s="469">
        <v>102</v>
      </c>
    </row>
    <row r="17" spans="2:18" x14ac:dyDescent="0.3">
      <c r="C17" s="465">
        <v>0</v>
      </c>
      <c r="D17" s="254">
        <v>0</v>
      </c>
      <c r="E17" s="254">
        <v>-12.377000000000001</v>
      </c>
      <c r="F17" s="466">
        <v>11.792</v>
      </c>
      <c r="I17" s="472">
        <v>30</v>
      </c>
      <c r="J17" s="250"/>
      <c r="L17" s="469">
        <v>30</v>
      </c>
    </row>
    <row r="20" spans="2:18" x14ac:dyDescent="0.3">
      <c r="C20" s="467">
        <f t="array" ref="C20:F23">MINVERSE(C14:F17)</f>
        <v>7.4515648286140088E-2</v>
      </c>
      <c r="D20" s="470">
        <v>0</v>
      </c>
      <c r="E20" s="470">
        <v>0</v>
      </c>
      <c r="F20" s="471">
        <v>0</v>
      </c>
      <c r="J20" s="469">
        <f t="array" ref="J20:J23">MMULT(C20:F23,I14:I17)</f>
        <v>33.710879284649771</v>
      </c>
      <c r="K20" t="s">
        <v>215</v>
      </c>
    </row>
    <row r="21" spans="2:18" ht="15" customHeight="1" x14ac:dyDescent="0.3">
      <c r="B21" s="657" t="s">
        <v>189</v>
      </c>
      <c r="C21" s="467">
        <v>7.9840319361277445E-2</v>
      </c>
      <c r="D21" s="42">
        <v>7.9840319361277445E-2</v>
      </c>
      <c r="E21" s="470">
        <v>0</v>
      </c>
      <c r="F21" s="471">
        <v>0</v>
      </c>
      <c r="H21" s="658" t="s">
        <v>214</v>
      </c>
      <c r="I21" s="659"/>
      <c r="J21" s="469">
        <v>60.071856287425149</v>
      </c>
      <c r="K21" t="s">
        <v>216</v>
      </c>
    </row>
    <row r="22" spans="2:18" x14ac:dyDescent="0.3">
      <c r="B22" s="657"/>
      <c r="C22" s="467">
        <v>8.0795023026581564E-2</v>
      </c>
      <c r="D22" s="42">
        <v>8.0795023026581564E-2</v>
      </c>
      <c r="E22" s="42">
        <v>8.0795023026581564E-2</v>
      </c>
      <c r="F22" s="471">
        <v>0</v>
      </c>
      <c r="H22" s="658"/>
      <c r="I22" s="659"/>
      <c r="J22" s="469">
        <v>69.031267673911287</v>
      </c>
      <c r="K22" t="s">
        <v>217</v>
      </c>
    </row>
    <row r="23" spans="2:18" x14ac:dyDescent="0.3">
      <c r="C23" s="467">
        <v>8.4803256445047492E-2</v>
      </c>
      <c r="D23" s="42">
        <v>8.4803256445047492E-2</v>
      </c>
      <c r="E23" s="42">
        <v>8.4803256445047492E-2</v>
      </c>
      <c r="F23" s="468">
        <v>8.4803256445047492E-2</v>
      </c>
      <c r="J23" s="469">
        <v>75</v>
      </c>
      <c r="K23" t="s">
        <v>218</v>
      </c>
    </row>
    <row r="24" spans="2:18" ht="15" thickBot="1" x14ac:dyDescent="0.35"/>
    <row r="25" spans="2:18" ht="15.6" thickTop="1" thickBot="1" x14ac:dyDescent="0.35">
      <c r="F25" s="474" t="s">
        <v>213</v>
      </c>
      <c r="G25" s="473">
        <f>L14-I14</f>
        <v>298.10000000000002</v>
      </c>
    </row>
    <row r="26" spans="2:18" ht="15" thickTop="1" x14ac:dyDescent="0.3"/>
    <row r="27" spans="2:18" x14ac:dyDescent="0.3">
      <c r="R27" s="475">
        <v>600</v>
      </c>
    </row>
  </sheetData>
  <mergeCells count="6">
    <mergeCell ref="A1:N1"/>
    <mergeCell ref="B15:B16"/>
    <mergeCell ref="B21:B22"/>
    <mergeCell ref="H21:I22"/>
    <mergeCell ref="K15:K16"/>
    <mergeCell ref="H15:H16"/>
  </mergeCells>
  <conditionalFormatting sqref="C14:F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0:F23">
    <cfRule type="cellIs" dxfId="0" priority="3" operator="greaterThan">
      <formula>0.042401628</formula>
    </cfRule>
  </conditionalFormatting>
  <conditionalFormatting sqref="J20:J2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7 G25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27"/>
  <sheetViews>
    <sheetView workbookViewId="0">
      <selection activeCell="F24" sqref="F24"/>
    </sheetView>
  </sheetViews>
  <sheetFormatPr baseColWidth="10" defaultRowHeight="14.4" x14ac:dyDescent="0.3"/>
  <cols>
    <col min="1" max="1" width="13.5546875" customWidth="1"/>
  </cols>
  <sheetData>
    <row r="1" spans="1:16" s="61" customFormat="1" ht="28.8" x14ac:dyDescent="0.55000000000000004">
      <c r="A1" s="610" t="s">
        <v>219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6" x14ac:dyDescent="0.3">
      <c r="A2" s="661" t="s">
        <v>300</v>
      </c>
      <c r="B2" s="661"/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</row>
    <row r="3" spans="1:16" x14ac:dyDescent="0.3">
      <c r="A3" s="661"/>
      <c r="B3" s="661"/>
      <c r="C3" s="661"/>
      <c r="D3" s="661"/>
      <c r="E3" s="661"/>
      <c r="F3" s="661"/>
      <c r="G3" s="661"/>
      <c r="H3" s="661"/>
      <c r="I3" s="661"/>
      <c r="J3" s="661"/>
      <c r="K3" s="661"/>
      <c r="L3" s="661"/>
      <c r="M3" s="661"/>
      <c r="N3" s="661"/>
      <c r="O3" s="661"/>
      <c r="P3" s="661"/>
    </row>
    <row r="4" spans="1:16" x14ac:dyDescent="0.3">
      <c r="A4" s="520"/>
      <c r="B4" s="520"/>
      <c r="C4" s="520"/>
      <c r="D4" s="520"/>
      <c r="E4" s="520"/>
      <c r="F4" s="520"/>
      <c r="G4" s="520"/>
      <c r="H4" s="520"/>
      <c r="I4" s="520"/>
      <c r="J4" s="520"/>
      <c r="K4" s="520"/>
      <c r="L4" s="520"/>
      <c r="M4" s="520"/>
      <c r="N4" s="520"/>
      <c r="O4" s="520"/>
      <c r="P4" s="520"/>
    </row>
    <row r="5" spans="1:16" x14ac:dyDescent="0.3">
      <c r="A5" s="521" t="s">
        <v>301</v>
      </c>
      <c r="B5" s="662" t="s">
        <v>302</v>
      </c>
      <c r="C5" s="662"/>
      <c r="D5" s="662"/>
      <c r="E5" s="662"/>
      <c r="F5" s="662"/>
      <c r="G5" s="662"/>
      <c r="H5" s="662"/>
      <c r="I5" s="662"/>
      <c r="J5" s="662"/>
      <c r="K5" s="520"/>
      <c r="L5" s="520"/>
      <c r="M5" s="520"/>
      <c r="N5" s="520"/>
      <c r="O5" s="520"/>
      <c r="P5" s="520"/>
    </row>
    <row r="6" spans="1:16" x14ac:dyDescent="0.3">
      <c r="A6" s="520"/>
      <c r="B6" s="662" t="s">
        <v>303</v>
      </c>
      <c r="C6" s="662"/>
      <c r="D6" s="662"/>
      <c r="E6" s="662"/>
      <c r="F6" s="662"/>
      <c r="G6" s="662"/>
      <c r="H6" s="662"/>
      <c r="I6" s="662"/>
      <c r="J6" s="662"/>
      <c r="K6" s="520"/>
      <c r="L6" s="520"/>
      <c r="M6" s="520"/>
      <c r="N6" s="520"/>
      <c r="O6" s="520"/>
      <c r="P6" s="520"/>
    </row>
    <row r="7" spans="1:16" x14ac:dyDescent="0.3">
      <c r="A7" s="520"/>
      <c r="B7" s="663" t="s">
        <v>304</v>
      </c>
      <c r="C7" s="663"/>
      <c r="D7" s="663"/>
      <c r="E7" s="663"/>
      <c r="F7" s="663"/>
      <c r="G7" s="663"/>
      <c r="H7" s="663"/>
      <c r="I7" s="663"/>
      <c r="J7" s="663"/>
      <c r="K7" s="520"/>
      <c r="L7" s="520"/>
      <c r="M7" s="520"/>
      <c r="N7" s="520"/>
      <c r="O7" s="520"/>
      <c r="P7" s="520"/>
    </row>
    <row r="8" spans="1:16" x14ac:dyDescent="0.3">
      <c r="A8" s="520"/>
      <c r="B8" s="520"/>
      <c r="C8" s="520"/>
      <c r="D8" s="520"/>
      <c r="E8" s="520"/>
      <c r="F8" s="520"/>
      <c r="G8" s="520"/>
      <c r="H8" s="520"/>
      <c r="I8" s="520"/>
      <c r="J8" s="520"/>
      <c r="K8" s="520"/>
      <c r="L8" s="520"/>
      <c r="M8" s="520"/>
      <c r="N8" s="520"/>
      <c r="O8" s="520"/>
      <c r="P8" s="520"/>
    </row>
    <row r="9" spans="1:16" x14ac:dyDescent="0.3">
      <c r="A9" s="520"/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</row>
    <row r="10" spans="1:16" x14ac:dyDescent="0.3">
      <c r="A10" s="520"/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</row>
    <row r="11" spans="1:16" x14ac:dyDescent="0.3">
      <c r="A11" s="520"/>
      <c r="B11" s="520"/>
      <c r="C11" s="520"/>
      <c r="D11" s="520"/>
      <c r="E11" s="520"/>
      <c r="F11" s="520"/>
      <c r="G11" s="520"/>
      <c r="H11" s="520"/>
      <c r="I11" s="520"/>
      <c r="J11" s="520"/>
      <c r="K11" s="520"/>
      <c r="L11" s="520"/>
      <c r="M11" s="520"/>
      <c r="N11" s="520"/>
      <c r="O11" s="520"/>
      <c r="P11" s="520"/>
    </row>
    <row r="12" spans="1:16" x14ac:dyDescent="0.3">
      <c r="A12" s="520"/>
      <c r="B12" s="520"/>
      <c r="C12" s="520"/>
      <c r="D12" s="520"/>
      <c r="E12" s="520"/>
      <c r="F12" s="520"/>
      <c r="G12" s="520"/>
      <c r="H12" s="520"/>
      <c r="I12" s="520"/>
      <c r="J12" s="520"/>
      <c r="K12" s="520"/>
      <c r="L12" s="520"/>
      <c r="M12" s="520"/>
      <c r="N12" s="520"/>
      <c r="O12" s="520"/>
      <c r="P12" s="520"/>
    </row>
    <row r="13" spans="1:16" x14ac:dyDescent="0.3">
      <c r="A13" s="520"/>
      <c r="B13" s="520"/>
      <c r="C13" s="520"/>
      <c r="D13" s="520"/>
      <c r="E13" s="520"/>
      <c r="F13" s="520"/>
      <c r="G13" s="520"/>
      <c r="H13" s="520"/>
      <c r="I13" s="520"/>
      <c r="J13" s="520"/>
      <c r="K13" s="520"/>
      <c r="L13" s="520"/>
      <c r="M13" s="520"/>
      <c r="N13" s="520"/>
      <c r="O13" s="520"/>
      <c r="P13" s="520"/>
    </row>
    <row r="14" spans="1:16" x14ac:dyDescent="0.3">
      <c r="A14" s="520"/>
      <c r="B14" s="520"/>
      <c r="C14" s="520"/>
      <c r="D14" s="520"/>
      <c r="E14" s="520"/>
      <c r="F14" s="520"/>
      <c r="G14" s="520"/>
      <c r="H14" s="520"/>
      <c r="I14" s="520"/>
      <c r="J14" s="520"/>
      <c r="K14" s="520"/>
      <c r="L14" s="520"/>
      <c r="M14" s="520"/>
      <c r="N14" s="520"/>
      <c r="O14" s="520"/>
      <c r="P14" s="520"/>
    </row>
    <row r="15" spans="1:16" x14ac:dyDescent="0.3">
      <c r="A15" s="520"/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</row>
    <row r="16" spans="1:16" x14ac:dyDescent="0.3">
      <c r="A16" s="520"/>
      <c r="B16" s="521" t="s">
        <v>305</v>
      </c>
      <c r="C16" s="522" t="s">
        <v>306</v>
      </c>
      <c r="D16" s="522" t="s">
        <v>307</v>
      </c>
      <c r="E16" s="522" t="s">
        <v>308</v>
      </c>
      <c r="F16" s="522"/>
      <c r="G16" s="520"/>
      <c r="H16" s="521" t="s">
        <v>309</v>
      </c>
      <c r="I16" s="520"/>
      <c r="J16" s="520"/>
      <c r="K16" s="520"/>
      <c r="L16" s="520"/>
      <c r="M16" s="520"/>
      <c r="N16" s="520"/>
      <c r="O16" s="520"/>
      <c r="P16" s="520"/>
    </row>
    <row r="17" spans="1:16" x14ac:dyDescent="0.3">
      <c r="A17" s="520"/>
      <c r="B17" s="523" t="s">
        <v>310</v>
      </c>
      <c r="C17" s="520">
        <v>0.55000000000000004</v>
      </c>
      <c r="D17" s="520">
        <v>0.25</v>
      </c>
      <c r="E17" s="520">
        <v>0.25</v>
      </c>
      <c r="F17" s="520"/>
      <c r="G17" s="522" t="s">
        <v>211</v>
      </c>
      <c r="H17" s="524">
        <v>4800</v>
      </c>
      <c r="I17" s="520"/>
      <c r="J17" s="520"/>
      <c r="K17" s="520"/>
      <c r="L17" s="520"/>
      <c r="M17" s="520"/>
      <c r="N17" s="520"/>
      <c r="O17" s="520"/>
      <c r="P17" s="520"/>
    </row>
    <row r="18" spans="1:16" x14ac:dyDescent="0.3">
      <c r="A18" s="520"/>
      <c r="B18" s="523" t="s">
        <v>311</v>
      </c>
      <c r="C18" s="525">
        <v>0.3</v>
      </c>
      <c r="D18" s="520">
        <v>0.45</v>
      </c>
      <c r="E18" s="525">
        <v>0.2</v>
      </c>
      <c r="F18" s="525"/>
      <c r="G18" s="520"/>
      <c r="H18" s="524">
        <v>5800</v>
      </c>
      <c r="I18" s="520"/>
      <c r="J18" s="520"/>
      <c r="K18" s="520"/>
      <c r="L18" s="520"/>
      <c r="M18" s="520"/>
      <c r="N18" s="520"/>
      <c r="O18" s="520"/>
      <c r="P18" s="520"/>
    </row>
    <row r="19" spans="1:16" x14ac:dyDescent="0.3">
      <c r="A19" s="520"/>
      <c r="B19" s="523" t="s">
        <v>312</v>
      </c>
      <c r="C19" s="520">
        <v>0.15</v>
      </c>
      <c r="D19" s="520">
        <v>0.3</v>
      </c>
      <c r="E19" s="520">
        <v>0.55000000000000004</v>
      </c>
      <c r="F19" s="520"/>
      <c r="G19" s="520"/>
      <c r="H19" s="524">
        <v>5700</v>
      </c>
      <c r="I19" s="520"/>
      <c r="J19" s="520"/>
      <c r="K19" s="520"/>
      <c r="L19" s="520"/>
      <c r="M19" s="520"/>
      <c r="N19" s="520"/>
      <c r="O19" s="520"/>
      <c r="P19" s="520"/>
    </row>
    <row r="20" spans="1:16" x14ac:dyDescent="0.3">
      <c r="A20" s="520"/>
      <c r="B20" s="520"/>
      <c r="C20" s="520"/>
      <c r="D20" s="520"/>
      <c r="E20" s="520"/>
      <c r="F20" s="520"/>
      <c r="G20" s="520"/>
      <c r="H20" s="520"/>
      <c r="I20" s="520"/>
      <c r="J20" s="520"/>
      <c r="K20" s="520"/>
      <c r="L20" s="520"/>
      <c r="M20" s="520"/>
      <c r="N20" s="520"/>
      <c r="O20" s="520"/>
      <c r="P20" s="520"/>
    </row>
    <row r="21" spans="1:16" x14ac:dyDescent="0.3">
      <c r="A21" s="520"/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</row>
    <row r="22" spans="1:16" x14ac:dyDescent="0.3">
      <c r="A22" s="520"/>
      <c r="B22" s="660" t="s">
        <v>313</v>
      </c>
      <c r="C22" s="660"/>
      <c r="D22" s="660"/>
      <c r="E22" s="660"/>
      <c r="F22" s="660"/>
      <c r="G22" s="660"/>
      <c r="H22" s="660"/>
      <c r="I22" s="660"/>
      <c r="J22" s="520"/>
      <c r="K22" s="520"/>
      <c r="L22" s="520"/>
      <c r="M22" s="520"/>
      <c r="N22" s="520"/>
      <c r="O22" s="520"/>
      <c r="P22" s="520"/>
    </row>
    <row r="23" spans="1:16" x14ac:dyDescent="0.3">
      <c r="A23" s="520"/>
      <c r="B23" s="520"/>
      <c r="C23" s="520"/>
      <c r="D23" s="520"/>
      <c r="E23" s="520"/>
      <c r="F23" s="520"/>
      <c r="G23" s="520"/>
      <c r="H23" s="520"/>
      <c r="I23" s="520"/>
      <c r="J23" s="520"/>
      <c r="K23" s="520"/>
      <c r="L23" s="520"/>
      <c r="M23" s="520"/>
      <c r="N23" s="520"/>
      <c r="O23" s="520"/>
      <c r="P23" s="520"/>
    </row>
    <row r="24" spans="1:16" x14ac:dyDescent="0.3">
      <c r="A24" s="520"/>
      <c r="B24" s="521" t="s">
        <v>314</v>
      </c>
      <c r="C24" s="520">
        <v>24.166699999999999</v>
      </c>
      <c r="D24" s="520"/>
      <c r="E24" s="520"/>
      <c r="F24" s="520"/>
      <c r="G24" s="520"/>
      <c r="H24" s="520"/>
      <c r="I24" s="520"/>
      <c r="J24" s="520"/>
      <c r="K24" s="520"/>
      <c r="L24" s="520"/>
      <c r="M24" s="520"/>
      <c r="N24" s="520"/>
      <c r="O24" s="520"/>
      <c r="P24" s="520"/>
    </row>
    <row r="25" spans="1:16" x14ac:dyDescent="0.3">
      <c r="A25" s="520"/>
      <c r="B25" s="521" t="s">
        <v>315</v>
      </c>
      <c r="C25" s="520">
        <v>91.933300000000003</v>
      </c>
      <c r="D25" s="520"/>
      <c r="E25" s="520"/>
      <c r="F25" s="520"/>
      <c r="G25" s="520"/>
      <c r="H25" s="520"/>
      <c r="I25" s="520"/>
      <c r="J25" s="520"/>
      <c r="K25" s="520"/>
      <c r="L25" s="520"/>
      <c r="M25" s="520"/>
      <c r="N25" s="520"/>
      <c r="O25" s="520"/>
      <c r="P25" s="520"/>
    </row>
    <row r="26" spans="1:16" x14ac:dyDescent="0.3">
      <c r="A26" s="520"/>
      <c r="B26" s="521" t="s">
        <v>316</v>
      </c>
      <c r="C26" s="520">
        <v>46.9</v>
      </c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</row>
    <row r="27" spans="1:16" x14ac:dyDescent="0.3">
      <c r="A27" s="520"/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</row>
  </sheetData>
  <mergeCells count="6">
    <mergeCell ref="B22:I22"/>
    <mergeCell ref="A1:N1"/>
    <mergeCell ref="A2:P3"/>
    <mergeCell ref="B5:J5"/>
    <mergeCell ref="B6:J6"/>
    <mergeCell ref="B7:J7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55"/>
  <sheetViews>
    <sheetView workbookViewId="0">
      <selection activeCell="J16" sqref="J16"/>
    </sheetView>
  </sheetViews>
  <sheetFormatPr baseColWidth="10" defaultRowHeight="14.4" x14ac:dyDescent="0.3"/>
  <cols>
    <col min="1" max="1" width="13.44140625" customWidth="1"/>
  </cols>
  <sheetData>
    <row r="1" spans="1:16" s="526" customFormat="1" ht="28.8" x14ac:dyDescent="0.55000000000000004">
      <c r="A1" s="665" t="s">
        <v>219</v>
      </c>
      <c r="B1" s="665"/>
      <c r="C1" s="665"/>
      <c r="D1" s="665"/>
      <c r="E1" s="665"/>
      <c r="F1" s="665"/>
      <c r="G1" s="665"/>
      <c r="H1" s="665"/>
      <c r="I1" s="665"/>
      <c r="J1" s="665"/>
      <c r="K1" s="665"/>
      <c r="L1" s="665"/>
      <c r="M1" s="665"/>
      <c r="N1" s="665"/>
    </row>
    <row r="2" spans="1:16" s="520" customFormat="1" x14ac:dyDescent="0.3">
      <c r="A2" s="661" t="s">
        <v>300</v>
      </c>
      <c r="B2" s="661"/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</row>
    <row r="3" spans="1:16" s="520" customFormat="1" x14ac:dyDescent="0.3">
      <c r="A3" s="661"/>
      <c r="B3" s="661"/>
      <c r="C3" s="661"/>
      <c r="D3" s="661"/>
      <c r="E3" s="661"/>
      <c r="F3" s="661"/>
      <c r="G3" s="661"/>
      <c r="H3" s="661"/>
      <c r="I3" s="661"/>
      <c r="J3" s="661"/>
      <c r="K3" s="661"/>
      <c r="L3" s="661"/>
      <c r="M3" s="661"/>
      <c r="N3" s="661"/>
      <c r="O3" s="661"/>
      <c r="P3" s="661"/>
    </row>
    <row r="4" spans="1:16" s="520" customFormat="1" x14ac:dyDescent="0.3">
      <c r="A4" s="521"/>
    </row>
    <row r="5" spans="1:16" s="520" customFormat="1" x14ac:dyDescent="0.3">
      <c r="A5" s="521" t="s">
        <v>326</v>
      </c>
      <c r="B5" s="663" t="s">
        <v>327</v>
      </c>
      <c r="C5" s="663"/>
      <c r="D5" s="663"/>
      <c r="E5" s="663"/>
      <c r="F5" s="663"/>
      <c r="G5" s="663"/>
      <c r="H5" s="663"/>
      <c r="I5" s="663"/>
      <c r="J5" s="663"/>
    </row>
    <row r="6" spans="1:16" s="520" customFormat="1" x14ac:dyDescent="0.3">
      <c r="B6" s="663" t="s">
        <v>328</v>
      </c>
      <c r="C6" s="663"/>
      <c r="D6" s="663"/>
      <c r="E6" s="663"/>
      <c r="F6" s="663"/>
      <c r="G6" s="663"/>
      <c r="H6" s="663"/>
      <c r="I6" s="663"/>
      <c r="J6" s="663"/>
    </row>
    <row r="7" spans="1:16" s="520" customFormat="1" x14ac:dyDescent="0.3">
      <c r="B7" s="663" t="s">
        <v>329</v>
      </c>
      <c r="C7" s="663"/>
      <c r="D7" s="663"/>
      <c r="E7" s="663"/>
      <c r="F7" s="663"/>
      <c r="G7" s="663"/>
      <c r="H7" s="663"/>
      <c r="I7" s="663"/>
      <c r="J7" s="663"/>
    </row>
    <row r="8" spans="1:16" s="520" customFormat="1" x14ac:dyDescent="0.3"/>
    <row r="9" spans="1:16" s="520" customFormat="1" x14ac:dyDescent="0.3"/>
    <row r="10" spans="1:16" s="520" customFormat="1" x14ac:dyDescent="0.3"/>
    <row r="11" spans="1:16" s="520" customFormat="1" x14ac:dyDescent="0.3"/>
    <row r="12" spans="1:16" s="520" customFormat="1" x14ac:dyDescent="0.3"/>
    <row r="13" spans="1:16" s="520" customFormat="1" x14ac:dyDescent="0.3"/>
    <row r="14" spans="1:16" s="520" customFormat="1" x14ac:dyDescent="0.3"/>
    <row r="15" spans="1:16" s="520" customFormat="1" x14ac:dyDescent="0.3"/>
    <row r="16" spans="1:16" s="520" customFormat="1" x14ac:dyDescent="0.3"/>
    <row r="17" spans="3:17" s="520" customFormat="1" x14ac:dyDescent="0.3">
      <c r="C17" s="664" t="s">
        <v>330</v>
      </c>
      <c r="D17" s="664"/>
      <c r="E17" s="664"/>
      <c r="F17" s="664"/>
      <c r="G17" s="664"/>
      <c r="H17" s="664"/>
      <c r="I17" s="664"/>
    </row>
    <row r="18" spans="3:17" s="520" customFormat="1" x14ac:dyDescent="0.3">
      <c r="C18" s="664" t="s">
        <v>331</v>
      </c>
      <c r="D18" s="664"/>
      <c r="E18" s="664"/>
      <c r="F18" s="664"/>
      <c r="G18" s="664"/>
      <c r="H18" s="664"/>
      <c r="I18" s="664"/>
    </row>
    <row r="19" spans="3:17" s="520" customFormat="1" x14ac:dyDescent="0.3"/>
    <row r="20" spans="3:17" s="520" customFormat="1" x14ac:dyDescent="0.3">
      <c r="D20" s="521" t="s">
        <v>332</v>
      </c>
      <c r="E20" s="664" t="s">
        <v>333</v>
      </c>
      <c r="F20" s="664"/>
      <c r="G20" s="664"/>
      <c r="H20" s="664"/>
      <c r="I20" s="664"/>
      <c r="K20" s="522" t="s">
        <v>210</v>
      </c>
      <c r="L20" s="255">
        <v>150</v>
      </c>
      <c r="M20" s="255">
        <v>-50</v>
      </c>
      <c r="N20" s="255">
        <v>0</v>
      </c>
      <c r="O20" s="255">
        <v>0</v>
      </c>
      <c r="P20" s="522" t="s">
        <v>211</v>
      </c>
      <c r="Q20" s="255">
        <v>0</v>
      </c>
    </row>
    <row r="21" spans="3:17" s="520" customFormat="1" x14ac:dyDescent="0.3">
      <c r="E21" s="664" t="s">
        <v>334</v>
      </c>
      <c r="F21" s="664"/>
      <c r="G21" s="664"/>
      <c r="H21" s="664"/>
      <c r="I21" s="664"/>
      <c r="L21" s="255">
        <v>-50</v>
      </c>
      <c r="M21" s="255">
        <v>130</v>
      </c>
      <c r="N21" s="255">
        <v>-80</v>
      </c>
      <c r="O21" s="255">
        <v>0</v>
      </c>
      <c r="Q21" s="255">
        <v>0</v>
      </c>
    </row>
    <row r="22" spans="3:17" s="520" customFormat="1" x14ac:dyDescent="0.3">
      <c r="E22" s="664" t="s">
        <v>335</v>
      </c>
      <c r="F22" s="664"/>
      <c r="G22" s="664"/>
      <c r="H22" s="664"/>
      <c r="I22" s="664"/>
      <c r="L22" s="255">
        <v>0</v>
      </c>
      <c r="M22" s="255">
        <v>-80</v>
      </c>
      <c r="N22" s="255">
        <v>280</v>
      </c>
      <c r="O22" s="255">
        <v>-200</v>
      </c>
      <c r="Q22" s="255">
        <v>0</v>
      </c>
    </row>
    <row r="23" spans="3:17" s="520" customFormat="1" x14ac:dyDescent="0.3">
      <c r="D23" s="521" t="s">
        <v>336</v>
      </c>
      <c r="E23" s="664" t="s">
        <v>337</v>
      </c>
      <c r="F23" s="664"/>
      <c r="G23" s="664"/>
      <c r="H23" s="664"/>
      <c r="I23" s="664"/>
      <c r="L23" s="255">
        <v>0</v>
      </c>
      <c r="M23" s="255">
        <v>0</v>
      </c>
      <c r="N23" s="255">
        <v>-200</v>
      </c>
      <c r="O23" s="255">
        <v>200</v>
      </c>
      <c r="Q23" s="255">
        <v>14715</v>
      </c>
    </row>
    <row r="24" spans="3:17" s="520" customFormat="1" x14ac:dyDescent="0.3">
      <c r="E24" s="664" t="s">
        <v>338</v>
      </c>
      <c r="F24" s="664"/>
      <c r="G24" s="664"/>
      <c r="H24" s="664"/>
      <c r="I24" s="664"/>
    </row>
    <row r="25" spans="3:17" s="520" customFormat="1" x14ac:dyDescent="0.3">
      <c r="E25" s="664" t="s">
        <v>339</v>
      </c>
      <c r="F25" s="664"/>
      <c r="G25" s="664"/>
      <c r="H25" s="664"/>
      <c r="I25" s="664"/>
    </row>
    <row r="26" spans="3:17" s="520" customFormat="1" x14ac:dyDescent="0.3">
      <c r="D26" s="521" t="s">
        <v>340</v>
      </c>
      <c r="E26" s="664" t="s">
        <v>341</v>
      </c>
      <c r="F26" s="664"/>
      <c r="G26" s="664"/>
      <c r="H26" s="664"/>
      <c r="I26" s="664"/>
    </row>
    <row r="27" spans="3:17" s="520" customFormat="1" x14ac:dyDescent="0.3">
      <c r="E27" s="664" t="s">
        <v>342</v>
      </c>
      <c r="F27" s="664"/>
      <c r="G27" s="664"/>
      <c r="H27" s="664"/>
      <c r="I27" s="664"/>
    </row>
    <row r="28" spans="3:17" s="520" customFormat="1" x14ac:dyDescent="0.3">
      <c r="E28" s="664" t="s">
        <v>343</v>
      </c>
      <c r="F28" s="664"/>
      <c r="G28" s="664"/>
      <c r="H28" s="664"/>
      <c r="I28" s="664"/>
    </row>
    <row r="29" spans="3:17" s="520" customFormat="1" x14ac:dyDescent="0.3">
      <c r="D29" s="521" t="s">
        <v>344</v>
      </c>
      <c r="E29" s="664" t="s">
        <v>345</v>
      </c>
      <c r="F29" s="664"/>
      <c r="G29" s="664"/>
      <c r="H29" s="664"/>
      <c r="I29" s="664"/>
    </row>
    <row r="30" spans="3:17" s="520" customFormat="1" x14ac:dyDescent="0.3">
      <c r="E30" s="664" t="s">
        <v>346</v>
      </c>
      <c r="F30" s="664"/>
      <c r="G30" s="664"/>
      <c r="H30" s="664"/>
      <c r="I30" s="664"/>
    </row>
    <row r="31" spans="3:17" s="520" customFormat="1" x14ac:dyDescent="0.3">
      <c r="E31" s="664" t="s">
        <v>347</v>
      </c>
      <c r="F31" s="664"/>
      <c r="G31" s="664"/>
      <c r="H31" s="664"/>
      <c r="I31" s="664"/>
    </row>
    <row r="32" spans="3:17" s="520" customFormat="1" x14ac:dyDescent="0.3"/>
    <row r="33" s="520" customFormat="1" x14ac:dyDescent="0.3"/>
    <row r="34" s="520" customFormat="1" x14ac:dyDescent="0.3"/>
    <row r="35" s="520" customFormat="1" x14ac:dyDescent="0.3"/>
    <row r="36" s="520" customFormat="1" x14ac:dyDescent="0.3"/>
    <row r="37" s="520" customFormat="1" x14ac:dyDescent="0.3"/>
    <row r="38" s="520" customFormat="1" x14ac:dyDescent="0.3"/>
    <row r="39" s="520" customFormat="1" x14ac:dyDescent="0.3"/>
    <row r="40" s="520" customFormat="1" x14ac:dyDescent="0.3"/>
    <row r="41" s="520" customFormat="1" x14ac:dyDescent="0.3"/>
    <row r="42" s="520" customFormat="1" x14ac:dyDescent="0.3"/>
    <row r="43" s="520" customFormat="1" x14ac:dyDescent="0.3"/>
    <row r="44" s="520" customFormat="1" x14ac:dyDescent="0.3"/>
    <row r="45" s="520" customFormat="1" x14ac:dyDescent="0.3"/>
    <row r="46" s="520" customFormat="1" x14ac:dyDescent="0.3"/>
    <row r="47" s="520" customFormat="1" x14ac:dyDescent="0.3"/>
    <row r="48" s="520" customFormat="1" x14ac:dyDescent="0.3"/>
    <row r="49" s="520" customFormat="1" x14ac:dyDescent="0.3"/>
    <row r="50" s="520" customFormat="1" x14ac:dyDescent="0.3"/>
    <row r="51" s="520" customFormat="1" x14ac:dyDescent="0.3"/>
    <row r="52" s="520" customFormat="1" x14ac:dyDescent="0.3"/>
    <row r="53" s="520" customFormat="1" x14ac:dyDescent="0.3"/>
    <row r="54" s="520" customFormat="1" x14ac:dyDescent="0.3"/>
    <row r="55" s="520" customFormat="1" x14ac:dyDescent="0.3"/>
  </sheetData>
  <mergeCells count="19">
    <mergeCell ref="E31:I31"/>
    <mergeCell ref="A1:N1"/>
    <mergeCell ref="E25:I25"/>
    <mergeCell ref="E26:I26"/>
    <mergeCell ref="E27:I27"/>
    <mergeCell ref="E28:I28"/>
    <mergeCell ref="E29:I29"/>
    <mergeCell ref="E30:I30"/>
    <mergeCell ref="C18:I18"/>
    <mergeCell ref="E20:I20"/>
    <mergeCell ref="E21:I21"/>
    <mergeCell ref="E22:I22"/>
    <mergeCell ref="E23:I23"/>
    <mergeCell ref="E24:I24"/>
    <mergeCell ref="A2:P3"/>
    <mergeCell ref="B5:J5"/>
    <mergeCell ref="B6:J6"/>
    <mergeCell ref="B7:J7"/>
    <mergeCell ref="C17:I17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52"/>
  <sheetViews>
    <sheetView workbookViewId="0">
      <selection activeCell="D15" sqref="D15:I15"/>
    </sheetView>
  </sheetViews>
  <sheetFormatPr baseColWidth="10" defaultRowHeight="14.4" x14ac:dyDescent="0.3"/>
  <cols>
    <col min="2" max="2" width="12.6640625" customWidth="1"/>
  </cols>
  <sheetData>
    <row r="1" spans="1:17" s="61" customFormat="1" ht="28.8" x14ac:dyDescent="0.55000000000000004">
      <c r="A1" s="610" t="s">
        <v>219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2" spans="1:17" s="520" customFormat="1" x14ac:dyDescent="0.3">
      <c r="B2" s="661" t="s">
        <v>300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</row>
    <row r="3" spans="1:17" s="520" customFormat="1" x14ac:dyDescent="0.3">
      <c r="B3" s="661"/>
      <c r="C3" s="661"/>
      <c r="D3" s="661"/>
      <c r="E3" s="661"/>
      <c r="F3" s="661"/>
      <c r="G3" s="661"/>
      <c r="H3" s="661"/>
      <c r="I3" s="661"/>
      <c r="J3" s="661"/>
      <c r="K3" s="661"/>
      <c r="L3" s="661"/>
      <c r="M3" s="661"/>
      <c r="N3" s="661"/>
      <c r="O3" s="661"/>
      <c r="P3" s="661"/>
      <c r="Q3" s="661"/>
    </row>
    <row r="4" spans="1:17" s="520" customFormat="1" x14ac:dyDescent="0.3"/>
    <row r="5" spans="1:17" s="520" customFormat="1" x14ac:dyDescent="0.3">
      <c r="B5" s="521" t="s">
        <v>317</v>
      </c>
      <c r="C5" s="663" t="s">
        <v>318</v>
      </c>
      <c r="D5" s="663"/>
      <c r="E5" s="663"/>
      <c r="F5" s="663"/>
      <c r="G5" s="663"/>
      <c r="H5" s="663"/>
      <c r="I5" s="663"/>
      <c r="J5" s="663"/>
    </row>
    <row r="6" spans="1:17" s="520" customFormat="1" x14ac:dyDescent="0.3">
      <c r="C6" s="663" t="s">
        <v>319</v>
      </c>
      <c r="D6" s="663"/>
      <c r="E6" s="663"/>
      <c r="F6" s="663"/>
      <c r="G6" s="663"/>
      <c r="H6" s="663"/>
      <c r="I6" s="663"/>
      <c r="J6" s="663"/>
    </row>
    <row r="7" spans="1:17" s="520" customFormat="1" x14ac:dyDescent="0.3">
      <c r="C7" s="663" t="s">
        <v>320</v>
      </c>
      <c r="D7" s="663"/>
      <c r="E7" s="663"/>
      <c r="F7" s="663"/>
      <c r="G7" s="663"/>
      <c r="H7" s="663"/>
      <c r="I7" s="663"/>
      <c r="J7" s="663"/>
    </row>
    <row r="8" spans="1:17" s="520" customFormat="1" x14ac:dyDescent="0.3">
      <c r="C8" s="663" t="s">
        <v>321</v>
      </c>
      <c r="D8" s="663"/>
      <c r="E8" s="663"/>
      <c r="F8" s="663"/>
      <c r="G8" s="663"/>
      <c r="H8" s="663"/>
      <c r="I8" s="663"/>
      <c r="J8" s="663"/>
    </row>
    <row r="9" spans="1:17" s="520" customFormat="1" x14ac:dyDescent="0.3"/>
    <row r="10" spans="1:17" s="520" customFormat="1" x14ac:dyDescent="0.3">
      <c r="E10" s="664" t="s">
        <v>322</v>
      </c>
      <c r="F10" s="664"/>
      <c r="G10" s="664"/>
      <c r="H10" s="664"/>
    </row>
    <row r="11" spans="1:17" s="520" customFormat="1" x14ac:dyDescent="0.3">
      <c r="E11" s="664" t="s">
        <v>323</v>
      </c>
      <c r="F11" s="664"/>
      <c r="G11" s="664"/>
      <c r="H11" s="664"/>
    </row>
    <row r="12" spans="1:17" s="520" customFormat="1" x14ac:dyDescent="0.3">
      <c r="E12" s="664" t="s">
        <v>324</v>
      </c>
      <c r="F12" s="664"/>
      <c r="G12" s="664"/>
      <c r="H12" s="664"/>
    </row>
    <row r="13" spans="1:17" s="520" customFormat="1" x14ac:dyDescent="0.3"/>
    <row r="14" spans="1:17" s="520" customFormat="1" x14ac:dyDescent="0.3"/>
    <row r="15" spans="1:17" s="520" customFormat="1" x14ac:dyDescent="0.3">
      <c r="D15" s="663" t="s">
        <v>325</v>
      </c>
      <c r="E15" s="663"/>
      <c r="F15" s="663"/>
      <c r="G15" s="663"/>
      <c r="H15" s="663"/>
      <c r="I15" s="663"/>
    </row>
    <row r="16" spans="1:17" s="520" customFormat="1" x14ac:dyDescent="0.3"/>
    <row r="17" spans="4:11" s="520" customFormat="1" x14ac:dyDescent="0.3">
      <c r="D17" s="522" t="s">
        <v>210</v>
      </c>
      <c r="E17" s="255">
        <v>100</v>
      </c>
      <c r="F17" s="255">
        <v>1</v>
      </c>
      <c r="G17" s="255">
        <v>0</v>
      </c>
      <c r="H17" s="522"/>
      <c r="I17" s="522" t="s">
        <v>211</v>
      </c>
      <c r="J17" s="255">
        <v>519.72</v>
      </c>
      <c r="K17" s="255"/>
    </row>
    <row r="18" spans="4:11" s="520" customFormat="1" x14ac:dyDescent="0.3">
      <c r="E18" s="255">
        <v>50</v>
      </c>
      <c r="F18" s="255">
        <v>-1</v>
      </c>
      <c r="G18" s="255">
        <v>1</v>
      </c>
      <c r="J18" s="255">
        <v>216.55</v>
      </c>
      <c r="K18" s="255"/>
    </row>
    <row r="19" spans="4:11" s="520" customFormat="1" x14ac:dyDescent="0.3">
      <c r="E19" s="255">
        <v>25</v>
      </c>
      <c r="F19" s="255">
        <v>0</v>
      </c>
      <c r="G19" s="255">
        <v>-1</v>
      </c>
      <c r="J19" s="255">
        <v>108.27</v>
      </c>
      <c r="K19" s="255"/>
    </row>
    <row r="20" spans="4:11" s="520" customFormat="1" x14ac:dyDescent="0.3">
      <c r="E20" s="255"/>
      <c r="F20" s="255"/>
      <c r="G20" s="255"/>
      <c r="H20" s="255"/>
      <c r="K20" s="255"/>
    </row>
    <row r="21" spans="4:11" s="520" customFormat="1" x14ac:dyDescent="0.3"/>
    <row r="22" spans="4:11" s="520" customFormat="1" x14ac:dyDescent="0.3"/>
    <row r="23" spans="4:11" s="520" customFormat="1" x14ac:dyDescent="0.3"/>
    <row r="24" spans="4:11" s="520" customFormat="1" x14ac:dyDescent="0.3"/>
    <row r="25" spans="4:11" s="520" customFormat="1" x14ac:dyDescent="0.3"/>
    <row r="26" spans="4:11" s="520" customFormat="1" x14ac:dyDescent="0.3"/>
    <row r="27" spans="4:11" s="520" customFormat="1" x14ac:dyDescent="0.3"/>
    <row r="28" spans="4:11" s="520" customFormat="1" x14ac:dyDescent="0.3"/>
    <row r="29" spans="4:11" s="520" customFormat="1" x14ac:dyDescent="0.3"/>
    <row r="30" spans="4:11" s="520" customFormat="1" x14ac:dyDescent="0.3"/>
    <row r="31" spans="4:11" s="520" customFormat="1" x14ac:dyDescent="0.3"/>
    <row r="32" spans="4:11" s="520" customFormat="1" x14ac:dyDescent="0.3"/>
    <row r="33" s="520" customFormat="1" x14ac:dyDescent="0.3"/>
    <row r="34" s="520" customFormat="1" x14ac:dyDescent="0.3"/>
    <row r="35" s="520" customFormat="1" x14ac:dyDescent="0.3"/>
    <row r="36" s="520" customFormat="1" x14ac:dyDescent="0.3"/>
    <row r="37" s="520" customFormat="1" x14ac:dyDescent="0.3"/>
    <row r="38" s="520" customFormat="1" x14ac:dyDescent="0.3"/>
    <row r="39" s="520" customFormat="1" x14ac:dyDescent="0.3"/>
    <row r="40" s="520" customFormat="1" x14ac:dyDescent="0.3"/>
    <row r="41" s="520" customFormat="1" x14ac:dyDescent="0.3"/>
    <row r="42" s="520" customFormat="1" x14ac:dyDescent="0.3"/>
    <row r="43" s="520" customFormat="1" x14ac:dyDescent="0.3"/>
    <row r="44" s="520" customFormat="1" x14ac:dyDescent="0.3"/>
    <row r="45" s="520" customFormat="1" x14ac:dyDescent="0.3"/>
    <row r="46" s="520" customFormat="1" x14ac:dyDescent="0.3"/>
    <row r="47" s="520" customFormat="1" x14ac:dyDescent="0.3"/>
    <row r="48" s="520" customFormat="1" x14ac:dyDescent="0.3"/>
    <row r="49" s="520" customFormat="1" x14ac:dyDescent="0.3"/>
    <row r="50" s="520" customFormat="1" x14ac:dyDescent="0.3"/>
    <row r="51" s="520" customFormat="1" x14ac:dyDescent="0.3"/>
    <row r="52" s="520" customFormat="1" x14ac:dyDescent="0.3"/>
  </sheetData>
  <mergeCells count="10">
    <mergeCell ref="E10:H10"/>
    <mergeCell ref="E11:H11"/>
    <mergeCell ref="E12:H12"/>
    <mergeCell ref="D15:I15"/>
    <mergeCell ref="A1:N1"/>
    <mergeCell ref="B2:Q3"/>
    <mergeCell ref="C5:J5"/>
    <mergeCell ref="C6:J6"/>
    <mergeCell ref="C7:J7"/>
    <mergeCell ref="C8:J8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19"/>
  <sheetViews>
    <sheetView zoomScale="90" zoomScaleNormal="90" workbookViewId="0">
      <selection activeCell="C23" sqref="C23"/>
    </sheetView>
  </sheetViews>
  <sheetFormatPr baseColWidth="10" defaultRowHeight="14.4" x14ac:dyDescent="0.3"/>
  <sheetData>
    <row r="1" spans="1:14" s="61" customFormat="1" ht="28.8" x14ac:dyDescent="0.55000000000000004">
      <c r="A1" s="610" t="s">
        <v>279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A3">
        <v>13.1</v>
      </c>
      <c r="B3" t="s">
        <v>280</v>
      </c>
    </row>
    <row r="8" spans="1:14" x14ac:dyDescent="0.3">
      <c r="F8" t="s">
        <v>285</v>
      </c>
      <c r="H8">
        <f>J12-L12</f>
        <v>0.94427190999915878</v>
      </c>
    </row>
    <row r="9" spans="1:14" x14ac:dyDescent="0.3">
      <c r="L9" s="485">
        <f>(SQRT(5)-1)/2</f>
        <v>0.6180339887498949</v>
      </c>
    </row>
    <row r="10" spans="1:14" x14ac:dyDescent="0.3">
      <c r="C10" s="260" t="s">
        <v>48</v>
      </c>
      <c r="D10" s="260" t="s">
        <v>281</v>
      </c>
      <c r="E10" s="260" t="s">
        <v>282</v>
      </c>
      <c r="F10" s="260" t="s">
        <v>159</v>
      </c>
      <c r="G10" s="260" t="s">
        <v>275</v>
      </c>
      <c r="H10" s="260" t="s">
        <v>158</v>
      </c>
      <c r="I10" s="260" t="s">
        <v>274</v>
      </c>
      <c r="J10" s="260" t="s">
        <v>27</v>
      </c>
      <c r="K10" s="483" t="s">
        <v>283</v>
      </c>
      <c r="L10" s="260" t="s">
        <v>284</v>
      </c>
    </row>
    <row r="11" spans="1:14" x14ac:dyDescent="0.3">
      <c r="C11" s="251">
        <v>1</v>
      </c>
      <c r="D11" s="480">
        <v>0</v>
      </c>
      <c r="E11" s="481">
        <f>2*SIN(D11)-D11^2/10</f>
        <v>0</v>
      </c>
      <c r="F11" s="480">
        <f>J11-L11</f>
        <v>1.5278640450004204</v>
      </c>
      <c r="G11" s="481">
        <f t="shared" ref="G11:K13" si="0">2*SIN(F11)-F11^2/10</f>
        <v>1.7647202482716493</v>
      </c>
      <c r="H11" s="480">
        <f>D11+L11</f>
        <v>2.4721359549995796</v>
      </c>
      <c r="I11" s="481">
        <f t="shared" si="0"/>
        <v>0.62997446998224593</v>
      </c>
      <c r="J11" s="480">
        <v>4</v>
      </c>
      <c r="K11" s="484">
        <f t="shared" si="0"/>
        <v>-3.1136049906158565</v>
      </c>
      <c r="L11" s="482">
        <f>(SQRT(5)-1)*(J11-D11)/2</f>
        <v>2.4721359549995796</v>
      </c>
    </row>
    <row r="12" spans="1:14" x14ac:dyDescent="0.3">
      <c r="C12" s="251">
        <v>2</v>
      </c>
      <c r="D12" s="480">
        <f>IF(G11&lt;I11,F11,D11)</f>
        <v>0</v>
      </c>
      <c r="E12" s="481">
        <f>2*SIN(D12)-D12^2/10</f>
        <v>0</v>
      </c>
      <c r="F12" s="480">
        <f>IF(G11&lt;I11,H11,J12-L12)</f>
        <v>0.94427190999915878</v>
      </c>
      <c r="G12" s="481">
        <f t="shared" si="0"/>
        <v>1.5309755469264761</v>
      </c>
      <c r="H12" s="482">
        <f>IF(G11&lt;I11,D12+L12,F11)</f>
        <v>1.5278640450004204</v>
      </c>
      <c r="I12" s="481">
        <f t="shared" si="0"/>
        <v>1.7647202482716493</v>
      </c>
      <c r="J12" s="482">
        <f>IF(G11&lt;I11,J11,H11)</f>
        <v>2.4721359549995796</v>
      </c>
      <c r="K12" s="484">
        <f t="shared" si="0"/>
        <v>0.62997446998224593</v>
      </c>
      <c r="L12" s="482">
        <f>L11*$L$9</f>
        <v>1.5278640450004208</v>
      </c>
    </row>
    <row r="13" spans="1:14" x14ac:dyDescent="0.3">
      <c r="C13" s="251">
        <v>3</v>
      </c>
      <c r="D13" s="480">
        <f>IF(G12&lt;I12,F12,D12)</f>
        <v>0.94427190999915878</v>
      </c>
      <c r="E13" s="481">
        <f>2*SIN(D13)-D13^2/10</f>
        <v>1.5309755469264761</v>
      </c>
      <c r="F13" s="480">
        <f>IF(G12&lt;I12,H12,J13-L13)</f>
        <v>1.5278640450004204</v>
      </c>
      <c r="G13" s="481">
        <f t="shared" si="0"/>
        <v>1.7647202482716493</v>
      </c>
      <c r="H13" s="482">
        <f>IF(G12&lt;I12,D13+L13,F12)</f>
        <v>1.8885438199983178</v>
      </c>
      <c r="I13" s="481">
        <f t="shared" si="0"/>
        <v>1.5432233693764972</v>
      </c>
      <c r="J13" s="482">
        <f>IF(G12&lt;I12,J12,H12)</f>
        <v>2.4721359549995796</v>
      </c>
      <c r="K13" s="484">
        <f t="shared" si="0"/>
        <v>0.62997446998224593</v>
      </c>
      <c r="L13" s="482">
        <f t="shared" ref="L13:L16" si="1">L12*$L$9</f>
        <v>0.944271909999159</v>
      </c>
    </row>
    <row r="14" spans="1:14" x14ac:dyDescent="0.3">
      <c r="C14" s="479">
        <v>4</v>
      </c>
      <c r="D14" s="480">
        <f t="shared" ref="D14:D16" si="2">IF(G13&lt;I13,F13,D13)</f>
        <v>0.94427190999915878</v>
      </c>
      <c r="E14" s="481">
        <f t="shared" ref="E14:E19" si="3">2*SIN(D14)-D14^2/10</f>
        <v>1.5309755469264761</v>
      </c>
      <c r="F14" s="480">
        <f t="shared" ref="F14:F16" si="4">IF(G13&lt;I13,H13,J14-L14)</f>
        <v>1.3049516849970557</v>
      </c>
      <c r="G14" s="481">
        <f t="shared" ref="G14" si="5">2*SIN(F14)-F14^2/10</f>
        <v>1.7594519842513348</v>
      </c>
      <c r="H14" s="482">
        <f t="shared" ref="H14:H16" si="6">IF(G13&lt;I13,D14+L14,F13)</f>
        <v>1.5278640450004204</v>
      </c>
      <c r="I14" s="481">
        <f t="shared" ref="I14" si="7">2*SIN(H14)-H14^2/10</f>
        <v>1.7647202482716493</v>
      </c>
      <c r="J14" s="482">
        <f t="shared" ref="J14:J16" si="8">IF(G13&lt;I13,J13,H13)</f>
        <v>1.8885438199983178</v>
      </c>
      <c r="K14" s="484">
        <f t="shared" ref="K14" si="9">2*SIN(J14)-J14^2/10</f>
        <v>1.5432233693764972</v>
      </c>
      <c r="L14" s="482">
        <f t="shared" si="1"/>
        <v>0.58359213500126206</v>
      </c>
    </row>
    <row r="15" spans="1:14" x14ac:dyDescent="0.3">
      <c r="C15" s="251">
        <v>5</v>
      </c>
      <c r="D15" s="480">
        <f t="shared" si="2"/>
        <v>1.3049516849970557</v>
      </c>
      <c r="E15" s="481">
        <f t="shared" si="3"/>
        <v>1.7594519842513348</v>
      </c>
      <c r="F15" s="480">
        <f t="shared" si="4"/>
        <v>1.5278640450004204</v>
      </c>
      <c r="G15" s="481">
        <f t="shared" ref="G15" si="10">2*SIN(F15)-F15^2/10</f>
        <v>1.7647202482716493</v>
      </c>
      <c r="H15" s="482">
        <f t="shared" si="6"/>
        <v>1.6656314599949529</v>
      </c>
      <c r="I15" s="481">
        <f t="shared" ref="I15" si="11">2*SIN(H15)-H15^2/10</f>
        <v>1.7135802199950465</v>
      </c>
      <c r="J15" s="482">
        <f t="shared" si="8"/>
        <v>1.8885438199983178</v>
      </c>
      <c r="K15" s="484">
        <f t="shared" ref="K15" si="12">2*SIN(J15)-J15^2/10</f>
        <v>1.5432233693764972</v>
      </c>
      <c r="L15" s="482">
        <f t="shared" si="1"/>
        <v>0.36067977499789716</v>
      </c>
    </row>
    <row r="16" spans="1:14" x14ac:dyDescent="0.3">
      <c r="C16" s="479">
        <v>6</v>
      </c>
      <c r="D16" s="480">
        <f t="shared" si="2"/>
        <v>1.3049516849970557</v>
      </c>
      <c r="E16" s="481">
        <f t="shared" si="3"/>
        <v>1.7594519842513348</v>
      </c>
      <c r="F16" s="488">
        <f t="shared" si="4"/>
        <v>1.4427190999915878</v>
      </c>
      <c r="G16" s="481">
        <f t="shared" ref="G16" si="13">2*SIN(F16)-F16^2/10</f>
        <v>1.7754747952244816</v>
      </c>
      <c r="H16" s="482">
        <f t="shared" si="6"/>
        <v>1.5278640450004204</v>
      </c>
      <c r="I16" s="481">
        <f t="shared" ref="I16" si="14">2*SIN(H16)-H16^2/10</f>
        <v>1.7647202482716493</v>
      </c>
      <c r="J16" s="482">
        <f t="shared" si="8"/>
        <v>1.6656314599949529</v>
      </c>
      <c r="K16" s="484">
        <f t="shared" ref="K16:K19" si="15">2*SIN(J16)-J16^2/10</f>
        <v>1.7135802199950465</v>
      </c>
      <c r="L16" s="482">
        <f t="shared" si="1"/>
        <v>0.22291236000336501</v>
      </c>
    </row>
    <row r="17" spans="3:12" x14ac:dyDescent="0.3">
      <c r="C17" s="251">
        <v>7</v>
      </c>
      <c r="D17" s="480">
        <f t="shared" ref="D17:D19" si="16">IF(G16&lt;I16,F16,D16)</f>
        <v>1.3049516849970557</v>
      </c>
      <c r="E17" s="481">
        <f t="shared" si="3"/>
        <v>1.7594519842513348</v>
      </c>
      <c r="F17" s="480">
        <f t="shared" ref="F17:F19" si="17">IF(G16&lt;I16,H16,J17-L17)</f>
        <v>1.3900966300058881</v>
      </c>
      <c r="G17" s="481">
        <f t="shared" ref="G17" si="18">2*SIN(F17)-F17^2/10</f>
        <v>1.7741995070201422</v>
      </c>
      <c r="H17" s="489">
        <f t="shared" ref="H17:H19" si="19">IF(G16&lt;I16,D17+L17,F16)</f>
        <v>1.4427190999915878</v>
      </c>
      <c r="I17" s="481">
        <f t="shared" ref="I17" si="20">2*SIN(H17)-H17^2/10</f>
        <v>1.7754747952244816</v>
      </c>
      <c r="J17" s="482">
        <f t="shared" ref="J17:J19" si="21">IF(G16&lt;I16,J16,H16)</f>
        <v>1.5278640450004204</v>
      </c>
      <c r="K17" s="484">
        <f t="shared" si="15"/>
        <v>1.7647202482716493</v>
      </c>
      <c r="L17" s="482">
        <f t="shared" ref="L17:L19" si="22">L16*$L$9</f>
        <v>0.13776741499453221</v>
      </c>
    </row>
    <row r="18" spans="3:12" x14ac:dyDescent="0.3">
      <c r="C18" s="378">
        <v>8</v>
      </c>
      <c r="D18" s="490">
        <f t="shared" si="16"/>
        <v>1.3900966300058881</v>
      </c>
      <c r="E18" s="486">
        <f t="shared" si="3"/>
        <v>1.7741995070201422</v>
      </c>
      <c r="F18" s="488">
        <f t="shared" si="17"/>
        <v>1.4427190999915878</v>
      </c>
      <c r="G18" s="486">
        <f t="shared" ref="G18" si="23">2*SIN(F18)-F18^2/10</f>
        <v>1.7754747952244816</v>
      </c>
      <c r="H18" s="491">
        <f t="shared" si="19"/>
        <v>1.475241575014721</v>
      </c>
      <c r="I18" s="486">
        <f t="shared" ref="I18" si="24">2*SIN(H18)-H18^2/10</f>
        <v>1.7732424643225182</v>
      </c>
      <c r="J18" s="491">
        <f t="shared" si="21"/>
        <v>1.5278640450004204</v>
      </c>
      <c r="K18" s="487">
        <f t="shared" si="15"/>
        <v>1.7647202482716493</v>
      </c>
      <c r="L18" s="491">
        <f t="shared" si="22"/>
        <v>8.5144945008832823E-2</v>
      </c>
    </row>
    <row r="19" spans="3:12" x14ac:dyDescent="0.3">
      <c r="C19" s="492">
        <v>9</v>
      </c>
      <c r="D19" s="493">
        <f t="shared" si="16"/>
        <v>1.3900966300058881</v>
      </c>
      <c r="E19" s="493">
        <f t="shared" si="3"/>
        <v>1.7741995070201422</v>
      </c>
      <c r="F19" s="496">
        <f t="shared" si="17"/>
        <v>1.4226191050290216</v>
      </c>
      <c r="G19" s="496">
        <f t="shared" ref="G19" si="25">2*SIN(F19)-F19^2/10</f>
        <v>1.7756991437102352</v>
      </c>
      <c r="H19" s="527">
        <f t="shared" si="19"/>
        <v>1.4427190999915878</v>
      </c>
      <c r="I19" s="528">
        <f t="shared" ref="I19" si="26">2*SIN(H19)-H19^2/10</f>
        <v>1.7754747952244816</v>
      </c>
      <c r="J19" s="494">
        <f t="shared" si="21"/>
        <v>1.475241575014721</v>
      </c>
      <c r="K19" s="495">
        <f t="shared" si="15"/>
        <v>1.7732424643225182</v>
      </c>
      <c r="L19" s="494">
        <f t="shared" si="22"/>
        <v>5.2622469985699402E-2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18"/>
  <sheetViews>
    <sheetView zoomScale="90" zoomScaleNormal="90" workbookViewId="0">
      <selection activeCell="I14" sqref="I14"/>
    </sheetView>
  </sheetViews>
  <sheetFormatPr baseColWidth="10" defaultRowHeight="14.4" x14ac:dyDescent="0.3"/>
  <sheetData>
    <row r="1" spans="1:16" s="61" customFormat="1" ht="28.8" x14ac:dyDescent="0.55000000000000004">
      <c r="A1" s="610" t="s">
        <v>273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6" x14ac:dyDescent="0.3">
      <c r="A3">
        <v>13.2</v>
      </c>
      <c r="B3" t="s">
        <v>277</v>
      </c>
    </row>
    <row r="6" spans="1:16" x14ac:dyDescent="0.3">
      <c r="B6" s="260" t="s">
        <v>48</v>
      </c>
      <c r="C6" s="260" t="s">
        <v>57</v>
      </c>
      <c r="D6" s="260" t="s">
        <v>278</v>
      </c>
      <c r="E6" s="260" t="s">
        <v>158</v>
      </c>
      <c r="F6" s="260" t="s">
        <v>274</v>
      </c>
      <c r="G6" s="260" t="s">
        <v>159</v>
      </c>
      <c r="H6" s="260" t="s">
        <v>275</v>
      </c>
      <c r="I6" s="260" t="s">
        <v>175</v>
      </c>
      <c r="J6" s="260" t="s">
        <v>276</v>
      </c>
      <c r="K6" s="260" t="s">
        <v>287</v>
      </c>
      <c r="L6" s="260" t="s">
        <v>288</v>
      </c>
      <c r="M6" s="260" t="s">
        <v>286</v>
      </c>
      <c r="N6" s="502" t="s">
        <v>289</v>
      </c>
      <c r="O6" s="508" t="s">
        <v>296</v>
      </c>
      <c r="P6" s="508" t="s">
        <v>297</v>
      </c>
    </row>
    <row r="7" spans="1:16" x14ac:dyDescent="0.3">
      <c r="B7" s="477">
        <v>0</v>
      </c>
      <c r="C7" s="480">
        <v>0</v>
      </c>
      <c r="D7" s="480">
        <f>2*SIN(C7)-C7^2/10</f>
        <v>0</v>
      </c>
      <c r="E7" s="498">
        <v>1</v>
      </c>
      <c r="F7" s="498">
        <f t="shared" ref="F7:J8" si="0">2*SIN(E7)-E7^2/10</f>
        <v>1.5829419696157929</v>
      </c>
      <c r="G7" s="499">
        <v>4</v>
      </c>
      <c r="H7" s="499">
        <f t="shared" si="0"/>
        <v>-3.1136049906158565</v>
      </c>
      <c r="I7" s="497">
        <f>(D7*(E7^2-G7^2)+F7*(G7^2-C7^2)+H7*(C7^2-E7^2))/(2*D7*(E7-G7)+2*F7*(G7-C7)+2*H7*(C7-E7))</f>
        <v>1.5055348739896623</v>
      </c>
      <c r="J7" s="497">
        <f t="shared" si="0"/>
        <v>1.7690789285139574</v>
      </c>
      <c r="K7" s="480">
        <f>J7-D7</f>
        <v>1.7690789285139574</v>
      </c>
      <c r="L7" s="480">
        <f>J7-F7</f>
        <v>0.18613695889816451</v>
      </c>
      <c r="M7" s="480">
        <f>J7-H7</f>
        <v>4.8826839191298141</v>
      </c>
      <c r="N7" s="480">
        <f>MAX(K7,L7,M7)</f>
        <v>4.8826839191298141</v>
      </c>
      <c r="O7" s="509">
        <f>MAX(D7,F7,H7,J7)</f>
        <v>1.7690789285139574</v>
      </c>
    </row>
    <row r="8" spans="1:16" x14ac:dyDescent="0.3">
      <c r="B8" s="477">
        <v>1</v>
      </c>
      <c r="C8" s="480">
        <f>IF(K7&lt;N7,E7,C7)</f>
        <v>1</v>
      </c>
      <c r="D8" s="480">
        <f>2*SIN(C8)-C8^2/10</f>
        <v>1.5829419696157929</v>
      </c>
      <c r="E8" s="480">
        <f>IF(L7&lt;N7,I7,E7)</f>
        <v>1.5055348739896623</v>
      </c>
      <c r="F8" s="504">
        <f>2*SIN(E8)-E8^2/10</f>
        <v>1.7690789285139574</v>
      </c>
      <c r="G8" s="480">
        <f>IF(M7&lt;N7,E7,G7)</f>
        <v>4</v>
      </c>
      <c r="H8" s="480">
        <f t="shared" si="0"/>
        <v>-3.1136049906158565</v>
      </c>
      <c r="I8" s="480">
        <f>(D8*(E8^2-G8^2)+F8*(G8^2-C8^2)+H8*(C8^2-E8^2))/(2*D8*(E8-G8)+2*F8*(G8-C8)+2*H8*(C8-E8))</f>
        <v>1.4902527508500858</v>
      </c>
      <c r="J8" s="504">
        <f t="shared" si="0"/>
        <v>1.77143091252755</v>
      </c>
      <c r="K8" s="480">
        <f>J8-D8</f>
        <v>0.18848894291175711</v>
      </c>
      <c r="L8" s="480">
        <f>J8-F8</f>
        <v>2.3519840135926007E-3</v>
      </c>
      <c r="M8" s="480">
        <f>J8-H8</f>
        <v>4.8850359031434065</v>
      </c>
      <c r="N8" s="480">
        <f>MAX(K8,L8,M8)</f>
        <v>4.8850359031434065</v>
      </c>
    </row>
    <row r="9" spans="1:16" x14ac:dyDescent="0.3">
      <c r="B9" s="477">
        <v>2</v>
      </c>
      <c r="C9" s="480">
        <f>C8</f>
        <v>1</v>
      </c>
      <c r="D9" s="480">
        <f t="shared" ref="D9:D11" si="1">2*SIN(C9)-C9^2/10</f>
        <v>1.5829419696157929</v>
      </c>
      <c r="E9" s="480">
        <f t="shared" ref="E9:E11" si="2">IF(L8&lt;N8,I8,E8)</f>
        <v>1.4902527508500858</v>
      </c>
      <c r="F9" s="480">
        <f t="shared" ref="F9:F11" si="3">2*SIN(E9)-E9^2/10</f>
        <v>1.77143091252755</v>
      </c>
      <c r="G9" s="480">
        <f>E8</f>
        <v>1.5055348739896623</v>
      </c>
      <c r="H9" s="480">
        <f t="shared" ref="H9" si="4">2*SIN(G9)-G9^2/10</f>
        <v>1.7690789285139574</v>
      </c>
      <c r="I9" s="480">
        <f t="shared" ref="I9:I11" si="5">(D9*(E9^2-G9^2)+F9*(G9^2-C9^2)+H9*(C9^2-E9^2))/(2*D9*(E9-G9)+2*F9*(G9-C9)+2*H9*(C9-E9))</f>
        <v>1.4256359542842609</v>
      </c>
      <c r="J9" s="480">
        <f t="shared" ref="J9" si="6">2*SIN(I9)-I9^2/10</f>
        <v>1.7757216536533069</v>
      </c>
      <c r="K9" s="480">
        <f t="shared" ref="K9:K11" si="7">J9-D9</f>
        <v>0.192779684037514</v>
      </c>
      <c r="L9" s="480">
        <f t="shared" ref="L9:L11" si="8">J9-F9</f>
        <v>4.2907411257568917E-3</v>
      </c>
      <c r="M9" s="480">
        <f t="shared" ref="M9:M11" si="9">J9-H9</f>
        <v>6.6427251393494924E-3</v>
      </c>
      <c r="N9" s="480">
        <f t="shared" ref="N9:N11" si="10">MAX(K9,L9,M9)</f>
        <v>0.192779684037514</v>
      </c>
    </row>
    <row r="10" spans="1:16" x14ac:dyDescent="0.3">
      <c r="B10" s="477">
        <v>3</v>
      </c>
      <c r="C10" s="480">
        <f t="shared" ref="C10" si="11">IF(K9&lt;N9,E9,C9)</f>
        <v>1</v>
      </c>
      <c r="D10" s="480">
        <f t="shared" si="1"/>
        <v>1.5829419696157929</v>
      </c>
      <c r="E10" s="480">
        <f t="shared" si="2"/>
        <v>1.4256359542842609</v>
      </c>
      <c r="F10" s="480">
        <f t="shared" si="3"/>
        <v>1.7757216536533069</v>
      </c>
      <c r="G10" s="480">
        <f t="shared" ref="G10" si="12">IF(M9&lt;N9,E9,G9)</f>
        <v>1.4902527508500858</v>
      </c>
      <c r="H10" s="480">
        <f t="shared" ref="H10" si="13">2*SIN(G10)-G10^2/10</f>
        <v>1.77143091252755</v>
      </c>
      <c r="I10" s="480">
        <f t="shared" si="5"/>
        <v>1.4266015225844448</v>
      </c>
      <c r="J10" s="480">
        <f t="shared" ref="J10" si="14">2*SIN(I10)-I10^2/10</f>
        <v>1.7757246691511881</v>
      </c>
      <c r="K10" s="480">
        <f t="shared" si="7"/>
        <v>0.19278269953539517</v>
      </c>
      <c r="L10" s="480">
        <f t="shared" si="8"/>
        <v>3.0154978811758326E-6</v>
      </c>
      <c r="M10" s="480">
        <f t="shared" si="9"/>
        <v>4.2937566236380675E-3</v>
      </c>
      <c r="N10" s="480">
        <f t="shared" si="10"/>
        <v>0.19278269953539517</v>
      </c>
    </row>
    <row r="11" spans="1:16" x14ac:dyDescent="0.3">
      <c r="B11" s="503">
        <v>4</v>
      </c>
      <c r="C11" s="507">
        <f>E10</f>
        <v>1.4256359542842609</v>
      </c>
      <c r="D11" s="507">
        <f t="shared" si="1"/>
        <v>1.7757216536533069</v>
      </c>
      <c r="E11" s="480">
        <f t="shared" si="2"/>
        <v>1.4266015225844448</v>
      </c>
      <c r="F11" s="480">
        <f t="shared" si="3"/>
        <v>1.7757246691511881</v>
      </c>
      <c r="G11" s="480">
        <f>G10</f>
        <v>1.4902527508500858</v>
      </c>
      <c r="H11" s="480">
        <f t="shared" ref="H11" si="15">2*SIN(G11)-G11^2/10</f>
        <v>1.77143091252755</v>
      </c>
      <c r="I11" s="480">
        <f t="shared" si="5"/>
        <v>1.4275483108893277</v>
      </c>
      <c r="J11" s="480">
        <f t="shared" ref="J11" si="16">2*SIN(I11)-I11^2/10</f>
        <v>1.7757256531343095</v>
      </c>
      <c r="K11" s="480">
        <f t="shared" si="7"/>
        <v>3.9994810026033889E-6</v>
      </c>
      <c r="L11" s="480">
        <f t="shared" si="8"/>
        <v>9.8398312142755628E-7</v>
      </c>
      <c r="M11" s="480">
        <f t="shared" si="9"/>
        <v>4.2947406067594951E-3</v>
      </c>
      <c r="N11" s="480">
        <f t="shared" si="10"/>
        <v>4.2947406067594951E-3</v>
      </c>
    </row>
    <row r="13" spans="1:16" x14ac:dyDescent="0.3">
      <c r="B13" s="255"/>
      <c r="C13" s="500"/>
      <c r="D13" s="500"/>
      <c r="E13" s="500"/>
      <c r="F13" s="500"/>
      <c r="G13" s="501"/>
      <c r="H13" s="500"/>
      <c r="I13" s="500"/>
      <c r="J13" s="500"/>
      <c r="K13" s="501"/>
      <c r="L13" s="501"/>
      <c r="M13" s="501"/>
      <c r="N13" s="501"/>
    </row>
    <row r="15" spans="1:16" x14ac:dyDescent="0.3">
      <c r="J15" t="s">
        <v>294</v>
      </c>
      <c r="K15" t="s">
        <v>295</v>
      </c>
    </row>
    <row r="16" spans="1:16" x14ac:dyDescent="0.3">
      <c r="J16" t="s">
        <v>291</v>
      </c>
    </row>
    <row r="17" spans="10:11" x14ac:dyDescent="0.3">
      <c r="J17" t="s">
        <v>292</v>
      </c>
    </row>
    <row r="18" spans="10:11" x14ac:dyDescent="0.3">
      <c r="J18" t="s">
        <v>293</v>
      </c>
      <c r="K18">
        <v>396</v>
      </c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16"/>
  <sheetViews>
    <sheetView workbookViewId="0">
      <selection sqref="A1:XFD1"/>
    </sheetView>
  </sheetViews>
  <sheetFormatPr baseColWidth="10" defaultRowHeight="14.4" x14ac:dyDescent="0.3"/>
  <sheetData>
    <row r="1" spans="1:14" s="61" customFormat="1" ht="28.8" x14ac:dyDescent="0.55000000000000004">
      <c r="A1" s="610" t="s">
        <v>290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A3">
        <v>13.3</v>
      </c>
      <c r="B3" t="s">
        <v>272</v>
      </c>
    </row>
    <row r="10" spans="1:14" x14ac:dyDescent="0.3">
      <c r="C10" s="260" t="s">
        <v>48</v>
      </c>
      <c r="D10" s="260" t="s">
        <v>22</v>
      </c>
      <c r="E10" s="260" t="s">
        <v>269</v>
      </c>
      <c r="F10" s="260" t="s">
        <v>270</v>
      </c>
      <c r="G10" s="260" t="s">
        <v>271</v>
      </c>
    </row>
    <row r="11" spans="1:14" x14ac:dyDescent="0.3">
      <c r="C11" s="251">
        <v>0</v>
      </c>
      <c r="D11" s="505">
        <v>2.5</v>
      </c>
      <c r="E11" s="505">
        <f>2*SIN(D11)-D11^2/10</f>
        <v>0.5719442882079131</v>
      </c>
      <c r="F11" s="505">
        <f>2*COS(D11)-D11/5</f>
        <v>-2.1022872310938672</v>
      </c>
      <c r="G11" s="505">
        <f>-2*SIN(D11)-1/5</f>
        <v>-1.3969442882079131</v>
      </c>
    </row>
    <row r="12" spans="1:14" x14ac:dyDescent="0.3">
      <c r="C12" s="251">
        <v>1</v>
      </c>
      <c r="D12" s="505">
        <f>D11-(2*COS(D11)-D11/5)/(-2*SIN(D11)-1/5)</f>
        <v>0.99508155132599319</v>
      </c>
      <c r="E12" s="505">
        <f>2*SIN(D12)-D12^2/10</f>
        <v>1.5785880072468781</v>
      </c>
      <c r="F12" s="505">
        <f>2*COS(D12)-D12/5</f>
        <v>0.88985266129551743</v>
      </c>
      <c r="G12" s="505">
        <f>-2*SIN(D12)-1/5</f>
        <v>-1.8776067366258125</v>
      </c>
    </row>
    <row r="13" spans="1:14" x14ac:dyDescent="0.3">
      <c r="C13" s="251">
        <v>2</v>
      </c>
      <c r="D13" s="505">
        <f t="shared" ref="D13:D14" si="0">D12-(2*COS(D12)-D12/5)/(-2*SIN(D12)-1/5)</f>
        <v>1.4690107527596457</v>
      </c>
      <c r="E13" s="505">
        <f t="shared" ref="E13:E14" si="1">2*SIN(D13)-D13^2/10</f>
        <v>1.7738493793142234</v>
      </c>
      <c r="F13" s="505">
        <f t="shared" ref="F13:F14" si="2">2*COS(D13)-D13/5</f>
        <v>-9.0582330237717251E-2</v>
      </c>
      <c r="G13" s="505">
        <f t="shared" ref="G13:G14" si="3">-2*SIN(D13)-1/5</f>
        <v>-2.1896486384865694</v>
      </c>
    </row>
    <row r="14" spans="1:14" x14ac:dyDescent="0.3">
      <c r="C14" s="251">
        <v>3</v>
      </c>
      <c r="D14" s="505">
        <f t="shared" si="0"/>
        <v>1.4276423210187772</v>
      </c>
      <c r="E14" s="505">
        <f t="shared" si="1"/>
        <v>1.7757256442136526</v>
      </c>
      <c r="F14" s="505">
        <f t="shared" si="2"/>
        <v>-1.973394672618034E-4</v>
      </c>
      <c r="G14" s="505">
        <f t="shared" si="3"/>
        <v>-2.179541903890041</v>
      </c>
    </row>
    <row r="15" spans="1:14" x14ac:dyDescent="0.3">
      <c r="C15" s="479">
        <v>4</v>
      </c>
      <c r="D15" s="506">
        <f>D14-(2*COS(D14)-D14/5)/(-2*SIN(D14)-1/5)</f>
        <v>1.4275517793013137</v>
      </c>
      <c r="E15" s="506">
        <f>2*SIN(D15)-D15^2/10</f>
        <v>1.7757256531474153</v>
      </c>
      <c r="F15" s="506">
        <f>2*COS(D15)-D15/5</f>
        <v>-1.1697889878981016E-9</v>
      </c>
      <c r="G15" s="506">
        <f>-2*SIN(D15)-1/5</f>
        <v>-2.17951606140605</v>
      </c>
    </row>
    <row r="16" spans="1:14" x14ac:dyDescent="0.3">
      <c r="C16" s="251">
        <v>5</v>
      </c>
      <c r="D16" s="505">
        <f>D15-(2*COS(D15)-D15/5)/(-2*SIN(D15)-1/5)</f>
        <v>1.4275517787645942</v>
      </c>
      <c r="E16" s="505">
        <f>2*SIN(D16)-D16^2/10</f>
        <v>1.7757256531474153</v>
      </c>
      <c r="F16" s="505">
        <f>2*COS(D16)-D16/5</f>
        <v>0</v>
      </c>
      <c r="G16" s="505">
        <f>-2*SIN(D16)-1/5</f>
        <v>-2.1795160612528108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6:Q27"/>
  <sheetViews>
    <sheetView topLeftCell="C8" workbookViewId="0">
      <selection activeCell="R27" sqref="R27"/>
    </sheetView>
  </sheetViews>
  <sheetFormatPr baseColWidth="10" defaultRowHeight="14.4" x14ac:dyDescent="0.3"/>
  <sheetData>
    <row r="6" spans="2:17" x14ac:dyDescent="0.3">
      <c r="B6" s="479" t="s">
        <v>48</v>
      </c>
      <c r="C6" s="479" t="s">
        <v>57</v>
      </c>
      <c r="D6" s="479" t="s">
        <v>158</v>
      </c>
      <c r="E6" s="479" t="s">
        <v>159</v>
      </c>
      <c r="F6" s="529" t="s">
        <v>175</v>
      </c>
      <c r="G6" s="479" t="s">
        <v>278</v>
      </c>
      <c r="H6" s="479" t="s">
        <v>274</v>
      </c>
      <c r="I6" s="479" t="s">
        <v>275</v>
      </c>
      <c r="J6" s="529" t="s">
        <v>276</v>
      </c>
      <c r="K6" s="479" t="s">
        <v>287</v>
      </c>
      <c r="L6" s="479" t="s">
        <v>288</v>
      </c>
      <c r="M6" s="479" t="s">
        <v>286</v>
      </c>
      <c r="N6" s="479" t="s">
        <v>353</v>
      </c>
      <c r="O6" s="479" t="s">
        <v>42</v>
      </c>
      <c r="P6" s="479" t="s">
        <v>355</v>
      </c>
      <c r="Q6" s="479" t="s">
        <v>356</v>
      </c>
    </row>
    <row r="7" spans="2:17" x14ac:dyDescent="0.3">
      <c r="B7" s="530">
        <v>1</v>
      </c>
      <c r="C7" s="530">
        <v>0</v>
      </c>
      <c r="D7" s="530">
        <v>1</v>
      </c>
      <c r="E7" s="530">
        <v>2</v>
      </c>
      <c r="F7" s="541">
        <f t="shared" ref="F7:F14" si="0">(G7*(D7^2-E7^2)+H7*(E7^2-C7^2)+I7*(C7^2-D7^2))/(2*G7*(D7-E7)+2*H7*(E7-C7)+2*I7*(C7-D7))</f>
        <v>0.57024793388429751</v>
      </c>
      <c r="G7" s="530">
        <f t="shared" ref="G7:G14" si="1">-1.5*C7^6-2*C7^4+12*C7</f>
        <v>0</v>
      </c>
      <c r="H7" s="530">
        <f t="shared" ref="H7" si="2">-1.5*D7^6-2*D7^4+12*D7</f>
        <v>8.5</v>
      </c>
      <c r="I7" s="530">
        <f t="shared" ref="I7" si="3">-1.5*E7^6-2*E7^4+12*E7</f>
        <v>-104</v>
      </c>
      <c r="J7" s="541">
        <f t="shared" ref="J7" si="4">-1.5*F7^6-2*F7^4+12*F7</f>
        <v>6.5799085430969813</v>
      </c>
      <c r="K7" s="530">
        <f>J7-G7</f>
        <v>6.5799085430969813</v>
      </c>
      <c r="L7" s="530">
        <f>J7-H7</f>
        <v>-1.9200914569030187</v>
      </c>
      <c r="M7" s="530">
        <f>J7-I7</f>
        <v>110.57990854309698</v>
      </c>
      <c r="N7" s="530">
        <f>MAX(K7:M7)</f>
        <v>110.57990854309698</v>
      </c>
      <c r="O7" s="530">
        <f>ABS(F7-F8)</f>
        <v>0.53081771354200613</v>
      </c>
      <c r="P7" s="530">
        <v>1E-3</v>
      </c>
      <c r="Q7" s="530">
        <f>O7-P7</f>
        <v>0.52981771354200613</v>
      </c>
    </row>
    <row r="8" spans="2:17" x14ac:dyDescent="0.3">
      <c r="B8" s="530">
        <v>2</v>
      </c>
      <c r="C8" s="530">
        <f t="shared" ref="C8:C14" si="5">IF(K7=N7,D7,C7)</f>
        <v>0</v>
      </c>
      <c r="D8" s="530">
        <f>IF(L7=N7,F7,F7)</f>
        <v>0.57024793388429751</v>
      </c>
      <c r="E8" s="530">
        <f>IF(M7=N7,D7,E7)</f>
        <v>1</v>
      </c>
      <c r="F8" s="541">
        <f t="shared" si="0"/>
        <v>1.1010656474263036</v>
      </c>
      <c r="G8" s="530">
        <f t="shared" si="1"/>
        <v>0</v>
      </c>
      <c r="H8" s="530">
        <f t="shared" ref="H8" si="6">-1.5*D8^6-2*D8^4+12*D8</f>
        <v>6.5799085430969813</v>
      </c>
      <c r="I8" s="530">
        <f t="shared" ref="I8" si="7">-1.5*E8^6-2*E8^4+12*E8</f>
        <v>8.5</v>
      </c>
      <c r="J8" s="541">
        <f t="shared" ref="J8" si="8">-1.5*F8^6-2*F8^4+12*F8</f>
        <v>7.600399175441332</v>
      </c>
      <c r="K8" s="530">
        <f>J8-G8</f>
        <v>7.600399175441332</v>
      </c>
      <c r="L8" s="530">
        <f>J8-H8</f>
        <v>1.0204906323443508</v>
      </c>
      <c r="M8" s="530">
        <f>J8-I8</f>
        <v>-0.89960082455866797</v>
      </c>
      <c r="N8" s="530">
        <f>MAX(K8:M8)</f>
        <v>7.600399175441332</v>
      </c>
      <c r="O8" s="530">
        <f t="shared" ref="O8:O14" si="9">ABS(F8-F9)</f>
        <v>0.22724271979971922</v>
      </c>
      <c r="P8" s="530">
        <v>1E-3</v>
      </c>
      <c r="Q8" s="530">
        <f t="shared" ref="Q8:Q14" si="10">O8-P8</f>
        <v>0.22624271979971922</v>
      </c>
    </row>
    <row r="9" spans="2:17" x14ac:dyDescent="0.3">
      <c r="B9" s="530">
        <v>3</v>
      </c>
      <c r="C9" s="530">
        <f t="shared" si="5"/>
        <v>0.57024793388429751</v>
      </c>
      <c r="D9" s="530">
        <f t="shared" ref="D9:D12" si="11">IF(L8=N8,F8,F8)</f>
        <v>1.1010656474263036</v>
      </c>
      <c r="E9" s="530">
        <f t="shared" ref="E9:E12" si="12">IF(M8=N8,D8,E8)</f>
        <v>1</v>
      </c>
      <c r="F9" s="541">
        <f t="shared" si="0"/>
        <v>0.87382292762658442</v>
      </c>
      <c r="G9" s="530">
        <f t="shared" si="1"/>
        <v>6.5799085430969813</v>
      </c>
      <c r="H9" s="530">
        <f t="shared" ref="H9:H13" si="13">-1.5*D9^6-2*D9^4+12*D9</f>
        <v>7.600399175441332</v>
      </c>
      <c r="I9" s="530">
        <f t="shared" ref="I9:I13" si="14">-1.5*E9^6-2*E9^4+12*E9</f>
        <v>8.5</v>
      </c>
      <c r="J9" s="541">
        <f t="shared" ref="J9:J13" si="15">-1.5*F9^6-2*F9^4+12*F9</f>
        <v>8.6520298644657458</v>
      </c>
      <c r="K9" s="530">
        <f t="shared" ref="K9:K12" si="16">J9-G9</f>
        <v>2.0721213213687646</v>
      </c>
      <c r="L9" s="530">
        <f t="shared" ref="L9:L12" si="17">J9-H9</f>
        <v>1.0516306890244138</v>
      </c>
      <c r="M9" s="530">
        <f t="shared" ref="M9:M12" si="18">J9-I9</f>
        <v>0.15202986446574585</v>
      </c>
      <c r="N9" s="530">
        <f t="shared" ref="N9:N12" si="19">MAX(K9:M9)</f>
        <v>2.0721213213687646</v>
      </c>
      <c r="O9" s="530">
        <f t="shared" si="9"/>
        <v>4.5300471832044331E-2</v>
      </c>
      <c r="P9" s="530">
        <v>1E-3</v>
      </c>
      <c r="Q9" s="530">
        <f t="shared" si="10"/>
        <v>4.430047183204433E-2</v>
      </c>
    </row>
    <row r="10" spans="2:17" x14ac:dyDescent="0.3">
      <c r="B10" s="530">
        <v>4</v>
      </c>
      <c r="C10" s="530">
        <f t="shared" si="5"/>
        <v>1.1010656474263036</v>
      </c>
      <c r="D10" s="530">
        <f t="shared" si="11"/>
        <v>0.87382292762658442</v>
      </c>
      <c r="E10" s="530">
        <f t="shared" si="12"/>
        <v>1</v>
      </c>
      <c r="F10" s="541">
        <f t="shared" si="0"/>
        <v>0.91912339945862875</v>
      </c>
      <c r="G10" s="530">
        <f t="shared" si="1"/>
        <v>7.600399175441332</v>
      </c>
      <c r="H10" s="530">
        <f t="shared" si="13"/>
        <v>8.6520298644657458</v>
      </c>
      <c r="I10" s="530">
        <f t="shared" si="14"/>
        <v>8.5</v>
      </c>
      <c r="J10" s="541">
        <f t="shared" si="15"/>
        <v>8.6978027487758727</v>
      </c>
      <c r="K10" s="530">
        <f t="shared" si="16"/>
        <v>1.0974035733345406</v>
      </c>
      <c r="L10" s="530">
        <f t="shared" si="17"/>
        <v>4.5772884310126827E-2</v>
      </c>
      <c r="M10" s="530">
        <f t="shared" si="18"/>
        <v>0.19780274877587267</v>
      </c>
      <c r="N10" s="530">
        <f t="shared" si="19"/>
        <v>1.0974035733345406</v>
      </c>
      <c r="O10" s="530">
        <f t="shared" si="9"/>
        <v>4.2059557593542296E-3</v>
      </c>
      <c r="P10" s="530">
        <v>1E-3</v>
      </c>
      <c r="Q10" s="530">
        <f t="shared" si="10"/>
        <v>3.2059557593542296E-3</v>
      </c>
    </row>
    <row r="11" spans="2:17" x14ac:dyDescent="0.3">
      <c r="B11" s="530">
        <v>5</v>
      </c>
      <c r="C11" s="530">
        <f t="shared" si="5"/>
        <v>0.87382292762658442</v>
      </c>
      <c r="D11" s="530">
        <f t="shared" si="11"/>
        <v>0.91912339945862875</v>
      </c>
      <c r="E11" s="530">
        <f t="shared" si="12"/>
        <v>1</v>
      </c>
      <c r="F11" s="541">
        <f t="shared" si="0"/>
        <v>0.91491744369927452</v>
      </c>
      <c r="G11" s="530">
        <f t="shared" si="1"/>
        <v>8.6520298644657458</v>
      </c>
      <c r="H11" s="530">
        <f t="shared" si="13"/>
        <v>8.6978027487758727</v>
      </c>
      <c r="I11" s="530">
        <f t="shared" si="14"/>
        <v>8.5</v>
      </c>
      <c r="J11" s="541">
        <f t="shared" si="15"/>
        <v>8.6978263348330991</v>
      </c>
      <c r="K11" s="530">
        <f t="shared" si="16"/>
        <v>4.5796470367353237E-2</v>
      </c>
      <c r="L11" s="530">
        <f t="shared" si="17"/>
        <v>2.3586057226410162E-5</v>
      </c>
      <c r="M11" s="530">
        <f t="shared" si="18"/>
        <v>0.19782633483309908</v>
      </c>
      <c r="N11" s="530">
        <f t="shared" si="19"/>
        <v>0.19782633483309908</v>
      </c>
      <c r="O11" s="530">
        <f t="shared" si="9"/>
        <v>1.9895720597705724E-3</v>
      </c>
      <c r="P11" s="530">
        <v>1E-3</v>
      </c>
      <c r="Q11" s="530">
        <f t="shared" si="10"/>
        <v>9.8957205977057237E-4</v>
      </c>
    </row>
    <row r="12" spans="2:17" x14ac:dyDescent="0.3">
      <c r="B12" s="541">
        <v>6</v>
      </c>
      <c r="C12" s="541">
        <f t="shared" si="5"/>
        <v>0.87382292762658442</v>
      </c>
      <c r="D12" s="541">
        <f t="shared" si="11"/>
        <v>0.91491744369927452</v>
      </c>
      <c r="E12" s="541">
        <f t="shared" si="12"/>
        <v>0.91912339945862875</v>
      </c>
      <c r="F12" s="541">
        <f t="shared" si="0"/>
        <v>0.9169070157590451</v>
      </c>
      <c r="G12" s="541">
        <f t="shared" si="1"/>
        <v>8.6520298644657458</v>
      </c>
      <c r="H12" s="541">
        <f t="shared" si="13"/>
        <v>8.6978263348330991</v>
      </c>
      <c r="I12" s="541">
        <f t="shared" si="14"/>
        <v>8.6978027487758727</v>
      </c>
      <c r="J12" s="541">
        <f t="shared" si="15"/>
        <v>8.6979298234727835</v>
      </c>
      <c r="K12" s="541">
        <f t="shared" si="16"/>
        <v>4.5899959007037694E-2</v>
      </c>
      <c r="L12" s="541">
        <f t="shared" si="17"/>
        <v>1.0348863968445698E-4</v>
      </c>
      <c r="M12" s="541">
        <f t="shared" si="18"/>
        <v>1.2707469691086715E-4</v>
      </c>
      <c r="N12" s="541">
        <f t="shared" si="19"/>
        <v>4.5899959007037694E-2</v>
      </c>
      <c r="O12" s="541">
        <f t="shared" si="9"/>
        <v>5.5589689372803619E-6</v>
      </c>
      <c r="P12" s="541">
        <v>1E-3</v>
      </c>
      <c r="Q12" s="541">
        <f t="shared" si="10"/>
        <v>-9.9444103106271966E-4</v>
      </c>
    </row>
    <row r="13" spans="2:17" x14ac:dyDescent="0.3">
      <c r="B13" s="530">
        <v>7</v>
      </c>
      <c r="C13" s="530">
        <f t="shared" si="5"/>
        <v>0.91491744369927452</v>
      </c>
      <c r="D13" s="530">
        <f>IF(L12=N12,F12,F12)</f>
        <v>0.9169070157590451</v>
      </c>
      <c r="E13" s="530">
        <f>IF(M12=N12,D12,E12)</f>
        <v>0.91912339945862875</v>
      </c>
      <c r="F13" s="541">
        <f t="shared" si="0"/>
        <v>0.91691257472798238</v>
      </c>
      <c r="G13" s="530">
        <f t="shared" si="1"/>
        <v>8.6978263348330991</v>
      </c>
      <c r="H13" s="530">
        <f t="shared" si="13"/>
        <v>8.6979298234727835</v>
      </c>
      <c r="I13" s="530">
        <f t="shared" si="14"/>
        <v>8.6978027487758727</v>
      </c>
      <c r="J13" s="541">
        <f t="shared" si="15"/>
        <v>8.6979298250232269</v>
      </c>
      <c r="K13" s="530">
        <f>J13-G13</f>
        <v>1.0349019012778626E-4</v>
      </c>
      <c r="L13" s="530">
        <f>J13-H13</f>
        <v>1.5504433292790054E-9</v>
      </c>
      <c r="M13" s="530">
        <f>J13-I13</f>
        <v>1.2707624735419643E-4</v>
      </c>
      <c r="N13" s="530">
        <f>MAX(K13:M13)</f>
        <v>1.2707624735419643E-4</v>
      </c>
      <c r="O13" s="530">
        <f t="shared" si="9"/>
        <v>2.5968598903469697E-6</v>
      </c>
      <c r="P13" s="530">
        <v>1E-3</v>
      </c>
      <c r="Q13" s="530">
        <f t="shared" si="10"/>
        <v>-9.9740314010965305E-4</v>
      </c>
    </row>
    <row r="14" spans="2:17" x14ac:dyDescent="0.3">
      <c r="B14" s="530">
        <v>8</v>
      </c>
      <c r="C14" s="530">
        <f t="shared" si="5"/>
        <v>0.91491744369927452</v>
      </c>
      <c r="D14" s="530">
        <f t="shared" ref="D14" si="20">IF(L13=N13,F13,F13)</f>
        <v>0.91691257472798238</v>
      </c>
      <c r="E14" s="530">
        <f t="shared" ref="E14" si="21">IF(M13=N13,D13,E13)</f>
        <v>0.9169070157590451</v>
      </c>
      <c r="F14" s="541">
        <f t="shared" si="0"/>
        <v>0.91691517158787272</v>
      </c>
      <c r="G14" s="530">
        <f t="shared" si="1"/>
        <v>8.6978263348330991</v>
      </c>
      <c r="H14" s="530">
        <f t="shared" ref="H14" si="22">-1.5*D14^6-2*D14^4+12*D14</f>
        <v>8.6979298250232269</v>
      </c>
      <c r="I14" s="530">
        <f t="shared" ref="I14" si="23">-1.5*E14^6-2*E14^4+12*E14</f>
        <v>8.6979298234727835</v>
      </c>
      <c r="J14" s="541">
        <f t="shared" ref="J14" si="24">-1.5*F14^6-2*F14^4+12*F14</f>
        <v>8.6979298251970114</v>
      </c>
      <c r="K14" s="530">
        <f t="shared" ref="K14" si="25">J14-G14</f>
        <v>1.0349036391232858E-4</v>
      </c>
      <c r="L14" s="530">
        <f t="shared" ref="L14" si="26">J14-H14</f>
        <v>1.737845423122053E-10</v>
      </c>
      <c r="M14" s="530">
        <f t="shared" ref="M14" si="27">J14-I14</f>
        <v>1.7242278715912107E-9</v>
      </c>
      <c r="N14" s="530">
        <f t="shared" ref="N14" si="28">MAX(K14:M14)</f>
        <v>1.0349036391232858E-4</v>
      </c>
      <c r="O14" s="530">
        <f t="shared" si="9"/>
        <v>0.91691517158787272</v>
      </c>
      <c r="P14" s="530">
        <v>1E-3</v>
      </c>
      <c r="Q14" s="530">
        <f t="shared" si="10"/>
        <v>0.91591517158787272</v>
      </c>
    </row>
    <row r="16" spans="2:17" x14ac:dyDescent="0.3">
      <c r="B16" s="378" t="s">
        <v>48</v>
      </c>
      <c r="C16" s="378" t="s">
        <v>57</v>
      </c>
      <c r="D16" s="378" t="s">
        <v>158</v>
      </c>
      <c r="E16" s="378" t="s">
        <v>159</v>
      </c>
      <c r="F16" s="542" t="s">
        <v>175</v>
      </c>
      <c r="G16" s="378" t="s">
        <v>278</v>
      </c>
      <c r="H16" s="378" t="s">
        <v>274</v>
      </c>
      <c r="I16" s="378" t="s">
        <v>275</v>
      </c>
      <c r="J16" s="542" t="s">
        <v>276</v>
      </c>
      <c r="K16" s="378" t="s">
        <v>287</v>
      </c>
      <c r="L16" s="378" t="s">
        <v>288</v>
      </c>
      <c r="M16" s="378" t="s">
        <v>286</v>
      </c>
      <c r="N16" s="378" t="s">
        <v>353</v>
      </c>
      <c r="O16" s="378" t="s">
        <v>42</v>
      </c>
      <c r="P16" s="378" t="s">
        <v>354</v>
      </c>
      <c r="Q16" s="378" t="s">
        <v>356</v>
      </c>
    </row>
    <row r="17" spans="2:17" x14ac:dyDescent="0.3">
      <c r="B17" s="257">
        <v>1</v>
      </c>
      <c r="C17" s="257">
        <v>0</v>
      </c>
      <c r="D17" s="257">
        <v>1</v>
      </c>
      <c r="E17" s="257">
        <v>4</v>
      </c>
      <c r="F17" s="44">
        <f t="shared" ref="F17:F27" si="29">(G17*(D17^2-E17^2)+H17*(E17^2-C17^2)+I17*(C17^2-D17^2))/(2*G17*(D17-E17)+2*H17*(E17-C17)+2*I17*(C17-D17))</f>
        <v>1.5055348739896623</v>
      </c>
      <c r="G17" s="257">
        <f t="shared" ref="G17:G27" si="30">2*SIN(C17)-C17^2/10</f>
        <v>0</v>
      </c>
      <c r="H17" s="257">
        <f t="shared" ref="H17:H27" si="31">2*SIN(D17)-D17^2/10</f>
        <v>1.5829419696157929</v>
      </c>
      <c r="I17" s="257">
        <f t="shared" ref="I17:I27" si="32">2*SIN(E17)-E17^2/10</f>
        <v>-3.1136049906158565</v>
      </c>
      <c r="J17" s="44">
        <f t="shared" ref="J17:J27" si="33">2*SIN(F17)-F17^2/10</f>
        <v>1.7690789285139574</v>
      </c>
      <c r="K17" s="257">
        <f t="shared" ref="K17:K27" si="34">J17-G17</f>
        <v>1.7690789285139574</v>
      </c>
      <c r="L17" s="257">
        <f t="shared" ref="L17:L27" si="35">J17-H17</f>
        <v>0.18613695889816451</v>
      </c>
      <c r="M17" s="257">
        <f t="shared" ref="M17:M27" si="36">J17-I17</f>
        <v>4.8826839191298141</v>
      </c>
      <c r="N17" s="257">
        <f>MAX(K17:M17)</f>
        <v>4.8826839191298141</v>
      </c>
      <c r="O17" s="257">
        <f t="shared" ref="O17:O27" si="37">ABS(F18-F17)</f>
        <v>2.4597938994519675E-2</v>
      </c>
      <c r="P17" s="257">
        <v>1E-4</v>
      </c>
      <c r="Q17" s="257">
        <f>O17-P17</f>
        <v>2.4497938994519675E-2</v>
      </c>
    </row>
    <row r="18" spans="2:17" x14ac:dyDescent="0.3">
      <c r="B18" s="257">
        <v>2</v>
      </c>
      <c r="C18" s="257">
        <f t="shared" ref="C18:C27" si="38">IF(K17=N17,D17,C17)</f>
        <v>0</v>
      </c>
      <c r="D18" s="257">
        <f t="shared" ref="D18:D27" si="39">IF(L17=N17,F17,F17)</f>
        <v>1.5055348739896623</v>
      </c>
      <c r="E18" s="257">
        <f t="shared" ref="E18:E27" si="40">IF(M17=N17,D17,E17)</f>
        <v>1</v>
      </c>
      <c r="F18" s="44">
        <f t="shared" si="29"/>
        <v>1.4809369349951427</v>
      </c>
      <c r="G18" s="257">
        <f t="shared" si="30"/>
        <v>0</v>
      </c>
      <c r="H18" s="257">
        <f t="shared" si="31"/>
        <v>1.7690789285139574</v>
      </c>
      <c r="I18" s="257">
        <f t="shared" si="32"/>
        <v>1.5829419696157929</v>
      </c>
      <c r="J18" s="44">
        <f t="shared" si="33"/>
        <v>1.7726133011120626</v>
      </c>
      <c r="K18" s="257">
        <f t="shared" si="34"/>
        <v>1.7726133011120626</v>
      </c>
      <c r="L18" s="257">
        <f t="shared" si="35"/>
        <v>3.5343725981051843E-3</v>
      </c>
      <c r="M18" s="257">
        <f t="shared" si="36"/>
        <v>0.18967133149626969</v>
      </c>
      <c r="N18" s="257">
        <f>MAX(K18:M18)</f>
        <v>1.7726133011120626</v>
      </c>
      <c r="O18" s="257">
        <f t="shared" si="37"/>
        <v>5.5200503101161091E-2</v>
      </c>
      <c r="P18" s="257">
        <v>1E-4</v>
      </c>
      <c r="Q18" s="257">
        <f t="shared" ref="Q18:Q27" si="41">O18-P18</f>
        <v>5.5100503101161089E-2</v>
      </c>
    </row>
    <row r="19" spans="2:17" x14ac:dyDescent="0.3">
      <c r="B19" s="257">
        <v>3</v>
      </c>
      <c r="C19" s="257">
        <f t="shared" si="38"/>
        <v>1.5055348739896623</v>
      </c>
      <c r="D19" s="257">
        <f t="shared" si="39"/>
        <v>1.4809369349951427</v>
      </c>
      <c r="E19" s="257">
        <f t="shared" si="40"/>
        <v>1</v>
      </c>
      <c r="F19" s="44">
        <f t="shared" si="29"/>
        <v>1.4257364318939816</v>
      </c>
      <c r="G19" s="257">
        <f t="shared" si="30"/>
        <v>1.7690789285139574</v>
      </c>
      <c r="H19" s="257">
        <f t="shared" si="31"/>
        <v>1.7726133011120626</v>
      </c>
      <c r="I19" s="257">
        <f t="shared" si="32"/>
        <v>1.5829419696157929</v>
      </c>
      <c r="J19" s="44">
        <f t="shared" si="33"/>
        <v>1.775722062152548</v>
      </c>
      <c r="K19" s="257">
        <f t="shared" si="34"/>
        <v>6.6431336385905926E-3</v>
      </c>
      <c r="L19" s="257">
        <f t="shared" si="35"/>
        <v>3.1087610404854082E-3</v>
      </c>
      <c r="M19" s="257">
        <f t="shared" si="36"/>
        <v>0.1927800925367551</v>
      </c>
      <c r="N19" s="257">
        <f t="shared" ref="N19:N21" si="42">MAX(K19:M19)</f>
        <v>0.1927800925367551</v>
      </c>
      <c r="O19" s="257">
        <f t="shared" si="37"/>
        <v>1.8811476239237734E-3</v>
      </c>
      <c r="P19" s="257">
        <v>1E-4</v>
      </c>
      <c r="Q19" s="257">
        <f t="shared" si="41"/>
        <v>1.7811476239237734E-3</v>
      </c>
    </row>
    <row r="20" spans="2:17" x14ac:dyDescent="0.3">
      <c r="B20" s="44">
        <v>4</v>
      </c>
      <c r="C20" s="44">
        <f t="shared" si="38"/>
        <v>1.5055348739896623</v>
      </c>
      <c r="D20" s="44">
        <f t="shared" si="39"/>
        <v>1.4257364318939816</v>
      </c>
      <c r="E20" s="44">
        <f t="shared" si="40"/>
        <v>1.4809369349951427</v>
      </c>
      <c r="F20" s="44">
        <f t="shared" si="29"/>
        <v>1.4276175795179054</v>
      </c>
      <c r="G20" s="44">
        <f t="shared" si="30"/>
        <v>1.7690789285139574</v>
      </c>
      <c r="H20" s="44">
        <f t="shared" si="31"/>
        <v>1.775722062152548</v>
      </c>
      <c r="I20" s="44">
        <f t="shared" si="32"/>
        <v>1.7726133011120626</v>
      </c>
      <c r="J20" s="44">
        <f t="shared" si="33"/>
        <v>1.7757256484290336</v>
      </c>
      <c r="K20" s="44">
        <f t="shared" si="34"/>
        <v>6.6467199150761491E-3</v>
      </c>
      <c r="L20" s="44">
        <f t="shared" si="35"/>
        <v>3.5862764855565388E-6</v>
      </c>
      <c r="M20" s="44">
        <f t="shared" si="36"/>
        <v>3.1123473169709648E-3</v>
      </c>
      <c r="N20" s="44">
        <f t="shared" si="42"/>
        <v>6.6467199150761491E-3</v>
      </c>
      <c r="O20" s="44">
        <f t="shared" si="37"/>
        <v>6.765598783786686E-5</v>
      </c>
      <c r="P20" s="44">
        <v>1E-4</v>
      </c>
      <c r="Q20" s="44">
        <f t="shared" si="41"/>
        <v>-3.2344012162133145E-5</v>
      </c>
    </row>
    <row r="21" spans="2:17" x14ac:dyDescent="0.3">
      <c r="B21" s="257">
        <v>5</v>
      </c>
      <c r="C21" s="257">
        <f t="shared" si="38"/>
        <v>1.4257364318939816</v>
      </c>
      <c r="D21" s="257">
        <f t="shared" si="39"/>
        <v>1.4276175795179054</v>
      </c>
      <c r="E21" s="257">
        <f t="shared" si="40"/>
        <v>1.4809369349951427</v>
      </c>
      <c r="F21" s="44">
        <f t="shared" si="29"/>
        <v>1.4275499235300675</v>
      </c>
      <c r="G21" s="257">
        <f t="shared" si="30"/>
        <v>1.775722062152548</v>
      </c>
      <c r="H21" s="257">
        <f t="shared" si="31"/>
        <v>1.7757256484290336</v>
      </c>
      <c r="I21" s="257">
        <f t="shared" si="32"/>
        <v>1.7726133011120626</v>
      </c>
      <c r="J21" s="44">
        <f t="shared" si="33"/>
        <v>1.7757256531436643</v>
      </c>
      <c r="K21" s="257">
        <f t="shared" si="34"/>
        <v>3.5909911162423924E-6</v>
      </c>
      <c r="L21" s="257">
        <f t="shared" si="35"/>
        <v>4.7146306858536491E-9</v>
      </c>
      <c r="M21" s="257">
        <f t="shared" si="36"/>
        <v>3.1123520316016506E-3</v>
      </c>
      <c r="N21" s="257">
        <f t="shared" si="42"/>
        <v>3.1123520316016506E-3</v>
      </c>
      <c r="O21" s="257">
        <f t="shared" si="37"/>
        <v>1.8539035997466868E-6</v>
      </c>
      <c r="P21" s="257">
        <v>1E-4</v>
      </c>
      <c r="Q21" s="257">
        <f t="shared" si="41"/>
        <v>-9.8146096400253318E-5</v>
      </c>
    </row>
    <row r="22" spans="2:17" x14ac:dyDescent="0.3">
      <c r="B22" s="257">
        <v>6</v>
      </c>
      <c r="C22" s="257">
        <f t="shared" si="38"/>
        <v>1.4257364318939816</v>
      </c>
      <c r="D22" s="257">
        <f t="shared" si="39"/>
        <v>1.4275499235300675</v>
      </c>
      <c r="E22" s="257">
        <f t="shared" si="40"/>
        <v>1.4276175795179054</v>
      </c>
      <c r="F22" s="44">
        <f t="shared" si="29"/>
        <v>1.4275517774336672</v>
      </c>
      <c r="G22" s="257">
        <f t="shared" si="30"/>
        <v>1.775722062152548</v>
      </c>
      <c r="H22" s="257">
        <f t="shared" si="31"/>
        <v>1.7757256531436643</v>
      </c>
      <c r="I22" s="257">
        <f t="shared" si="32"/>
        <v>1.7757256484290336</v>
      </c>
      <c r="J22" s="44">
        <f t="shared" si="33"/>
        <v>1.775725653147415</v>
      </c>
      <c r="K22" s="257">
        <f t="shared" si="34"/>
        <v>3.5909948670198588E-6</v>
      </c>
      <c r="L22" s="257">
        <f t="shared" si="35"/>
        <v>3.7507774663936289E-12</v>
      </c>
      <c r="M22" s="257">
        <f t="shared" si="36"/>
        <v>4.7183814633200427E-9</v>
      </c>
      <c r="N22" s="257">
        <f t="shared" ref="N22:N27" si="43">MAX(K22:M22)</f>
        <v>3.5909948670198588E-6</v>
      </c>
      <c r="O22" s="257">
        <f t="shared" si="37"/>
        <v>2.5377979324670008E-6</v>
      </c>
      <c r="P22" s="257">
        <v>1E-4</v>
      </c>
      <c r="Q22" s="257">
        <f t="shared" si="41"/>
        <v>-9.7462202067533004E-5</v>
      </c>
    </row>
    <row r="23" spans="2:17" x14ac:dyDescent="0.3">
      <c r="B23" s="257">
        <v>7</v>
      </c>
      <c r="C23" s="257">
        <f t="shared" si="38"/>
        <v>1.4275499235300675</v>
      </c>
      <c r="D23" s="257">
        <f t="shared" si="39"/>
        <v>1.4275517774336672</v>
      </c>
      <c r="E23" s="257">
        <f t="shared" si="40"/>
        <v>1.4276175795179054</v>
      </c>
      <c r="F23" s="44">
        <f t="shared" si="29"/>
        <v>1.4275492396357348</v>
      </c>
      <c r="G23" s="257">
        <f t="shared" si="30"/>
        <v>1.7757256531436643</v>
      </c>
      <c r="H23" s="257">
        <f t="shared" si="31"/>
        <v>1.775725653147415</v>
      </c>
      <c r="I23" s="257">
        <f t="shared" si="32"/>
        <v>1.7757256484290336</v>
      </c>
      <c r="J23" s="44">
        <f t="shared" si="33"/>
        <v>1.7757256531403893</v>
      </c>
      <c r="K23" s="257">
        <f t="shared" si="34"/>
        <v>-3.2749358780392868E-12</v>
      </c>
      <c r="L23" s="257">
        <f t="shared" si="35"/>
        <v>-7.0257133444329156E-12</v>
      </c>
      <c r="M23" s="257">
        <f t="shared" si="36"/>
        <v>4.7113557499756098E-9</v>
      </c>
      <c r="N23" s="257">
        <f t="shared" si="43"/>
        <v>4.7113557499756098E-9</v>
      </c>
      <c r="O23" s="257">
        <f t="shared" si="37"/>
        <v>1.0796902760623617E-4</v>
      </c>
      <c r="P23" s="257">
        <v>1E-4</v>
      </c>
      <c r="Q23" s="257">
        <f t="shared" si="41"/>
        <v>7.9690276062361628E-6</v>
      </c>
    </row>
    <row r="24" spans="2:17" x14ac:dyDescent="0.3">
      <c r="B24" s="257">
        <v>8</v>
      </c>
      <c r="C24" s="257">
        <f t="shared" si="38"/>
        <v>1.4275499235300675</v>
      </c>
      <c r="D24" s="257">
        <f t="shared" si="39"/>
        <v>1.4275492396357348</v>
      </c>
      <c r="E24" s="257">
        <f t="shared" si="40"/>
        <v>1.4275517774336672</v>
      </c>
      <c r="F24" s="44">
        <f t="shared" si="29"/>
        <v>1.4274412706081285</v>
      </c>
      <c r="G24" s="257">
        <f t="shared" si="30"/>
        <v>1.7757256531436643</v>
      </c>
      <c r="H24" s="257">
        <f t="shared" si="31"/>
        <v>1.7757256531403893</v>
      </c>
      <c r="I24" s="257">
        <f t="shared" si="32"/>
        <v>1.775725653147415</v>
      </c>
      <c r="J24" s="44">
        <f t="shared" si="33"/>
        <v>1.7757256398392969</v>
      </c>
      <c r="K24" s="257">
        <f t="shared" si="34"/>
        <v>-1.330436738555818E-8</v>
      </c>
      <c r="L24" s="257">
        <f t="shared" si="35"/>
        <v>-1.3301092449680141E-8</v>
      </c>
      <c r="M24" s="257">
        <f t="shared" si="36"/>
        <v>-1.3308118163024574E-8</v>
      </c>
      <c r="N24" s="257">
        <f t="shared" si="43"/>
        <v>-1.3301092449680141E-8</v>
      </c>
      <c r="O24" s="257">
        <f t="shared" si="37"/>
        <v>1.1109864890790355E-4</v>
      </c>
      <c r="P24" s="257">
        <v>1E-4</v>
      </c>
      <c r="Q24" s="257">
        <f t="shared" si="41"/>
        <v>1.1098648907903547E-5</v>
      </c>
    </row>
    <row r="25" spans="2:17" x14ac:dyDescent="0.3">
      <c r="B25" s="257">
        <v>9</v>
      </c>
      <c r="C25" s="257">
        <f t="shared" si="38"/>
        <v>1.4275499235300675</v>
      </c>
      <c r="D25" s="257">
        <f t="shared" si="39"/>
        <v>1.4274412706081285</v>
      </c>
      <c r="E25" s="257">
        <f t="shared" si="40"/>
        <v>1.4275517774336672</v>
      </c>
      <c r="F25" s="44">
        <f t="shared" si="29"/>
        <v>1.4275523692570364</v>
      </c>
      <c r="G25" s="257">
        <f t="shared" si="30"/>
        <v>1.7757256531436643</v>
      </c>
      <c r="H25" s="257">
        <f t="shared" si="31"/>
        <v>1.7757256398392969</v>
      </c>
      <c r="I25" s="257">
        <f t="shared" si="32"/>
        <v>1.775725653147415</v>
      </c>
      <c r="J25" s="44">
        <f t="shared" si="33"/>
        <v>1.7757256531470351</v>
      </c>
      <c r="K25" s="257">
        <f t="shared" si="34"/>
        <v>3.3708591473669003E-12</v>
      </c>
      <c r="L25" s="257">
        <f t="shared" si="35"/>
        <v>1.3307738244705547E-8</v>
      </c>
      <c r="M25" s="257">
        <f t="shared" si="36"/>
        <v>-3.7991831902672857E-13</v>
      </c>
      <c r="N25" s="257">
        <f t="shared" si="43"/>
        <v>1.3307738244705547E-8</v>
      </c>
      <c r="O25" s="257">
        <f t="shared" si="37"/>
        <v>3.1553340808532226E-4</v>
      </c>
      <c r="P25" s="257">
        <v>1E-4</v>
      </c>
      <c r="Q25" s="257">
        <f t="shared" si="41"/>
        <v>2.1553340808532227E-4</v>
      </c>
    </row>
    <row r="26" spans="2:17" x14ac:dyDescent="0.3">
      <c r="B26" s="257">
        <v>10</v>
      </c>
      <c r="C26" s="257">
        <f t="shared" si="38"/>
        <v>1.4275499235300675</v>
      </c>
      <c r="D26" s="257">
        <f t="shared" si="39"/>
        <v>1.4275523692570364</v>
      </c>
      <c r="E26" s="257">
        <f t="shared" si="40"/>
        <v>1.4275517774336672</v>
      </c>
      <c r="F26" s="44">
        <f t="shared" si="29"/>
        <v>1.4278679026651218</v>
      </c>
      <c r="G26" s="257">
        <f t="shared" si="30"/>
        <v>1.7757256531436643</v>
      </c>
      <c r="H26" s="257">
        <f t="shared" si="31"/>
        <v>1.7757256531470351</v>
      </c>
      <c r="I26" s="257">
        <f t="shared" si="32"/>
        <v>1.775725653147415</v>
      </c>
      <c r="J26" s="44">
        <f t="shared" si="33"/>
        <v>1.7757255442416844</v>
      </c>
      <c r="K26" s="257">
        <f t="shared" si="34"/>
        <v>-1.0890197987833972E-7</v>
      </c>
      <c r="L26" s="257">
        <f t="shared" si="35"/>
        <v>-1.0890535073748708E-7</v>
      </c>
      <c r="M26" s="257">
        <f t="shared" si="36"/>
        <v>-1.0890573065580611E-7</v>
      </c>
      <c r="N26" s="257">
        <f t="shared" si="43"/>
        <v>-1.0890197987833972E-7</v>
      </c>
      <c r="O26" s="257">
        <f t="shared" si="37"/>
        <v>3.1559936496639018E-4</v>
      </c>
      <c r="P26" s="257">
        <v>1E-4</v>
      </c>
      <c r="Q26" s="257">
        <f t="shared" si="41"/>
        <v>2.1559936496639019E-4</v>
      </c>
    </row>
    <row r="27" spans="2:17" x14ac:dyDescent="0.3">
      <c r="B27" s="257">
        <v>11</v>
      </c>
      <c r="C27" s="257">
        <f t="shared" si="38"/>
        <v>1.4275523692570364</v>
      </c>
      <c r="D27" s="257">
        <f t="shared" si="39"/>
        <v>1.4278679026651218</v>
      </c>
      <c r="E27" s="257">
        <f t="shared" si="40"/>
        <v>1.4275517774336672</v>
      </c>
      <c r="F27" s="44">
        <f t="shared" si="29"/>
        <v>1.4275523033001554</v>
      </c>
      <c r="G27" s="257">
        <f t="shared" si="30"/>
        <v>1.7757256531470351</v>
      </c>
      <c r="H27" s="257">
        <f t="shared" si="31"/>
        <v>1.7757255442416844</v>
      </c>
      <c r="I27" s="257">
        <f t="shared" si="32"/>
        <v>1.775725653147415</v>
      </c>
      <c r="J27" s="44">
        <f t="shared" si="33"/>
        <v>1.7757256531471153</v>
      </c>
      <c r="K27" s="257">
        <f t="shared" si="34"/>
        <v>8.0158102377936302E-14</v>
      </c>
      <c r="L27" s="257">
        <f t="shared" si="35"/>
        <v>1.0890543089558946E-7</v>
      </c>
      <c r="M27" s="257">
        <f t="shared" si="36"/>
        <v>-2.9976021664879227E-13</v>
      </c>
      <c r="N27" s="257">
        <f t="shared" si="43"/>
        <v>1.0890543089558946E-7</v>
      </c>
      <c r="O27" s="257">
        <f t="shared" si="37"/>
        <v>1.4275523033001554</v>
      </c>
      <c r="P27" s="257">
        <v>1E-4</v>
      </c>
      <c r="Q27" s="257">
        <f t="shared" si="41"/>
        <v>1.4274523033001554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215"/>
  <sheetViews>
    <sheetView topLeftCell="A103" workbookViewId="0">
      <selection activeCell="J114" sqref="J114"/>
    </sheetView>
  </sheetViews>
  <sheetFormatPr baseColWidth="10" defaultRowHeight="14.4" x14ac:dyDescent="0.3"/>
  <cols>
    <col min="5" max="5" width="11.44140625" customWidth="1"/>
  </cols>
  <sheetData>
    <row r="1" spans="1:14" s="61" customFormat="1" ht="28.8" x14ac:dyDescent="0.55000000000000004">
      <c r="A1" s="610" t="s">
        <v>357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s="545" customFormat="1" x14ac:dyDescent="0.3">
      <c r="A3" s="544">
        <v>13.1</v>
      </c>
      <c r="B3" s="545" t="s">
        <v>358</v>
      </c>
    </row>
    <row r="6" spans="1:14" x14ac:dyDescent="0.3">
      <c r="B6" s="476" t="s">
        <v>359</v>
      </c>
      <c r="C6" s="476"/>
      <c r="D6" s="476"/>
      <c r="E6" s="476"/>
      <c r="F6" s="476"/>
      <c r="G6" s="476"/>
      <c r="H6" s="476"/>
      <c r="I6" s="476"/>
      <c r="J6" s="476"/>
      <c r="K6" s="476"/>
    </row>
    <row r="8" spans="1:14" x14ac:dyDescent="0.3">
      <c r="E8" s="545"/>
    </row>
    <row r="9" spans="1:14" x14ac:dyDescent="0.3">
      <c r="E9" s="545"/>
    </row>
    <row r="10" spans="1:14" x14ac:dyDescent="0.3">
      <c r="E10" s="545"/>
    </row>
    <row r="11" spans="1:14" x14ac:dyDescent="0.3">
      <c r="E11" s="545"/>
    </row>
    <row r="12" spans="1:14" x14ac:dyDescent="0.3">
      <c r="E12" s="452"/>
    </row>
    <row r="14" spans="1:14" x14ac:dyDescent="0.3">
      <c r="D14" s="96" t="s">
        <v>361</v>
      </c>
    </row>
    <row r="16" spans="1:14" x14ac:dyDescent="0.3">
      <c r="B16" s="476" t="s">
        <v>360</v>
      </c>
      <c r="C16" s="476"/>
      <c r="D16" s="476"/>
      <c r="E16" s="476"/>
      <c r="F16" s="476"/>
      <c r="G16" s="476"/>
      <c r="H16" s="476"/>
      <c r="I16" s="476"/>
      <c r="J16" s="476"/>
      <c r="K16" s="476"/>
    </row>
    <row r="18" spans="1:17" x14ac:dyDescent="0.3">
      <c r="B18" s="459" t="s">
        <v>57</v>
      </c>
      <c r="C18" s="459" t="s">
        <v>158</v>
      </c>
      <c r="D18" s="459" t="s">
        <v>159</v>
      </c>
      <c r="E18" s="459" t="s">
        <v>175</v>
      </c>
      <c r="F18" s="459" t="s">
        <v>278</v>
      </c>
      <c r="G18" s="459" t="s">
        <v>274</v>
      </c>
      <c r="H18" s="459" t="s">
        <v>275</v>
      </c>
      <c r="I18" s="459" t="s">
        <v>276</v>
      </c>
      <c r="J18" s="459" t="s">
        <v>287</v>
      </c>
      <c r="K18" s="459" t="s">
        <v>288</v>
      </c>
      <c r="L18" s="459" t="s">
        <v>286</v>
      </c>
      <c r="M18" s="459" t="s">
        <v>353</v>
      </c>
      <c r="N18" s="532"/>
      <c r="O18" s="532"/>
      <c r="P18" s="532"/>
    </row>
    <row r="19" spans="1:17" x14ac:dyDescent="0.3">
      <c r="B19" s="257">
        <v>0</v>
      </c>
      <c r="C19" s="257">
        <v>1</v>
      </c>
      <c r="D19" s="257">
        <v>6</v>
      </c>
      <c r="E19" s="531">
        <f t="shared" ref="E19:E20" si="0">(F19*(C19^2-D19^2)+G19*(D19^2-B19^2)+H19*(B19^2-C19^2))/(2*F19*(C19-D19)+2*G19*(D19-B19)+2*H19*(B19-C19))</f>
        <v>4</v>
      </c>
      <c r="F19" s="257">
        <f t="shared" ref="F19:G19" si="1">8*B19-(B19)^2-12</f>
        <v>-12</v>
      </c>
      <c r="G19" s="257">
        <f t="shared" si="1"/>
        <v>-5</v>
      </c>
      <c r="H19" s="257">
        <f>8*D19-(D19)^2-12</f>
        <v>0</v>
      </c>
      <c r="I19" s="531">
        <f>8*E19-(E19)^2-12</f>
        <v>4</v>
      </c>
      <c r="J19" s="257">
        <f>I19-F19</f>
        <v>16</v>
      </c>
      <c r="K19" s="257">
        <f>I19-G19</f>
        <v>9</v>
      </c>
      <c r="L19" s="257">
        <f>I19-H19</f>
        <v>4</v>
      </c>
      <c r="M19" s="257">
        <f>MAX(J19:L19)</f>
        <v>16</v>
      </c>
      <c r="N19" s="533"/>
      <c r="O19" s="533"/>
      <c r="P19" s="533"/>
    </row>
    <row r="20" spans="1:17" x14ac:dyDescent="0.3">
      <c r="B20" s="257">
        <f t="shared" ref="B20" si="2">IF(J19=M19,C19,B19)</f>
        <v>1</v>
      </c>
      <c r="C20" s="257">
        <f>IF(K19=M19,E19,E19)</f>
        <v>4</v>
      </c>
      <c r="D20" s="257">
        <f>IF(L19=M19,C19,D19)</f>
        <v>6</v>
      </c>
      <c r="E20" s="257">
        <f t="shared" si="0"/>
        <v>4</v>
      </c>
      <c r="F20" s="257">
        <f t="shared" ref="F20" si="3">8*B20-(B20)^2-12</f>
        <v>-5</v>
      </c>
      <c r="G20" s="257">
        <f t="shared" ref="G20" si="4">8*C20-(C20)^2-12</f>
        <v>4</v>
      </c>
      <c r="H20" s="257">
        <f>8*D20-(D20)^2-12</f>
        <v>0</v>
      </c>
      <c r="I20" s="257">
        <f>8*E20-(E20)^2-12</f>
        <v>4</v>
      </c>
      <c r="J20" s="257">
        <f>I20-F20</f>
        <v>9</v>
      </c>
      <c r="K20" s="257">
        <f>I20-G20</f>
        <v>0</v>
      </c>
      <c r="L20" s="257">
        <f>I20-H20</f>
        <v>4</v>
      </c>
      <c r="M20" s="257">
        <f>MAX(J20:L20)</f>
        <v>9</v>
      </c>
      <c r="N20" s="533"/>
      <c r="O20" s="533"/>
      <c r="P20" s="533"/>
    </row>
    <row r="22" spans="1:17" s="545" customFormat="1" x14ac:dyDescent="0.3">
      <c r="A22" s="544">
        <v>13.2</v>
      </c>
      <c r="B22" s="545" t="s">
        <v>362</v>
      </c>
    </row>
    <row r="23" spans="1:17" x14ac:dyDescent="0.3">
      <c r="G23" s="543" t="s">
        <v>22</v>
      </c>
      <c r="H23" s="543" t="s">
        <v>269</v>
      </c>
    </row>
    <row r="24" spans="1:17" x14ac:dyDescent="0.3">
      <c r="G24" s="548">
        <v>-2</v>
      </c>
      <c r="H24" s="548">
        <f>12*G24-1.5*G24^6-2*G24^4</f>
        <v>-152</v>
      </c>
    </row>
    <row r="25" spans="1:17" x14ac:dyDescent="0.3">
      <c r="B25" s="476" t="s">
        <v>348</v>
      </c>
      <c r="C25" s="476"/>
      <c r="G25" s="548">
        <v>-1.8</v>
      </c>
      <c r="H25" s="548">
        <f t="shared" ref="H25:H44" si="5">-1.5*G25^6-2*G25^4+12*G25</f>
        <v>-93.613536000000011</v>
      </c>
      <c r="J25" s="476" t="s">
        <v>349</v>
      </c>
      <c r="K25" s="476"/>
      <c r="L25" s="476"/>
      <c r="M25" s="476"/>
      <c r="N25" s="476"/>
      <c r="O25" s="476"/>
      <c r="P25" s="476"/>
      <c r="Q25" s="476"/>
    </row>
    <row r="26" spans="1:17" x14ac:dyDescent="0.3">
      <c r="G26" s="548">
        <v>-1.6</v>
      </c>
      <c r="H26" s="548">
        <f t="shared" si="5"/>
        <v>-57.473024000000024</v>
      </c>
    </row>
    <row r="27" spans="1:17" x14ac:dyDescent="0.3">
      <c r="G27" s="548">
        <v>-1.4</v>
      </c>
      <c r="H27" s="548">
        <f t="shared" si="5"/>
        <v>-35.777503999999993</v>
      </c>
    </row>
    <row r="28" spans="1:17" x14ac:dyDescent="0.3">
      <c r="G28" s="548">
        <v>-1.2</v>
      </c>
      <c r="H28" s="548">
        <f t="shared" si="5"/>
        <v>-23.026176</v>
      </c>
    </row>
    <row r="29" spans="1:17" x14ac:dyDescent="0.3">
      <c r="G29" s="548">
        <v>-1</v>
      </c>
      <c r="H29" s="548">
        <f t="shared" si="5"/>
        <v>-15.5</v>
      </c>
    </row>
    <row r="30" spans="1:17" x14ac:dyDescent="0.3">
      <c r="G30" s="548">
        <v>-0.8</v>
      </c>
      <c r="H30" s="548">
        <f t="shared" si="5"/>
        <v>-10.812416000000002</v>
      </c>
    </row>
    <row r="31" spans="1:17" x14ac:dyDescent="0.3">
      <c r="G31" s="548">
        <v>-0.6</v>
      </c>
      <c r="H31" s="548">
        <f t="shared" si="5"/>
        <v>-7.529183999999999</v>
      </c>
    </row>
    <row r="32" spans="1:17" x14ac:dyDescent="0.3">
      <c r="G32" s="548">
        <v>-0.4</v>
      </c>
      <c r="H32" s="548">
        <f t="shared" si="5"/>
        <v>-4.8573440000000003</v>
      </c>
      <c r="L32" s="96" t="s">
        <v>365</v>
      </c>
      <c r="M32" s="96"/>
    </row>
    <row r="33" spans="2:12" x14ac:dyDescent="0.3">
      <c r="G33" s="548">
        <v>-0.2</v>
      </c>
      <c r="H33" s="548">
        <f t="shared" si="5"/>
        <v>-2.4032960000000005</v>
      </c>
      <c r="J33" s="96" t="s">
        <v>363</v>
      </c>
      <c r="K33" s="96" t="s">
        <v>364</v>
      </c>
    </row>
    <row r="34" spans="2:12" x14ac:dyDescent="0.3">
      <c r="G34" s="548">
        <v>0</v>
      </c>
      <c r="H34" s="548">
        <f t="shared" si="5"/>
        <v>0</v>
      </c>
    </row>
    <row r="35" spans="2:12" x14ac:dyDescent="0.3">
      <c r="G35" s="548">
        <v>0.2</v>
      </c>
      <c r="H35" s="548">
        <f t="shared" si="5"/>
        <v>2.3967040000000002</v>
      </c>
    </row>
    <row r="36" spans="2:12" x14ac:dyDescent="0.3">
      <c r="G36" s="548">
        <v>0.4</v>
      </c>
      <c r="H36" s="548">
        <f t="shared" si="5"/>
        <v>4.7426560000000011</v>
      </c>
    </row>
    <row r="37" spans="2:12" x14ac:dyDescent="0.3">
      <c r="G37" s="548">
        <v>0.6</v>
      </c>
      <c r="H37" s="548">
        <f t="shared" si="5"/>
        <v>6.8708159999999996</v>
      </c>
    </row>
    <row r="38" spans="2:12" x14ac:dyDescent="0.3">
      <c r="G38" s="548">
        <v>0.8</v>
      </c>
      <c r="H38" s="548">
        <f t="shared" si="5"/>
        <v>8.3875840000000004</v>
      </c>
    </row>
    <row r="39" spans="2:12" x14ac:dyDescent="0.3">
      <c r="G39" s="548">
        <v>1</v>
      </c>
      <c r="H39" s="548">
        <f t="shared" si="5"/>
        <v>8.5</v>
      </c>
    </row>
    <row r="40" spans="2:12" x14ac:dyDescent="0.3">
      <c r="G40" s="548">
        <v>1.2</v>
      </c>
      <c r="H40" s="548">
        <f t="shared" si="5"/>
        <v>5.7738239999999994</v>
      </c>
    </row>
    <row r="41" spans="2:12" x14ac:dyDescent="0.3">
      <c r="G41" s="548">
        <v>1.4</v>
      </c>
      <c r="H41" s="548">
        <f t="shared" si="5"/>
        <v>-2.1775039999999954</v>
      </c>
    </row>
    <row r="42" spans="2:12" x14ac:dyDescent="0.3">
      <c r="G42" s="548">
        <v>1.6</v>
      </c>
      <c r="H42" s="548">
        <f t="shared" si="5"/>
        <v>-19.073024000000018</v>
      </c>
    </row>
    <row r="43" spans="2:12" x14ac:dyDescent="0.3">
      <c r="G43" s="548">
        <v>1.8</v>
      </c>
      <c r="H43" s="548">
        <f t="shared" si="5"/>
        <v>-50.413536000000015</v>
      </c>
    </row>
    <row r="44" spans="2:12" x14ac:dyDescent="0.3">
      <c r="G44" s="548">
        <v>2</v>
      </c>
      <c r="H44" s="548">
        <f t="shared" si="5"/>
        <v>-104</v>
      </c>
    </row>
    <row r="46" spans="2:12" x14ac:dyDescent="0.3">
      <c r="B46" s="476" t="s">
        <v>350</v>
      </c>
      <c r="C46" s="476"/>
      <c r="D46" s="476"/>
      <c r="E46" s="476"/>
      <c r="F46" s="476"/>
      <c r="G46" s="476"/>
      <c r="H46" s="476"/>
      <c r="I46" s="476"/>
      <c r="J46" s="476"/>
      <c r="K46" s="476"/>
      <c r="L46" s="476"/>
    </row>
    <row r="50" spans="1:11" ht="15" thickBot="1" x14ac:dyDescent="0.35"/>
    <row r="51" spans="1:11" ht="15" thickBot="1" x14ac:dyDescent="0.35">
      <c r="B51" s="172" t="s">
        <v>56</v>
      </c>
      <c r="C51" s="173" t="s">
        <v>30</v>
      </c>
      <c r="D51" s="174" t="s">
        <v>63</v>
      </c>
      <c r="E51" s="173" t="s">
        <v>59</v>
      </c>
      <c r="F51" s="173" t="s">
        <v>366</v>
      </c>
    </row>
    <row r="52" spans="1:11" x14ac:dyDescent="0.3">
      <c r="B52" s="150">
        <v>0</v>
      </c>
      <c r="C52" s="549">
        <v>0.5</v>
      </c>
      <c r="D52" s="152">
        <f>-1.5*(C52)^6-2*(C52)^4+12*C52</f>
        <v>5.8515625</v>
      </c>
      <c r="E52" s="151">
        <f>-9*(C52)^5-8*(C52)^3+12</f>
        <v>10.71875</v>
      </c>
      <c r="F52" s="151">
        <f>D52/E52</f>
        <v>0.54591836734693877</v>
      </c>
      <c r="G52" s="452"/>
    </row>
    <row r="53" spans="1:11" x14ac:dyDescent="0.3">
      <c r="B53" s="154">
        <v>1</v>
      </c>
      <c r="C53" s="550">
        <f>C52-(D52/E52)</f>
        <v>-4.5918367346938771E-2</v>
      </c>
      <c r="D53" s="152">
        <f>-1.5*(C53)^6-2*(C53)^4+12*C53</f>
        <v>-0.55102931373870268</v>
      </c>
      <c r="E53" s="151">
        <f>-9*(C53)^5-8*(C53)^3+12</f>
        <v>12.00077638699719</v>
      </c>
      <c r="F53" s="151">
        <f t="shared" ref="F53:F55" si="6">D53/E53</f>
        <v>-4.5916138753801086E-2</v>
      </c>
      <c r="G53" s="256"/>
    </row>
    <row r="54" spans="1:11" x14ac:dyDescent="0.3">
      <c r="B54" s="551">
        <v>2</v>
      </c>
      <c r="C54" s="552">
        <f t="shared" ref="C54:C55" si="7">C53-(D53/E53)</f>
        <v>-2.2285931376847534E-6</v>
      </c>
      <c r="D54" s="553">
        <f>-1.5*(C54)^6-2*(C54)^4+12*C54</f>
        <v>-2.6743117652217041E-5</v>
      </c>
      <c r="E54" s="554">
        <f>-9*(C54)^5-8*(C54)^3+12</f>
        <v>12</v>
      </c>
      <c r="F54" s="554">
        <f t="shared" si="6"/>
        <v>-2.2285931376847534E-6</v>
      </c>
      <c r="G54" s="256"/>
    </row>
    <row r="55" spans="1:11" x14ac:dyDescent="0.3">
      <c r="B55" s="154">
        <v>3</v>
      </c>
      <c r="C55" s="550">
        <f t="shared" si="7"/>
        <v>0</v>
      </c>
      <c r="D55" s="152">
        <f>-1.5*(C55)^6-2*(C55)^4+12*C55</f>
        <v>0</v>
      </c>
      <c r="E55" s="151">
        <f>-9*(C55)^5-8*(C55)^3+12</f>
        <v>12</v>
      </c>
      <c r="F55" s="151">
        <f t="shared" si="6"/>
        <v>0</v>
      </c>
      <c r="G55" s="256"/>
    </row>
    <row r="56" spans="1:11" x14ac:dyDescent="0.3">
      <c r="G56" s="256"/>
    </row>
    <row r="57" spans="1:11" s="544" customFormat="1" x14ac:dyDescent="0.3">
      <c r="A57" s="544">
        <v>13.3</v>
      </c>
      <c r="B57" s="544" t="s">
        <v>352</v>
      </c>
    </row>
    <row r="59" spans="1:11" x14ac:dyDescent="0.3">
      <c r="K59" s="485">
        <f>(SQRT(5)-1)/2</f>
        <v>0.6180339887498949</v>
      </c>
    </row>
    <row r="60" spans="1:11" x14ac:dyDescent="0.3">
      <c r="B60" s="260" t="s">
        <v>48</v>
      </c>
      <c r="C60" s="260" t="s">
        <v>281</v>
      </c>
      <c r="D60" s="260" t="s">
        <v>282</v>
      </c>
      <c r="E60" s="260" t="s">
        <v>159</v>
      </c>
      <c r="F60" s="260" t="s">
        <v>275</v>
      </c>
      <c r="G60" s="260" t="s">
        <v>158</v>
      </c>
      <c r="H60" s="260" t="s">
        <v>274</v>
      </c>
      <c r="I60" s="260" t="s">
        <v>27</v>
      </c>
      <c r="J60" s="483" t="s">
        <v>283</v>
      </c>
      <c r="K60" s="260" t="s">
        <v>284</v>
      </c>
    </row>
    <row r="61" spans="1:11" x14ac:dyDescent="0.3">
      <c r="B61" s="547">
        <v>1</v>
      </c>
      <c r="C61" s="480">
        <v>0</v>
      </c>
      <c r="D61" s="481">
        <f>-1.5*C61^6-2*C61^4+12*C61</f>
        <v>0</v>
      </c>
      <c r="E61" s="480">
        <f>I61-K61</f>
        <v>0.76393202250021019</v>
      </c>
      <c r="F61" s="481">
        <f>-1.5*E61^6-2*E61^4+12*E61</f>
        <v>8.1878851884782424</v>
      </c>
      <c r="G61" s="480">
        <f>C61+K61</f>
        <v>1.2360679774997898</v>
      </c>
      <c r="H61" s="481">
        <f>-1.5*G61^6-2*G61^4+12*G61</f>
        <v>4.8141820099066237</v>
      </c>
      <c r="I61" s="480">
        <v>2</v>
      </c>
      <c r="J61" s="484">
        <f>-1.5*I61^6-2*I61^4+12*I61</f>
        <v>-104</v>
      </c>
      <c r="K61" s="482">
        <f>(SQRT(5)-1)*(I61-C61)/2</f>
        <v>1.2360679774997898</v>
      </c>
    </row>
    <row r="62" spans="1:11" x14ac:dyDescent="0.3">
      <c r="B62" s="547">
        <v>2</v>
      </c>
      <c r="C62" s="480">
        <f>IF(F61&lt;H61,E61,C61)</f>
        <v>0</v>
      </c>
      <c r="D62" s="481">
        <f t="shared" ref="D62:D81" si="8">-1.5*C62^6-2*C62^4+12*C62</f>
        <v>0</v>
      </c>
      <c r="E62" s="480">
        <f>IF(F61&lt;H61,G61,I62-K62)</f>
        <v>0.47213595499957939</v>
      </c>
      <c r="F62" s="481">
        <f t="shared" ref="F62:F81" si="9">-1.5*E62^6-2*E62^4+12*E62</f>
        <v>5.5496368734260386</v>
      </c>
      <c r="G62" s="482">
        <f>IF(F61&lt;H61,C62+K62,E61)</f>
        <v>0.76393202250021019</v>
      </c>
      <c r="H62" s="481">
        <f t="shared" ref="H62:H81" si="10">-1.5*G62^6-2*G62^4+12*G62</f>
        <v>8.1878851884782424</v>
      </c>
      <c r="I62" s="482">
        <f>IF(F61&lt;H61,I61,G61)</f>
        <v>1.2360679774997898</v>
      </c>
      <c r="J62" s="484">
        <f t="shared" ref="J62:J81" si="11">-1.5*I62^6-2*I62^4+12*I62</f>
        <v>4.8141820099066237</v>
      </c>
      <c r="K62" s="482">
        <f>K61*$K$59</f>
        <v>0.76393202250021042</v>
      </c>
    </row>
    <row r="63" spans="1:11" x14ac:dyDescent="0.3">
      <c r="B63" s="479">
        <v>3</v>
      </c>
      <c r="C63" s="580">
        <f>IF(F62&lt;H62,E62,C62)</f>
        <v>0.47213595499957939</v>
      </c>
      <c r="D63" s="581">
        <f t="shared" si="8"/>
        <v>5.5496368734260386</v>
      </c>
      <c r="E63" s="580">
        <f>IF(F62&lt;H62,G62,I63-K63)</f>
        <v>0.76393202250021019</v>
      </c>
      <c r="F63" s="581">
        <f t="shared" si="9"/>
        <v>8.1878851884782424</v>
      </c>
      <c r="G63" s="582">
        <f>IF(F62&lt;H62,C63+K63,E62)</f>
        <v>0.94427190999915889</v>
      </c>
      <c r="H63" s="581">
        <f t="shared" si="10"/>
        <v>8.6778417228372753</v>
      </c>
      <c r="I63" s="582">
        <f>IF(F62&lt;H62,I62,G62)</f>
        <v>1.2360679774997898</v>
      </c>
      <c r="J63" s="583">
        <f t="shared" si="11"/>
        <v>4.8141820099066237</v>
      </c>
      <c r="K63" s="482">
        <f t="shared" ref="K63:K81" si="12">K62*$K$59</f>
        <v>0.4721359549995795</v>
      </c>
    </row>
    <row r="64" spans="1:11" x14ac:dyDescent="0.3">
      <c r="B64" s="479">
        <v>4</v>
      </c>
      <c r="C64" s="480">
        <f t="shared" ref="C64:C81" si="13">IF(F63&lt;H63,E63,C63)</f>
        <v>0.76393202250021019</v>
      </c>
      <c r="D64" s="481">
        <f t="shared" si="8"/>
        <v>8.1878851884782424</v>
      </c>
      <c r="E64" s="480">
        <f t="shared" ref="E64:E81" si="14">IF(F63&lt;H63,G63,I64-K64)</f>
        <v>0.94427190999915889</v>
      </c>
      <c r="F64" s="481">
        <f t="shared" si="9"/>
        <v>8.6778417228372753</v>
      </c>
      <c r="G64" s="482">
        <f t="shared" ref="G64:G81" si="15">IF(F63&lt;H63,C64+K64,E63)</f>
        <v>1.0557280900008412</v>
      </c>
      <c r="H64" s="481">
        <f t="shared" si="10"/>
        <v>8.1073978073497361</v>
      </c>
      <c r="I64" s="482">
        <f t="shared" ref="I64:I81" si="16">IF(F63&lt;H63,I63,G63)</f>
        <v>1.2360679774997898</v>
      </c>
      <c r="J64" s="484">
        <f t="shared" si="11"/>
        <v>4.8141820099066237</v>
      </c>
      <c r="K64" s="482">
        <f t="shared" si="12"/>
        <v>0.29179606750063103</v>
      </c>
    </row>
    <row r="65" spans="2:11" x14ac:dyDescent="0.3">
      <c r="B65" s="547">
        <v>5</v>
      </c>
      <c r="C65" s="480">
        <f t="shared" si="13"/>
        <v>0.76393202250021019</v>
      </c>
      <c r="D65" s="481">
        <f t="shared" si="8"/>
        <v>8.1878851884782424</v>
      </c>
      <c r="E65" s="480">
        <f t="shared" si="14"/>
        <v>0.87538820250189264</v>
      </c>
      <c r="F65" s="481">
        <f t="shared" si="9"/>
        <v>8.6552262615318298</v>
      </c>
      <c r="G65" s="482">
        <f t="shared" si="15"/>
        <v>0.94427190999915889</v>
      </c>
      <c r="H65" s="481">
        <f t="shared" si="10"/>
        <v>8.6778417228372753</v>
      </c>
      <c r="I65" s="482">
        <f t="shared" si="16"/>
        <v>1.0557280900008412</v>
      </c>
      <c r="J65" s="484">
        <f t="shared" si="11"/>
        <v>8.1073978073497361</v>
      </c>
      <c r="K65" s="482">
        <f t="shared" si="12"/>
        <v>0.18033988749894858</v>
      </c>
    </row>
    <row r="66" spans="2:11" x14ac:dyDescent="0.3">
      <c r="B66" s="479">
        <v>6</v>
      </c>
      <c r="C66" s="480">
        <f t="shared" si="13"/>
        <v>0.87538820250189264</v>
      </c>
      <c r="D66" s="481">
        <f t="shared" si="8"/>
        <v>8.6552262615318298</v>
      </c>
      <c r="E66" s="490">
        <f t="shared" si="14"/>
        <v>0.94427190999915889</v>
      </c>
      <c r="F66" s="481">
        <f t="shared" si="9"/>
        <v>8.6778417228372753</v>
      </c>
      <c r="G66" s="482">
        <f t="shared" si="15"/>
        <v>0.98684438250357509</v>
      </c>
      <c r="H66" s="481">
        <f t="shared" si="10"/>
        <v>8.5598929529496495</v>
      </c>
      <c r="I66" s="482">
        <f t="shared" si="16"/>
        <v>1.0557280900008412</v>
      </c>
      <c r="J66" s="484">
        <f t="shared" si="11"/>
        <v>8.1073978073497361</v>
      </c>
      <c r="K66" s="482">
        <f t="shared" si="12"/>
        <v>0.1114561800016825</v>
      </c>
    </row>
    <row r="67" spans="2:11" x14ac:dyDescent="0.3">
      <c r="B67" s="547">
        <v>7</v>
      </c>
      <c r="C67" s="480">
        <f t="shared" si="13"/>
        <v>0.87538820250189264</v>
      </c>
      <c r="D67" s="481">
        <f t="shared" si="8"/>
        <v>8.6552262615318298</v>
      </c>
      <c r="E67" s="490">
        <f t="shared" si="14"/>
        <v>0.91796067500630896</v>
      </c>
      <c r="F67" s="481">
        <f t="shared" si="9"/>
        <v>8.6979013779006387</v>
      </c>
      <c r="G67" s="491">
        <f t="shared" si="15"/>
        <v>0.94427190999915889</v>
      </c>
      <c r="H67" s="481">
        <f t="shared" si="10"/>
        <v>8.6778417228372753</v>
      </c>
      <c r="I67" s="482">
        <f t="shared" si="16"/>
        <v>0.98684438250357509</v>
      </c>
      <c r="J67" s="484">
        <f t="shared" si="11"/>
        <v>8.5598929529496495</v>
      </c>
      <c r="K67" s="482">
        <f t="shared" si="12"/>
        <v>6.8883707497266106E-2</v>
      </c>
    </row>
    <row r="68" spans="2:11" x14ac:dyDescent="0.3">
      <c r="B68" s="378">
        <v>8</v>
      </c>
      <c r="C68" s="490">
        <f t="shared" si="13"/>
        <v>0.87538820250189264</v>
      </c>
      <c r="D68" s="481">
        <f t="shared" si="8"/>
        <v>8.6552262615318298</v>
      </c>
      <c r="E68" s="490">
        <f t="shared" si="14"/>
        <v>0.90169943749474246</v>
      </c>
      <c r="F68" s="481">
        <f t="shared" si="9"/>
        <v>8.6920182731156341</v>
      </c>
      <c r="G68" s="491">
        <f t="shared" si="15"/>
        <v>0.91796067500630896</v>
      </c>
      <c r="H68" s="481">
        <f t="shared" si="10"/>
        <v>8.6979013779006387</v>
      </c>
      <c r="I68" s="491">
        <f t="shared" si="16"/>
        <v>0.94427190999915889</v>
      </c>
      <c r="J68" s="484">
        <f t="shared" si="11"/>
        <v>8.6778417228372753</v>
      </c>
      <c r="K68" s="482">
        <f t="shared" si="12"/>
        <v>4.2572472504416412E-2</v>
      </c>
    </row>
    <row r="69" spans="2:11" x14ac:dyDescent="0.3">
      <c r="B69" s="378">
        <v>9</v>
      </c>
      <c r="C69" s="490">
        <f t="shared" si="13"/>
        <v>0.90169943749474246</v>
      </c>
      <c r="D69" s="481">
        <f t="shared" si="8"/>
        <v>8.6920182731156341</v>
      </c>
      <c r="E69" s="490">
        <f t="shared" si="14"/>
        <v>0.91796067500630896</v>
      </c>
      <c r="F69" s="481">
        <f t="shared" si="9"/>
        <v>8.6979013779006387</v>
      </c>
      <c r="G69" s="491">
        <f t="shared" si="15"/>
        <v>0.92801067248759217</v>
      </c>
      <c r="H69" s="481">
        <f t="shared" si="10"/>
        <v>8.694687945695021</v>
      </c>
      <c r="I69" s="491">
        <f t="shared" si="16"/>
        <v>0.94427190999915889</v>
      </c>
      <c r="J69" s="484">
        <f t="shared" si="11"/>
        <v>8.6778417228372753</v>
      </c>
      <c r="K69" s="482">
        <f t="shared" si="12"/>
        <v>2.6311234992849701E-2</v>
      </c>
    </row>
    <row r="70" spans="2:11" x14ac:dyDescent="0.3">
      <c r="B70" s="378">
        <v>10</v>
      </c>
      <c r="C70" s="490">
        <f t="shared" si="13"/>
        <v>0.90169943749474246</v>
      </c>
      <c r="D70" s="481">
        <f t="shared" si="8"/>
        <v>8.6920182731156341</v>
      </c>
      <c r="E70" s="490">
        <f t="shared" si="14"/>
        <v>0.91174943497602545</v>
      </c>
      <c r="F70" s="481">
        <f t="shared" si="9"/>
        <v>8.6972404058217592</v>
      </c>
      <c r="G70" s="491">
        <f t="shared" si="15"/>
        <v>0.91796067500630896</v>
      </c>
      <c r="H70" s="481">
        <f t="shared" si="10"/>
        <v>8.6979013779006387</v>
      </c>
      <c r="I70" s="491">
        <f t="shared" si="16"/>
        <v>0.92801067248759217</v>
      </c>
      <c r="J70" s="484">
        <f t="shared" si="11"/>
        <v>8.694687945695021</v>
      </c>
      <c r="K70" s="482">
        <f t="shared" si="12"/>
        <v>1.6261237511566714E-2</v>
      </c>
    </row>
    <row r="71" spans="2:11" x14ac:dyDescent="0.3">
      <c r="B71" s="378">
        <v>11</v>
      </c>
      <c r="C71" s="490">
        <f t="shared" si="13"/>
        <v>0.91174943497602545</v>
      </c>
      <c r="D71" s="481">
        <f t="shared" si="8"/>
        <v>8.6972404058217592</v>
      </c>
      <c r="E71" s="490">
        <f t="shared" si="14"/>
        <v>0.91796067500630896</v>
      </c>
      <c r="F71" s="481">
        <f t="shared" si="9"/>
        <v>8.6979013779006387</v>
      </c>
      <c r="G71" s="491">
        <f t="shared" si="15"/>
        <v>0.92179943245730844</v>
      </c>
      <c r="H71" s="481">
        <f t="shared" si="10"/>
        <v>8.6973061830012259</v>
      </c>
      <c r="I71" s="491">
        <f t="shared" si="16"/>
        <v>0.92801067248759217</v>
      </c>
      <c r="J71" s="484">
        <f t="shared" si="11"/>
        <v>8.694687945695021</v>
      </c>
      <c r="K71" s="482">
        <f t="shared" si="12"/>
        <v>1.0049997481282991E-2</v>
      </c>
    </row>
    <row r="72" spans="2:11" x14ac:dyDescent="0.3">
      <c r="B72" s="378">
        <v>12</v>
      </c>
      <c r="C72" s="490">
        <f t="shared" si="13"/>
        <v>0.91174943497602545</v>
      </c>
      <c r="D72" s="481">
        <f t="shared" si="8"/>
        <v>8.6972404058217592</v>
      </c>
      <c r="E72" s="490">
        <f t="shared" si="14"/>
        <v>0.91558819242702472</v>
      </c>
      <c r="F72" s="481">
        <f t="shared" si="9"/>
        <v>8.6978841275029808</v>
      </c>
      <c r="G72" s="491">
        <f t="shared" si="15"/>
        <v>0.91796067500630896</v>
      </c>
      <c r="H72" s="481">
        <f t="shared" si="10"/>
        <v>8.6979013779006387</v>
      </c>
      <c r="I72" s="491">
        <f t="shared" si="16"/>
        <v>0.92179943245730844</v>
      </c>
      <c r="J72" s="484">
        <f t="shared" si="11"/>
        <v>8.6973061830012259</v>
      </c>
      <c r="K72" s="482">
        <f t="shared" si="12"/>
        <v>6.2112400302837241E-3</v>
      </c>
    </row>
    <row r="73" spans="2:11" x14ac:dyDescent="0.3">
      <c r="B73" s="378">
        <v>13</v>
      </c>
      <c r="C73" s="490">
        <f t="shared" si="13"/>
        <v>0.91558819242702472</v>
      </c>
      <c r="D73" s="481">
        <f t="shared" si="8"/>
        <v>8.6978841275029808</v>
      </c>
      <c r="E73" s="490">
        <f t="shared" si="14"/>
        <v>0.91796067500630896</v>
      </c>
      <c r="F73" s="481">
        <f t="shared" si="9"/>
        <v>8.6979013779006387</v>
      </c>
      <c r="G73" s="491">
        <f t="shared" si="15"/>
        <v>0.91942694987802398</v>
      </c>
      <c r="H73" s="481">
        <f t="shared" si="10"/>
        <v>8.6977653524870302</v>
      </c>
      <c r="I73" s="491">
        <f t="shared" si="16"/>
        <v>0.92179943245730844</v>
      </c>
      <c r="J73" s="484">
        <f t="shared" si="11"/>
        <v>8.6973061830012259</v>
      </c>
      <c r="K73" s="482">
        <f t="shared" si="12"/>
        <v>3.8387574509992682E-3</v>
      </c>
    </row>
    <row r="74" spans="2:11" x14ac:dyDescent="0.3">
      <c r="B74" s="378">
        <v>14</v>
      </c>
      <c r="C74" s="490">
        <f t="shared" si="13"/>
        <v>0.91558819242702472</v>
      </c>
      <c r="D74" s="481">
        <f t="shared" si="8"/>
        <v>8.6978841275029808</v>
      </c>
      <c r="E74" s="490">
        <f t="shared" si="14"/>
        <v>0.91705446729873952</v>
      </c>
      <c r="F74" s="481">
        <f t="shared" si="9"/>
        <v>8.6979293206932731</v>
      </c>
      <c r="G74" s="491">
        <f t="shared" si="15"/>
        <v>0.91796067500630896</v>
      </c>
      <c r="H74" s="481">
        <f t="shared" si="10"/>
        <v>8.6979013779006387</v>
      </c>
      <c r="I74" s="491">
        <f t="shared" si="16"/>
        <v>0.91942694987802398</v>
      </c>
      <c r="J74" s="484">
        <f t="shared" si="11"/>
        <v>8.6977653524870302</v>
      </c>
      <c r="K74" s="482">
        <f t="shared" si="12"/>
        <v>2.3724825792844572E-3</v>
      </c>
    </row>
    <row r="75" spans="2:11" x14ac:dyDescent="0.3">
      <c r="B75" s="378">
        <v>15</v>
      </c>
      <c r="C75" s="490">
        <f t="shared" si="13"/>
        <v>0.91558819242702472</v>
      </c>
      <c r="D75" s="481">
        <f t="shared" si="8"/>
        <v>8.6978841275029808</v>
      </c>
      <c r="E75" s="490">
        <f t="shared" si="14"/>
        <v>0.91649440013459416</v>
      </c>
      <c r="F75" s="481">
        <f t="shared" si="9"/>
        <v>8.6979252257662321</v>
      </c>
      <c r="G75" s="491">
        <f t="shared" si="15"/>
        <v>0.91705446729873952</v>
      </c>
      <c r="H75" s="481">
        <f t="shared" si="10"/>
        <v>8.6979293206932731</v>
      </c>
      <c r="I75" s="491">
        <f t="shared" si="16"/>
        <v>0.91796067500630896</v>
      </c>
      <c r="J75" s="484">
        <f t="shared" si="11"/>
        <v>8.6979013779006387</v>
      </c>
      <c r="K75" s="482">
        <f t="shared" si="12"/>
        <v>1.4662748717148119E-3</v>
      </c>
    </row>
    <row r="76" spans="2:11" x14ac:dyDescent="0.3">
      <c r="B76" s="378">
        <v>16</v>
      </c>
      <c r="C76" s="490">
        <f t="shared" si="13"/>
        <v>0.91649440013459416</v>
      </c>
      <c r="D76" s="481">
        <f t="shared" si="8"/>
        <v>8.6979252257662321</v>
      </c>
      <c r="E76" s="490">
        <f t="shared" si="14"/>
        <v>0.91705446729873952</v>
      </c>
      <c r="F76" s="481">
        <f t="shared" si="9"/>
        <v>8.6979293206932731</v>
      </c>
      <c r="G76" s="491">
        <f t="shared" si="15"/>
        <v>0.91740060784216382</v>
      </c>
      <c r="H76" s="481">
        <f t="shared" si="10"/>
        <v>8.6979236963319639</v>
      </c>
      <c r="I76" s="491">
        <f t="shared" si="16"/>
        <v>0.91796067500630896</v>
      </c>
      <c r="J76" s="484">
        <f t="shared" si="11"/>
        <v>8.6979013779006387</v>
      </c>
      <c r="K76" s="482">
        <f t="shared" si="12"/>
        <v>9.0620770756964569E-4</v>
      </c>
    </row>
    <row r="77" spans="2:11" x14ac:dyDescent="0.3">
      <c r="B77" s="378">
        <v>17</v>
      </c>
      <c r="C77" s="490">
        <f t="shared" si="13"/>
        <v>0.91649440013459416</v>
      </c>
      <c r="D77" s="481">
        <f t="shared" si="8"/>
        <v>8.6979252257662321</v>
      </c>
      <c r="E77" s="490">
        <f t="shared" si="14"/>
        <v>0.91684054067801868</v>
      </c>
      <c r="F77" s="481">
        <f t="shared" si="9"/>
        <v>8.6979296804802964</v>
      </c>
      <c r="G77" s="491">
        <f t="shared" si="15"/>
        <v>0.91705446729873952</v>
      </c>
      <c r="H77" s="481">
        <f t="shared" si="10"/>
        <v>8.6979293206932731</v>
      </c>
      <c r="I77" s="491">
        <f t="shared" si="16"/>
        <v>0.91740060784216382</v>
      </c>
      <c r="J77" s="484">
        <f t="shared" si="11"/>
        <v>8.6979236963319639</v>
      </c>
      <c r="K77" s="482">
        <f t="shared" si="12"/>
        <v>5.6006716414516646E-4</v>
      </c>
    </row>
    <row r="78" spans="2:11" x14ac:dyDescent="0.3">
      <c r="B78" s="378">
        <v>18</v>
      </c>
      <c r="C78" s="490">
        <f t="shared" si="13"/>
        <v>0.91649440013459416</v>
      </c>
      <c r="D78" s="481">
        <f t="shared" si="8"/>
        <v>8.6979252257662321</v>
      </c>
      <c r="E78" s="490">
        <f t="shared" si="14"/>
        <v>0.916708326755315</v>
      </c>
      <c r="F78" s="481">
        <f t="shared" si="9"/>
        <v>8.6979287135010388</v>
      </c>
      <c r="G78" s="491">
        <f t="shared" si="15"/>
        <v>0.91684054067801868</v>
      </c>
      <c r="H78" s="481">
        <f t="shared" si="10"/>
        <v>8.6979296804802964</v>
      </c>
      <c r="I78" s="491">
        <f t="shared" si="16"/>
        <v>0.91705446729873952</v>
      </c>
      <c r="J78" s="484">
        <f t="shared" si="11"/>
        <v>8.6979293206932731</v>
      </c>
      <c r="K78" s="482">
        <f t="shared" si="12"/>
        <v>3.4614054342447934E-4</v>
      </c>
    </row>
    <row r="79" spans="2:11" x14ac:dyDescent="0.3">
      <c r="B79" s="378">
        <v>19</v>
      </c>
      <c r="C79" s="490">
        <f t="shared" si="13"/>
        <v>0.916708326755315</v>
      </c>
      <c r="D79" s="481">
        <f t="shared" si="8"/>
        <v>8.6979287135010388</v>
      </c>
      <c r="E79" s="490">
        <f t="shared" si="14"/>
        <v>0.91684054067801868</v>
      </c>
      <c r="F79" s="481">
        <f t="shared" si="9"/>
        <v>8.6979296804802964</v>
      </c>
      <c r="G79" s="491">
        <f t="shared" si="15"/>
        <v>0.91692225337603572</v>
      </c>
      <c r="H79" s="481">
        <f t="shared" si="10"/>
        <v>8.6979298238893339</v>
      </c>
      <c r="I79" s="491">
        <f t="shared" si="16"/>
        <v>0.91705446729873952</v>
      </c>
      <c r="J79" s="484">
        <f t="shared" si="11"/>
        <v>8.6979293206932731</v>
      </c>
      <c r="K79" s="482">
        <f t="shared" si="12"/>
        <v>2.1392662072068717E-4</v>
      </c>
    </row>
    <row r="80" spans="2:11" x14ac:dyDescent="0.3">
      <c r="B80" s="538">
        <v>20</v>
      </c>
      <c r="C80" s="555">
        <f t="shared" si="13"/>
        <v>0.91684054067801868</v>
      </c>
      <c r="D80" s="555">
        <f t="shared" si="8"/>
        <v>8.6979296804802964</v>
      </c>
      <c r="E80" s="558">
        <f t="shared" si="14"/>
        <v>0.91692225337603572</v>
      </c>
      <c r="F80" s="558">
        <f t="shared" si="9"/>
        <v>8.6979298238893339</v>
      </c>
      <c r="G80" s="556">
        <f t="shared" si="15"/>
        <v>0.91697275460072247</v>
      </c>
      <c r="H80" s="555">
        <f t="shared" si="10"/>
        <v>8.6979297389717587</v>
      </c>
      <c r="I80" s="556">
        <f t="shared" si="16"/>
        <v>0.91705446729873952</v>
      </c>
      <c r="J80" s="557">
        <f t="shared" si="11"/>
        <v>8.6979293206932731</v>
      </c>
      <c r="K80" s="482">
        <f t="shared" si="12"/>
        <v>1.322139227037922E-4</v>
      </c>
    </row>
    <row r="81" spans="1:17" x14ac:dyDescent="0.3">
      <c r="B81" s="378">
        <v>21</v>
      </c>
      <c r="C81" s="490">
        <f t="shared" si="13"/>
        <v>0.91684054067801868</v>
      </c>
      <c r="D81" s="481">
        <f t="shared" si="8"/>
        <v>8.6979296804802964</v>
      </c>
      <c r="E81" s="490">
        <f t="shared" si="14"/>
        <v>0.91689104190270554</v>
      </c>
      <c r="F81" s="481">
        <f t="shared" si="9"/>
        <v>8.6979298100774507</v>
      </c>
      <c r="G81" s="491">
        <f t="shared" si="15"/>
        <v>0.91692225337603572</v>
      </c>
      <c r="H81" s="481">
        <f t="shared" si="10"/>
        <v>8.6979298238893339</v>
      </c>
      <c r="I81" s="491">
        <f t="shared" si="16"/>
        <v>0.91697275460072247</v>
      </c>
      <c r="J81" s="484">
        <f t="shared" si="11"/>
        <v>8.6979297389717587</v>
      </c>
      <c r="K81" s="482">
        <f t="shared" si="12"/>
        <v>8.1712698016894983E-5</v>
      </c>
    </row>
    <row r="83" spans="1:17" s="544" customFormat="1" x14ac:dyDescent="0.3">
      <c r="A83" s="544">
        <v>13.4</v>
      </c>
      <c r="B83" s="544" t="s">
        <v>367</v>
      </c>
    </row>
    <row r="85" spans="1:17" x14ac:dyDescent="0.3">
      <c r="B85" s="546" t="s">
        <v>48</v>
      </c>
      <c r="C85" s="546" t="s">
        <v>57</v>
      </c>
      <c r="D85" s="546" t="s">
        <v>158</v>
      </c>
      <c r="E85" s="546" t="s">
        <v>159</v>
      </c>
      <c r="F85" s="546" t="s">
        <v>175</v>
      </c>
      <c r="G85" s="546" t="s">
        <v>278</v>
      </c>
      <c r="H85" s="546" t="s">
        <v>274</v>
      </c>
      <c r="I85" s="546" t="s">
        <v>275</v>
      </c>
      <c r="J85" s="546" t="s">
        <v>276</v>
      </c>
      <c r="K85" s="546" t="s">
        <v>287</v>
      </c>
      <c r="L85" s="546" t="s">
        <v>288</v>
      </c>
      <c r="M85" s="546" t="s">
        <v>286</v>
      </c>
      <c r="N85" s="546" t="s">
        <v>353</v>
      </c>
      <c r="O85" s="546" t="s">
        <v>42</v>
      </c>
      <c r="P85" s="546" t="s">
        <v>355</v>
      </c>
      <c r="Q85" s="546" t="s">
        <v>356</v>
      </c>
    </row>
    <row r="86" spans="1:17" x14ac:dyDescent="0.3">
      <c r="B86" s="547">
        <v>1</v>
      </c>
      <c r="C86" s="547">
        <v>0</v>
      </c>
      <c r="D86" s="547">
        <v>1</v>
      </c>
      <c r="E86" s="547">
        <v>2</v>
      </c>
      <c r="F86" s="541">
        <f t="shared" ref="F86:F93" si="17">(G86*(D86^2-E86^2)+H86*(E86^2-C86^2)+I86*(C86^2-D86^2))/(2*G86*(D86-E86)+2*H86*(E86-C86)+2*I86*(C86-D86))</f>
        <v>0.57024793388429751</v>
      </c>
      <c r="G86" s="547">
        <f t="shared" ref="G86:J93" si="18">-1.5*C86^6-2*C86^4+12*C86</f>
        <v>0</v>
      </c>
      <c r="H86" s="547">
        <f t="shared" si="18"/>
        <v>8.5</v>
      </c>
      <c r="I86" s="547">
        <f t="shared" si="18"/>
        <v>-104</v>
      </c>
      <c r="J86" s="541">
        <f t="shared" si="18"/>
        <v>6.5799085430969813</v>
      </c>
      <c r="K86" s="547">
        <f>J86-G86</f>
        <v>6.5799085430969813</v>
      </c>
      <c r="L86" s="547">
        <f>J86-H86</f>
        <v>-1.9200914569030187</v>
      </c>
      <c r="M86" s="547">
        <f>J86-I86</f>
        <v>110.57990854309698</v>
      </c>
      <c r="N86" s="547">
        <f>MAX(K86:M86)</f>
        <v>110.57990854309698</v>
      </c>
      <c r="O86" s="547">
        <f t="shared" ref="O86:O93" si="19">ABS(F86-F87)</f>
        <v>0.53081771354200613</v>
      </c>
      <c r="P86" s="547">
        <v>1E-3</v>
      </c>
      <c r="Q86" s="547">
        <f>O86-P86</f>
        <v>0.52981771354200613</v>
      </c>
    </row>
    <row r="87" spans="1:17" x14ac:dyDescent="0.3">
      <c r="B87" s="547">
        <v>2</v>
      </c>
      <c r="C87" s="547">
        <f t="shared" ref="C87:C93" si="20">IF(K86=N86,D86,C86)</f>
        <v>0</v>
      </c>
      <c r="D87" s="547">
        <f>IF(L86=N86,F86,F86)</f>
        <v>0.57024793388429751</v>
      </c>
      <c r="E87" s="547">
        <f>IF(M86=N86,D86,E86)</f>
        <v>1</v>
      </c>
      <c r="F87" s="541">
        <f t="shared" si="17"/>
        <v>1.1010656474263036</v>
      </c>
      <c r="G87" s="547">
        <f t="shared" si="18"/>
        <v>0</v>
      </c>
      <c r="H87" s="547">
        <f t="shared" si="18"/>
        <v>6.5799085430969813</v>
      </c>
      <c r="I87" s="547">
        <f t="shared" si="18"/>
        <v>8.5</v>
      </c>
      <c r="J87" s="541">
        <f t="shared" si="18"/>
        <v>7.600399175441332</v>
      </c>
      <c r="K87" s="547">
        <f>J87-G87</f>
        <v>7.600399175441332</v>
      </c>
      <c r="L87" s="547">
        <f>J87-H87</f>
        <v>1.0204906323443508</v>
      </c>
      <c r="M87" s="547">
        <f>J87-I87</f>
        <v>-0.89960082455866797</v>
      </c>
      <c r="N87" s="547">
        <f>MAX(K87:M87)</f>
        <v>7.600399175441332</v>
      </c>
      <c r="O87" s="547">
        <f t="shared" si="19"/>
        <v>0.22724271979971922</v>
      </c>
      <c r="P87" s="547">
        <v>1E-3</v>
      </c>
      <c r="Q87" s="547">
        <f t="shared" ref="Q87:Q93" si="21">O87-P87</f>
        <v>0.22624271979971922</v>
      </c>
    </row>
    <row r="88" spans="1:17" x14ac:dyDescent="0.3">
      <c r="B88" s="44">
        <v>3</v>
      </c>
      <c r="C88" s="44">
        <f t="shared" si="20"/>
        <v>0.57024793388429751</v>
      </c>
      <c r="D88" s="44">
        <f t="shared" ref="D88:D91" si="22">IF(L87=N87,F87,F87)</f>
        <v>1.1010656474263036</v>
      </c>
      <c r="E88" s="44">
        <f t="shared" ref="E88:E91" si="23">IF(M87=N87,D87,E87)</f>
        <v>1</v>
      </c>
      <c r="F88" s="44">
        <f t="shared" si="17"/>
        <v>0.87382292762658442</v>
      </c>
      <c r="G88" s="44">
        <f t="shared" si="18"/>
        <v>6.5799085430969813</v>
      </c>
      <c r="H88" s="44">
        <f t="shared" si="18"/>
        <v>7.600399175441332</v>
      </c>
      <c r="I88" s="44">
        <f t="shared" si="18"/>
        <v>8.5</v>
      </c>
      <c r="J88" s="44">
        <f t="shared" si="18"/>
        <v>8.6520298644657458</v>
      </c>
      <c r="K88" s="44">
        <f t="shared" ref="K88:K91" si="24">J88-G88</f>
        <v>2.0721213213687646</v>
      </c>
      <c r="L88" s="44">
        <f t="shared" ref="L88:L91" si="25">J88-H88</f>
        <v>1.0516306890244138</v>
      </c>
      <c r="M88" s="44">
        <f t="shared" ref="M88:M91" si="26">J88-I88</f>
        <v>0.15202986446574585</v>
      </c>
      <c r="N88" s="44">
        <f t="shared" ref="N88:N91" si="27">MAX(K88:M88)</f>
        <v>2.0721213213687646</v>
      </c>
      <c r="O88" s="44">
        <f t="shared" si="19"/>
        <v>4.5300471832044331E-2</v>
      </c>
      <c r="P88" s="44">
        <v>1E-3</v>
      </c>
      <c r="Q88" s="44">
        <f t="shared" si="21"/>
        <v>4.430047183204433E-2</v>
      </c>
    </row>
    <row r="89" spans="1:17" x14ac:dyDescent="0.3">
      <c r="B89" s="547">
        <v>4</v>
      </c>
      <c r="C89" s="547">
        <f t="shared" si="20"/>
        <v>1.1010656474263036</v>
      </c>
      <c r="D89" s="547">
        <f t="shared" si="22"/>
        <v>0.87382292762658442</v>
      </c>
      <c r="E89" s="547">
        <f t="shared" si="23"/>
        <v>1</v>
      </c>
      <c r="F89" s="541">
        <f t="shared" si="17"/>
        <v>0.91912339945862875</v>
      </c>
      <c r="G89" s="547">
        <f t="shared" si="18"/>
        <v>7.600399175441332</v>
      </c>
      <c r="H89" s="547">
        <f t="shared" si="18"/>
        <v>8.6520298644657458</v>
      </c>
      <c r="I89" s="547">
        <f t="shared" si="18"/>
        <v>8.5</v>
      </c>
      <c r="J89" s="541">
        <f t="shared" si="18"/>
        <v>8.6978027487758727</v>
      </c>
      <c r="K89" s="547">
        <f t="shared" si="24"/>
        <v>1.0974035733345406</v>
      </c>
      <c r="L89" s="547">
        <f t="shared" si="25"/>
        <v>4.5772884310126827E-2</v>
      </c>
      <c r="M89" s="547">
        <f t="shared" si="26"/>
        <v>0.19780274877587267</v>
      </c>
      <c r="N89" s="547">
        <f t="shared" si="27"/>
        <v>1.0974035733345406</v>
      </c>
      <c r="O89" s="547">
        <f t="shared" si="19"/>
        <v>4.2059557593542296E-3</v>
      </c>
      <c r="P89" s="547">
        <v>1E-3</v>
      </c>
      <c r="Q89" s="547">
        <f t="shared" si="21"/>
        <v>3.2059557593542296E-3</v>
      </c>
    </row>
    <row r="90" spans="1:17" x14ac:dyDescent="0.3">
      <c r="B90" s="547">
        <v>5</v>
      </c>
      <c r="C90" s="547">
        <f t="shared" si="20"/>
        <v>0.87382292762658442</v>
      </c>
      <c r="D90" s="547">
        <f t="shared" si="22"/>
        <v>0.91912339945862875</v>
      </c>
      <c r="E90" s="547">
        <f t="shared" si="23"/>
        <v>1</v>
      </c>
      <c r="F90" s="541">
        <f t="shared" si="17"/>
        <v>0.91491744369927452</v>
      </c>
      <c r="G90" s="547">
        <f t="shared" si="18"/>
        <v>8.6520298644657458</v>
      </c>
      <c r="H90" s="547">
        <f t="shared" si="18"/>
        <v>8.6978027487758727</v>
      </c>
      <c r="I90" s="547">
        <f t="shared" si="18"/>
        <v>8.5</v>
      </c>
      <c r="J90" s="541">
        <f t="shared" si="18"/>
        <v>8.6978263348330991</v>
      </c>
      <c r="K90" s="547">
        <f t="shared" si="24"/>
        <v>4.5796470367353237E-2</v>
      </c>
      <c r="L90" s="547">
        <f t="shared" si="25"/>
        <v>2.3586057226410162E-5</v>
      </c>
      <c r="M90" s="547">
        <f t="shared" si="26"/>
        <v>0.19782633483309908</v>
      </c>
      <c r="N90" s="547">
        <f t="shared" si="27"/>
        <v>0.19782633483309908</v>
      </c>
      <c r="O90" s="547">
        <f t="shared" si="19"/>
        <v>1.9895720597705724E-3</v>
      </c>
      <c r="P90" s="547">
        <v>1E-3</v>
      </c>
      <c r="Q90" s="547">
        <f t="shared" si="21"/>
        <v>9.8957205977057237E-4</v>
      </c>
    </row>
    <row r="91" spans="1:17" x14ac:dyDescent="0.3">
      <c r="B91" s="541">
        <v>6</v>
      </c>
      <c r="C91" s="541">
        <f t="shared" si="20"/>
        <v>0.87382292762658442</v>
      </c>
      <c r="D91" s="541">
        <f t="shared" si="22"/>
        <v>0.91491744369927452</v>
      </c>
      <c r="E91" s="541">
        <f t="shared" si="23"/>
        <v>0.91912339945862875</v>
      </c>
      <c r="F91" s="541">
        <f t="shared" si="17"/>
        <v>0.9169070157590451</v>
      </c>
      <c r="G91" s="541">
        <f t="shared" si="18"/>
        <v>8.6520298644657458</v>
      </c>
      <c r="H91" s="541">
        <f t="shared" si="18"/>
        <v>8.6978263348330991</v>
      </c>
      <c r="I91" s="541">
        <f t="shared" si="18"/>
        <v>8.6978027487758727</v>
      </c>
      <c r="J91" s="541">
        <f t="shared" si="18"/>
        <v>8.6979298234727835</v>
      </c>
      <c r="K91" s="541">
        <f t="shared" si="24"/>
        <v>4.5899959007037694E-2</v>
      </c>
      <c r="L91" s="541">
        <f t="shared" si="25"/>
        <v>1.0348863968445698E-4</v>
      </c>
      <c r="M91" s="541">
        <f t="shared" si="26"/>
        <v>1.2707469691086715E-4</v>
      </c>
      <c r="N91" s="541">
        <f t="shared" si="27"/>
        <v>4.5899959007037694E-2</v>
      </c>
      <c r="O91" s="541">
        <f t="shared" si="19"/>
        <v>5.5589689372803619E-6</v>
      </c>
      <c r="P91" s="541">
        <v>1E-3</v>
      </c>
      <c r="Q91" s="541">
        <f t="shared" si="21"/>
        <v>-9.9444103106271966E-4</v>
      </c>
    </row>
    <row r="92" spans="1:17" x14ac:dyDescent="0.3">
      <c r="B92" s="547">
        <v>7</v>
      </c>
      <c r="C92" s="547">
        <f t="shared" si="20"/>
        <v>0.91491744369927452</v>
      </c>
      <c r="D92" s="547">
        <f>IF(L91=N91,F91,F91)</f>
        <v>0.9169070157590451</v>
      </c>
      <c r="E92" s="547">
        <f>IF(M91=N91,D91,E91)</f>
        <v>0.91912339945862875</v>
      </c>
      <c r="F92" s="541">
        <f t="shared" si="17"/>
        <v>0.91691257472798238</v>
      </c>
      <c r="G92" s="547">
        <f t="shared" si="18"/>
        <v>8.6978263348330991</v>
      </c>
      <c r="H92" s="547">
        <f t="shared" si="18"/>
        <v>8.6979298234727835</v>
      </c>
      <c r="I92" s="547">
        <f t="shared" si="18"/>
        <v>8.6978027487758727</v>
      </c>
      <c r="J92" s="541">
        <f t="shared" si="18"/>
        <v>8.6979298250232269</v>
      </c>
      <c r="K92" s="547">
        <f>J92-G92</f>
        <v>1.0349019012778626E-4</v>
      </c>
      <c r="L92" s="547">
        <f>J92-H92</f>
        <v>1.5504433292790054E-9</v>
      </c>
      <c r="M92" s="547">
        <f>J92-I92</f>
        <v>1.2707624735419643E-4</v>
      </c>
      <c r="N92" s="547">
        <f>MAX(K92:M92)</f>
        <v>1.2707624735419643E-4</v>
      </c>
      <c r="O92" s="547">
        <f t="shared" si="19"/>
        <v>2.5968598903469697E-6</v>
      </c>
      <c r="P92" s="547">
        <v>1E-3</v>
      </c>
      <c r="Q92" s="547">
        <f t="shared" si="21"/>
        <v>-9.9740314010965305E-4</v>
      </c>
    </row>
    <row r="93" spans="1:17" x14ac:dyDescent="0.3">
      <c r="B93" s="547">
        <v>8</v>
      </c>
      <c r="C93" s="547">
        <f t="shared" si="20"/>
        <v>0.91491744369927452</v>
      </c>
      <c r="D93" s="547">
        <f t="shared" ref="D93" si="28">IF(L92=N92,F92,F92)</f>
        <v>0.91691257472798238</v>
      </c>
      <c r="E93" s="547">
        <f t="shared" ref="E93" si="29">IF(M92=N92,D92,E92)</f>
        <v>0.9169070157590451</v>
      </c>
      <c r="F93" s="541">
        <f t="shared" si="17"/>
        <v>0.91691517158787272</v>
      </c>
      <c r="G93" s="547">
        <f t="shared" si="18"/>
        <v>8.6978263348330991</v>
      </c>
      <c r="H93" s="547">
        <f t="shared" si="18"/>
        <v>8.6979298250232269</v>
      </c>
      <c r="I93" s="547">
        <f t="shared" si="18"/>
        <v>8.6979298234727835</v>
      </c>
      <c r="J93" s="541">
        <f t="shared" si="18"/>
        <v>8.6979298251970114</v>
      </c>
      <c r="K93" s="547">
        <f t="shared" ref="K93" si="30">J93-G93</f>
        <v>1.0349036391232858E-4</v>
      </c>
      <c r="L93" s="547">
        <f t="shared" ref="L93" si="31">J93-H93</f>
        <v>1.737845423122053E-10</v>
      </c>
      <c r="M93" s="547">
        <f t="shared" ref="M93" si="32">J93-I93</f>
        <v>1.7242278715912107E-9</v>
      </c>
      <c r="N93" s="547">
        <f t="shared" ref="N93" si="33">MAX(K93:M93)</f>
        <v>1.0349036391232858E-4</v>
      </c>
      <c r="O93" s="547">
        <f t="shared" si="19"/>
        <v>0.91691517158787272</v>
      </c>
      <c r="P93" s="547">
        <v>1E-3</v>
      </c>
      <c r="Q93" s="547">
        <f t="shared" si="21"/>
        <v>0.91591517158787272</v>
      </c>
    </row>
    <row r="95" spans="1:17" s="544" customFormat="1" x14ac:dyDescent="0.3">
      <c r="A95" s="544">
        <v>13.5</v>
      </c>
      <c r="B95" s="544" t="s">
        <v>351</v>
      </c>
    </row>
    <row r="96" spans="1:17" ht="15.6" x14ac:dyDescent="0.3">
      <c r="A96" s="559"/>
      <c r="B96" s="560"/>
      <c r="C96" s="535"/>
      <c r="D96" s="535"/>
      <c r="E96" s="535"/>
      <c r="F96" s="535"/>
      <c r="G96" s="535"/>
      <c r="H96" s="535"/>
      <c r="I96" s="535"/>
      <c r="J96" s="535"/>
      <c r="K96" s="535"/>
    </row>
    <row r="97" spans="1:12" x14ac:dyDescent="0.3">
      <c r="A97" s="535"/>
      <c r="B97" s="535"/>
      <c r="C97" s="535"/>
      <c r="D97" s="535"/>
      <c r="E97" s="535"/>
      <c r="F97" s="535"/>
      <c r="G97" s="535"/>
      <c r="H97" s="535"/>
      <c r="I97" s="535"/>
      <c r="J97" s="535"/>
      <c r="K97" s="535"/>
    </row>
    <row r="98" spans="1:12" x14ac:dyDescent="0.3">
      <c r="A98" s="535"/>
      <c r="B98" s="536"/>
      <c r="C98" s="536"/>
      <c r="D98" s="535"/>
      <c r="E98" s="535"/>
      <c r="F98" s="535"/>
      <c r="G98" s="535"/>
      <c r="H98" s="535"/>
      <c r="I98" s="535"/>
      <c r="J98" s="535"/>
      <c r="K98" s="535"/>
    </row>
    <row r="99" spans="1:12" x14ac:dyDescent="0.3">
      <c r="A99" s="535"/>
      <c r="B99" s="536"/>
      <c r="C99" s="536"/>
      <c r="D99" s="535"/>
      <c r="E99" s="535"/>
      <c r="F99" s="535"/>
      <c r="G99" s="535"/>
      <c r="H99" s="535"/>
      <c r="I99" s="535"/>
      <c r="J99" s="535"/>
      <c r="K99" s="535"/>
    </row>
    <row r="100" spans="1:12" x14ac:dyDescent="0.3">
      <c r="A100" s="535"/>
      <c r="B100" s="260" t="s">
        <v>48</v>
      </c>
      <c r="C100" s="260" t="s">
        <v>22</v>
      </c>
      <c r="D100" s="260" t="s">
        <v>269</v>
      </c>
      <c r="E100" s="260" t="s">
        <v>270</v>
      </c>
      <c r="F100" s="260" t="s">
        <v>271</v>
      </c>
      <c r="G100" s="535"/>
      <c r="H100" s="535"/>
      <c r="I100" s="535"/>
      <c r="J100" s="535"/>
      <c r="K100" s="535"/>
    </row>
    <row r="101" spans="1:12" x14ac:dyDescent="0.3">
      <c r="A101" s="535"/>
      <c r="B101" s="547">
        <v>1</v>
      </c>
      <c r="C101" s="505">
        <v>2</v>
      </c>
      <c r="D101" s="505">
        <f>-1.5*C101^6-2*C101^4+12*C101</f>
        <v>-104</v>
      </c>
      <c r="E101" s="505">
        <f>-9*C101^5-8*C101^3+12</f>
        <v>-340</v>
      </c>
      <c r="F101" s="505">
        <f>-45*C101^4-24*C101^2</f>
        <v>-816</v>
      </c>
      <c r="G101" s="535"/>
      <c r="H101" s="535"/>
      <c r="I101" s="535"/>
      <c r="J101" s="535"/>
      <c r="K101" s="535"/>
    </row>
    <row r="102" spans="1:12" x14ac:dyDescent="0.3">
      <c r="A102" s="535"/>
      <c r="B102" s="547">
        <v>2</v>
      </c>
      <c r="C102" s="505">
        <f>C101-(-9*C101^5-8*C101^3+12)/(-45*C101^4-24*C101^2)</f>
        <v>1.5833333333333333</v>
      </c>
      <c r="D102" s="505">
        <f t="shared" ref="D102:D108" si="34">-1.5*C102^6-2*C102^4+12*C102</f>
        <v>-17.202896432130906</v>
      </c>
      <c r="E102" s="505">
        <f t="shared" ref="E102:E108" si="35">-9*C102^5-8*C102^3+12</f>
        <v>-109.31260850694443</v>
      </c>
      <c r="F102" s="505">
        <f t="shared" ref="F102:F108" si="36">-45*C102^4-24*C102^2</f>
        <v>-342.98133680555554</v>
      </c>
      <c r="G102" s="535"/>
      <c r="H102" s="535"/>
      <c r="I102" s="535"/>
      <c r="J102" s="535"/>
      <c r="K102" s="535"/>
    </row>
    <row r="103" spans="1:12" x14ac:dyDescent="0.3">
      <c r="A103" s="535"/>
      <c r="B103" s="539">
        <v>3</v>
      </c>
      <c r="C103" s="540">
        <f t="shared" ref="C103:C108" si="37">C102-(-9*C102^5-8*C102^3+12)/(-45*C102^4-24*C102^2)</f>
        <v>1.2646203400111444</v>
      </c>
      <c r="D103" s="540">
        <f t="shared" si="34"/>
        <v>3.9246173949996983</v>
      </c>
      <c r="E103" s="540">
        <f t="shared" si="35"/>
        <v>-33.289775278434789</v>
      </c>
      <c r="F103" s="540">
        <f t="shared" si="36"/>
        <v>-153.47647787044662</v>
      </c>
      <c r="G103" s="535"/>
      <c r="H103" s="535"/>
      <c r="I103" s="535"/>
      <c r="J103" s="535"/>
      <c r="K103" s="535"/>
    </row>
    <row r="104" spans="1:12" x14ac:dyDescent="0.3">
      <c r="A104" s="535"/>
      <c r="B104" s="547">
        <v>4</v>
      </c>
      <c r="C104" s="505">
        <f t="shared" si="37"/>
        <v>1.0477156016411675</v>
      </c>
      <c r="D104" s="505">
        <f t="shared" si="34"/>
        <v>8.1786156449692466</v>
      </c>
      <c r="E104" s="505">
        <f t="shared" si="35"/>
        <v>-8.5628112822771172</v>
      </c>
      <c r="F104" s="505">
        <f t="shared" si="36"/>
        <v>-80.568318177053655</v>
      </c>
      <c r="G104" s="535"/>
      <c r="H104" s="535"/>
      <c r="I104" s="535"/>
      <c r="J104" s="535"/>
      <c r="K104" s="535"/>
    </row>
    <row r="105" spans="1:12" x14ac:dyDescent="0.3">
      <c r="A105" s="535"/>
      <c r="B105" s="547">
        <v>5</v>
      </c>
      <c r="C105" s="505">
        <f t="shared" si="37"/>
        <v>0.94143547223025148</v>
      </c>
      <c r="D105" s="505">
        <f t="shared" si="34"/>
        <v>8.6818452007496827</v>
      </c>
      <c r="E105" s="505">
        <f t="shared" si="35"/>
        <v>-1.3308836346263959</v>
      </c>
      <c r="F105" s="505">
        <f t="shared" si="36"/>
        <v>-56.620023706487444</v>
      </c>
      <c r="G105" s="535"/>
      <c r="H105" s="536"/>
      <c r="I105" s="536"/>
      <c r="J105" s="536"/>
      <c r="K105" s="536"/>
    </row>
    <row r="106" spans="1:12" x14ac:dyDescent="0.3">
      <c r="A106" s="535"/>
      <c r="B106" s="547">
        <v>6</v>
      </c>
      <c r="C106" s="505">
        <f t="shared" si="37"/>
        <v>0.91792994278141971</v>
      </c>
      <c r="D106" s="505">
        <f t="shared" si="34"/>
        <v>8.6979030266666015</v>
      </c>
      <c r="E106" s="505">
        <f t="shared" si="35"/>
        <v>-5.2847726187721378E-2</v>
      </c>
      <c r="F106" s="505">
        <f t="shared" si="36"/>
        <v>-52.170802953374725</v>
      </c>
      <c r="G106" s="535"/>
      <c r="H106" s="537"/>
      <c r="I106" s="537"/>
      <c r="J106" s="537"/>
      <c r="K106" s="537"/>
    </row>
    <row r="107" spans="1:12" x14ac:dyDescent="0.3">
      <c r="A107" s="535"/>
      <c r="B107" s="547">
        <v>7</v>
      </c>
      <c r="C107" s="505">
        <f t="shared" si="37"/>
        <v>0.91691696764597941</v>
      </c>
      <c r="D107" s="505">
        <f t="shared" si="34"/>
        <v>8.6979298251121246</v>
      </c>
      <c r="E107" s="505">
        <f t="shared" si="35"/>
        <v>-9.3946657301557934E-5</v>
      </c>
      <c r="F107" s="505">
        <f t="shared" si="36"/>
        <v>-51.985402289891553</v>
      </c>
      <c r="G107" s="536"/>
      <c r="H107" s="537"/>
      <c r="I107" s="537"/>
      <c r="J107" s="537"/>
      <c r="K107" s="537"/>
    </row>
    <row r="108" spans="1:12" x14ac:dyDescent="0.3">
      <c r="A108" s="535"/>
      <c r="B108" s="538">
        <v>8</v>
      </c>
      <c r="C108" s="534">
        <f t="shared" si="37"/>
        <v>0.91691516047217358</v>
      </c>
      <c r="D108" s="534">
        <f t="shared" si="34"/>
        <v>8.6979298251970132</v>
      </c>
      <c r="E108" s="534">
        <f t="shared" si="35"/>
        <v>-2.9845281801499368E-10</v>
      </c>
      <c r="F108" s="534">
        <f t="shared" si="36"/>
        <v>-51.985071990929214</v>
      </c>
      <c r="G108" s="536"/>
      <c r="H108" s="537"/>
      <c r="I108" s="537"/>
      <c r="J108" s="537"/>
      <c r="K108" s="537"/>
    </row>
    <row r="109" spans="1:12" x14ac:dyDescent="0.3">
      <c r="A109" s="535"/>
      <c r="G109" s="536"/>
      <c r="H109" s="537"/>
      <c r="I109" s="537"/>
      <c r="J109" s="537"/>
      <c r="K109" s="537"/>
    </row>
    <row r="110" spans="1:12" s="544" customFormat="1" x14ac:dyDescent="0.3">
      <c r="A110" s="544">
        <v>13.6</v>
      </c>
      <c r="B110" s="544" t="s">
        <v>368</v>
      </c>
    </row>
    <row r="112" spans="1:12" x14ac:dyDescent="0.3">
      <c r="B112" t="s">
        <v>369</v>
      </c>
      <c r="G112" t="s">
        <v>370</v>
      </c>
      <c r="L112" t="s">
        <v>371</v>
      </c>
    </row>
    <row r="114" spans="1:13" x14ac:dyDescent="0.3">
      <c r="B114" t="s">
        <v>372</v>
      </c>
      <c r="G114" t="s">
        <v>372</v>
      </c>
      <c r="L114" t="s">
        <v>372</v>
      </c>
    </row>
    <row r="118" spans="1:13" x14ac:dyDescent="0.3">
      <c r="B118" t="s">
        <v>373</v>
      </c>
      <c r="G118" t="s">
        <v>373</v>
      </c>
      <c r="L118" t="s">
        <v>373</v>
      </c>
    </row>
    <row r="123" spans="1:13" s="544" customFormat="1" x14ac:dyDescent="0.3">
      <c r="A123" s="544">
        <v>13.7</v>
      </c>
      <c r="B123" s="544" t="s">
        <v>375</v>
      </c>
    </row>
    <row r="126" spans="1:13" x14ac:dyDescent="0.3">
      <c r="B126" s="561" t="s">
        <v>374</v>
      </c>
      <c r="C126" s="561"/>
      <c r="D126" s="561"/>
      <c r="E126" s="561"/>
      <c r="F126" s="561"/>
    </row>
    <row r="127" spans="1:13" x14ac:dyDescent="0.3">
      <c r="K127" s="485">
        <f>(SQRT(5)-1)/2</f>
        <v>0.6180339887498949</v>
      </c>
    </row>
    <row r="128" spans="1:13" x14ac:dyDescent="0.3">
      <c r="B128" s="260" t="s">
        <v>48</v>
      </c>
      <c r="C128" s="260" t="s">
        <v>281</v>
      </c>
      <c r="D128" s="260" t="s">
        <v>282</v>
      </c>
      <c r="E128" s="260" t="s">
        <v>159</v>
      </c>
      <c r="F128" s="260" t="s">
        <v>275</v>
      </c>
      <c r="G128" s="260" t="s">
        <v>158</v>
      </c>
      <c r="H128" s="260" t="s">
        <v>274</v>
      </c>
      <c r="I128" s="260" t="s">
        <v>27</v>
      </c>
      <c r="J128" s="483" t="s">
        <v>283</v>
      </c>
      <c r="K128" s="260" t="s">
        <v>284</v>
      </c>
      <c r="L128" s="260" t="s">
        <v>6</v>
      </c>
      <c r="M128" s="260" t="s">
        <v>176</v>
      </c>
    </row>
    <row r="129" spans="2:13" x14ac:dyDescent="0.3">
      <c r="B129" s="547">
        <v>1</v>
      </c>
      <c r="C129" s="480">
        <v>-2</v>
      </c>
      <c r="D129" s="481">
        <f>4*(C129)-1.8*(C129)^2+1.2*(C129)^3-0.3*(C129)^4</f>
        <v>-29.599999999999998</v>
      </c>
      <c r="E129" s="480">
        <f>I129-K129</f>
        <v>0.29179606750063058</v>
      </c>
      <c r="F129" s="481">
        <f>4*(E129)-1.8*(E129)^2+1.2*(E129)^3-0.3*(E129)^4</f>
        <v>1.0415624226338183</v>
      </c>
      <c r="G129" s="480">
        <f>C129+K129</f>
        <v>1.7082039324993694</v>
      </c>
      <c r="H129" s="481">
        <f>4*(G129)-1.8*(G129)^2+1.2*(G129)^3-0.3*(G129)^4</f>
        <v>5.0075044446302872</v>
      </c>
      <c r="I129" s="480">
        <v>4</v>
      </c>
      <c r="J129" s="484">
        <f>4*(I129)-1.8*(I129)^2+1.2*(I129)^3-0.3*(I129)^4</f>
        <v>-12.799999999999997</v>
      </c>
      <c r="K129" s="482">
        <f>(SQRT(5)-1)*(I129-C129)/2</f>
        <v>3.7082039324993694</v>
      </c>
      <c r="L129" s="1">
        <f>ABS(G129-E129)</f>
        <v>1.4164078649987388</v>
      </c>
      <c r="M129" s="562">
        <f t="shared" ref="M129:M141" si="38">L129</f>
        <v>1.4164078649987388</v>
      </c>
    </row>
    <row r="130" spans="2:13" x14ac:dyDescent="0.3">
      <c r="B130" s="547">
        <v>2</v>
      </c>
      <c r="C130" s="480">
        <f>IF(F129&lt;H129,E129,C129)</f>
        <v>0.29179606750063058</v>
      </c>
      <c r="D130" s="481">
        <f t="shared" ref="D130:D141" si="39">4*(C130)-1.8*(C130)^2+1.2*(C130)^3-0.3*(C130)^4</f>
        <v>1.0415624226338183</v>
      </c>
      <c r="E130" s="480">
        <f>IF(F129&lt;H129,G129,I130-K130)</f>
        <v>1.7082039324993694</v>
      </c>
      <c r="F130" s="481">
        <f t="shared" ref="F130:F141" si="40">4*(E130)-1.8*(E130)^2+1.2*(E130)^3-0.3*(E130)^4</f>
        <v>5.0075044446302872</v>
      </c>
      <c r="G130" s="482">
        <f>IF(F129&lt;H129,C130+K130,E129)</f>
        <v>2.5835921350012621</v>
      </c>
      <c r="H130" s="481">
        <f t="shared" ref="H130:H141" si="41">4*(G130)-1.8*(G130)^2+1.2*(G130)^3-0.3*(G130)^4</f>
        <v>5.6473938188048525</v>
      </c>
      <c r="I130" s="482">
        <f>IF(F129&lt;H129,I129,G129)</f>
        <v>4</v>
      </c>
      <c r="J130" s="484">
        <f t="shared" ref="J130:J141" si="42">4*(I130)-1.8*(I130)^2+1.2*(I130)^3-0.3*(I130)^4</f>
        <v>-12.799999999999997</v>
      </c>
      <c r="K130" s="482">
        <f t="shared" ref="K130:K141" si="43">K129*$K$127</f>
        <v>2.2917960675006315</v>
      </c>
      <c r="L130" s="1">
        <f t="shared" ref="L130:L136" si="44">ABS(G130-E130)</f>
        <v>0.87538820250189264</v>
      </c>
      <c r="M130" s="562">
        <f t="shared" si="38"/>
        <v>0.87538820250189264</v>
      </c>
    </row>
    <row r="131" spans="2:13" x14ac:dyDescent="0.3">
      <c r="B131" s="547">
        <v>3</v>
      </c>
      <c r="C131" s="480">
        <f>IF(F130&lt;H130,E130,C130)</f>
        <v>1.7082039324993694</v>
      </c>
      <c r="D131" s="481">
        <f t="shared" si="39"/>
        <v>5.0075044446302872</v>
      </c>
      <c r="E131" s="480">
        <f>IF(F130&lt;H130,G130,I131-K131)</f>
        <v>2.5835921350012621</v>
      </c>
      <c r="F131" s="481">
        <f t="shared" si="40"/>
        <v>5.6473938188048525</v>
      </c>
      <c r="G131" s="482">
        <f>IF(F130&lt;H130,C131+K131,E130)</f>
        <v>3.1246117974981082</v>
      </c>
      <c r="H131" s="481">
        <f t="shared" si="41"/>
        <v>2.9361211571909678</v>
      </c>
      <c r="I131" s="482">
        <f>IF(F130&lt;H130,I130,G130)</f>
        <v>4</v>
      </c>
      <c r="J131" s="484">
        <f t="shared" si="42"/>
        <v>-12.799999999999997</v>
      </c>
      <c r="K131" s="482">
        <f t="shared" si="43"/>
        <v>1.4164078649987386</v>
      </c>
      <c r="L131" s="1">
        <f t="shared" si="44"/>
        <v>0.54101966249684619</v>
      </c>
      <c r="M131" s="562">
        <f t="shared" si="38"/>
        <v>0.54101966249684619</v>
      </c>
    </row>
    <row r="132" spans="2:13" x14ac:dyDescent="0.3">
      <c r="B132" s="547">
        <v>4</v>
      </c>
      <c r="C132" s="480">
        <f t="shared" ref="C132:C134" si="45">IF(F131&lt;H131,E131,C131)</f>
        <v>1.7082039324993694</v>
      </c>
      <c r="D132" s="481">
        <f t="shared" si="39"/>
        <v>5.0075044446302872</v>
      </c>
      <c r="E132" s="480">
        <f t="shared" ref="E132:E134" si="46">IF(F131&lt;H131,G131,I132-K132)</f>
        <v>2.2492235949962152</v>
      </c>
      <c r="F132" s="481">
        <f t="shared" si="40"/>
        <v>5.8672221955306414</v>
      </c>
      <c r="G132" s="482">
        <f t="shared" ref="G132:G134" si="47">IF(F131&lt;H131,C132+K132,E131)</f>
        <v>2.5835921350012621</v>
      </c>
      <c r="H132" s="481">
        <f t="shared" si="41"/>
        <v>5.6473938188048525</v>
      </c>
      <c r="I132" s="482">
        <f t="shared" ref="I132:I134" si="48">IF(F131&lt;H131,I131,G131)</f>
        <v>3.1246117974981082</v>
      </c>
      <c r="J132" s="484">
        <f t="shared" si="42"/>
        <v>2.9361211571909678</v>
      </c>
      <c r="K132" s="482">
        <f t="shared" si="43"/>
        <v>0.87538820250189309</v>
      </c>
      <c r="L132" s="1">
        <f t="shared" si="44"/>
        <v>0.3343685400050469</v>
      </c>
      <c r="M132" s="562">
        <f t="shared" si="38"/>
        <v>0.3343685400050469</v>
      </c>
    </row>
    <row r="133" spans="2:13" x14ac:dyDescent="0.3">
      <c r="B133" s="547">
        <v>5</v>
      </c>
      <c r="C133" s="480">
        <f t="shared" si="45"/>
        <v>1.7082039324993694</v>
      </c>
      <c r="D133" s="481">
        <f t="shared" si="39"/>
        <v>5.0075044446302872</v>
      </c>
      <c r="E133" s="480">
        <f t="shared" si="46"/>
        <v>2.0425724725044163</v>
      </c>
      <c r="F133" s="481">
        <f t="shared" si="40"/>
        <v>5.6647600319984095</v>
      </c>
      <c r="G133" s="482">
        <f t="shared" si="47"/>
        <v>2.2492235949962152</v>
      </c>
      <c r="H133" s="481">
        <f t="shared" si="41"/>
        <v>5.8672221955306414</v>
      </c>
      <c r="I133" s="482">
        <f t="shared" si="48"/>
        <v>2.5835921350012621</v>
      </c>
      <c r="J133" s="484">
        <f t="shared" si="42"/>
        <v>5.6473938188048525</v>
      </c>
      <c r="K133" s="482">
        <f t="shared" si="43"/>
        <v>0.54101966249684574</v>
      </c>
      <c r="L133" s="1">
        <f t="shared" si="44"/>
        <v>0.20665112249179884</v>
      </c>
      <c r="M133" s="562">
        <f t="shared" si="38"/>
        <v>0.20665112249179884</v>
      </c>
    </row>
    <row r="134" spans="2:13" x14ac:dyDescent="0.3">
      <c r="B134" s="547">
        <v>6</v>
      </c>
      <c r="C134" s="480">
        <f t="shared" si="45"/>
        <v>2.0425724725044163</v>
      </c>
      <c r="D134" s="481">
        <f t="shared" si="39"/>
        <v>5.6647600319984095</v>
      </c>
      <c r="E134" s="480">
        <f t="shared" si="46"/>
        <v>2.2492235949962152</v>
      </c>
      <c r="F134" s="481">
        <f t="shared" si="40"/>
        <v>5.8672221955306414</v>
      </c>
      <c r="G134" s="482">
        <f t="shared" si="47"/>
        <v>2.3769410125094637</v>
      </c>
      <c r="H134" s="481">
        <f t="shared" si="41"/>
        <v>5.877028085214631</v>
      </c>
      <c r="I134" s="482">
        <f t="shared" si="48"/>
        <v>2.5835921350012621</v>
      </c>
      <c r="J134" s="484">
        <f t="shared" si="42"/>
        <v>5.6473938188048525</v>
      </c>
      <c r="K134" s="482">
        <f t="shared" si="43"/>
        <v>0.33436854000504751</v>
      </c>
      <c r="L134" s="1">
        <f t="shared" si="44"/>
        <v>0.1277174175132485</v>
      </c>
      <c r="M134" s="562">
        <f t="shared" si="38"/>
        <v>0.1277174175132485</v>
      </c>
    </row>
    <row r="135" spans="2:13" x14ac:dyDescent="0.3">
      <c r="B135" s="547">
        <v>7</v>
      </c>
      <c r="C135" s="480">
        <f>IF(F134&lt;H134,E134,C134)</f>
        <v>2.2492235949962152</v>
      </c>
      <c r="D135" s="481">
        <f t="shared" si="39"/>
        <v>5.8672221955306414</v>
      </c>
      <c r="E135" s="480">
        <f>IF(F134&lt;H134,G134,I135-K135)</f>
        <v>2.3769410125094637</v>
      </c>
      <c r="F135" s="481">
        <f t="shared" si="40"/>
        <v>5.877028085214631</v>
      </c>
      <c r="G135" s="482">
        <f>IF(F134&lt;H134,C135+K135,E134)</f>
        <v>2.4558747174880136</v>
      </c>
      <c r="H135" s="481">
        <f t="shared" si="41"/>
        <v>5.8286745962813473</v>
      </c>
      <c r="I135" s="482">
        <f>IF(F134&lt;H134,I134,G134)</f>
        <v>2.5835921350012621</v>
      </c>
      <c r="J135" s="484">
        <f t="shared" si="42"/>
        <v>5.6473938188048525</v>
      </c>
      <c r="K135" s="482">
        <f t="shared" si="43"/>
        <v>0.20665112249179832</v>
      </c>
      <c r="L135" s="1">
        <f t="shared" si="44"/>
        <v>7.8933704978549901E-2</v>
      </c>
      <c r="M135" s="562">
        <f t="shared" si="38"/>
        <v>7.8933704978549901E-2</v>
      </c>
    </row>
    <row r="136" spans="2:13" x14ac:dyDescent="0.3">
      <c r="B136" s="547">
        <v>8</v>
      </c>
      <c r="C136" s="480">
        <f t="shared" ref="C136" si="49">IF(F135&lt;H135,E135,C135)</f>
        <v>2.2492235949962152</v>
      </c>
      <c r="D136" s="481">
        <f t="shared" si="39"/>
        <v>5.8672221955306414</v>
      </c>
      <c r="E136" s="480">
        <f t="shared" ref="E136" si="50">IF(F135&lt;H135,G135,I136-K136)</f>
        <v>2.3281572999747642</v>
      </c>
      <c r="F136" s="481">
        <f t="shared" si="40"/>
        <v>5.8853297205450836</v>
      </c>
      <c r="G136" s="482">
        <f t="shared" ref="G136" si="51">IF(F135&lt;H135,C136+K136,E135)</f>
        <v>2.3769410125094637</v>
      </c>
      <c r="H136" s="481">
        <f t="shared" si="41"/>
        <v>5.877028085214631</v>
      </c>
      <c r="I136" s="482">
        <f t="shared" ref="I136" si="52">IF(F135&lt;H135,I135,G135)</f>
        <v>2.4558747174880136</v>
      </c>
      <c r="J136" s="484">
        <f t="shared" si="42"/>
        <v>5.8286745962813473</v>
      </c>
      <c r="K136" s="482">
        <f t="shared" si="43"/>
        <v>0.12771741751324922</v>
      </c>
      <c r="L136" s="1">
        <f t="shared" si="44"/>
        <v>4.8783712534699486E-2</v>
      </c>
      <c r="M136" s="562">
        <f t="shared" si="38"/>
        <v>4.8783712534699486E-2</v>
      </c>
    </row>
    <row r="137" spans="2:13" x14ac:dyDescent="0.3">
      <c r="B137" s="547">
        <v>9</v>
      </c>
      <c r="C137" s="480">
        <f t="shared" ref="C137:C139" si="53">IF(F136&lt;H136,E136,C136)</f>
        <v>2.2492235949962152</v>
      </c>
      <c r="D137" s="481">
        <f t="shared" si="39"/>
        <v>5.8672221955306414</v>
      </c>
      <c r="E137" s="480">
        <f t="shared" ref="E137:E139" si="54">IF(F136&lt;H136,G136,I137-K137)</f>
        <v>2.2980073075309146</v>
      </c>
      <c r="F137" s="481">
        <f t="shared" si="40"/>
        <v>5.8828319286066204</v>
      </c>
      <c r="G137" s="482">
        <f t="shared" ref="G137:G139" si="55">IF(F136&lt;H136,C137+K137,E136)</f>
        <v>2.3281572999747642</v>
      </c>
      <c r="H137" s="481">
        <f t="shared" si="41"/>
        <v>5.8853297205450836</v>
      </c>
      <c r="I137" s="482">
        <f t="shared" ref="I137:I139" si="56">IF(F136&lt;H136,I136,G136)</f>
        <v>2.3769410125094637</v>
      </c>
      <c r="J137" s="484">
        <f t="shared" si="42"/>
        <v>5.877028085214631</v>
      </c>
      <c r="K137" s="482">
        <f t="shared" si="43"/>
        <v>7.8933704978549096E-2</v>
      </c>
      <c r="L137" s="1">
        <f t="shared" ref="L137:L139" si="57">ABS(G137-E137)</f>
        <v>3.0149992443849527E-2</v>
      </c>
      <c r="M137" s="562">
        <f t="shared" si="38"/>
        <v>3.0149992443849527E-2</v>
      </c>
    </row>
    <row r="138" spans="2:13" x14ac:dyDescent="0.3">
      <c r="B138" s="547">
        <v>10</v>
      </c>
      <c r="C138" s="480">
        <f t="shared" si="53"/>
        <v>2.2980073075309146</v>
      </c>
      <c r="D138" s="481">
        <f t="shared" si="39"/>
        <v>5.8828319286066204</v>
      </c>
      <c r="E138" s="480">
        <f t="shared" si="54"/>
        <v>2.3281572999747642</v>
      </c>
      <c r="F138" s="481">
        <f t="shared" si="40"/>
        <v>5.8853297205450836</v>
      </c>
      <c r="G138" s="482">
        <f t="shared" si="55"/>
        <v>2.3467910200656146</v>
      </c>
      <c r="H138" s="481">
        <f t="shared" si="41"/>
        <v>5.8840036063714418</v>
      </c>
      <c r="I138" s="482">
        <f t="shared" si="56"/>
        <v>2.3769410125094637</v>
      </c>
      <c r="J138" s="484">
        <f t="shared" si="42"/>
        <v>5.877028085214631</v>
      </c>
      <c r="K138" s="482">
        <f t="shared" si="43"/>
        <v>4.8783712534700138E-2</v>
      </c>
      <c r="L138" s="1">
        <f t="shared" si="57"/>
        <v>1.8633720090850403E-2</v>
      </c>
      <c r="M138" s="562">
        <f t="shared" si="38"/>
        <v>1.8633720090850403E-2</v>
      </c>
    </row>
    <row r="139" spans="2:13" x14ac:dyDescent="0.3">
      <c r="B139" s="547">
        <v>11</v>
      </c>
      <c r="C139" s="480">
        <f t="shared" si="53"/>
        <v>2.2980073075309146</v>
      </c>
      <c r="D139" s="481">
        <f t="shared" si="39"/>
        <v>5.8828319286066204</v>
      </c>
      <c r="E139" s="480">
        <f t="shared" si="54"/>
        <v>2.3166410276217655</v>
      </c>
      <c r="F139" s="481">
        <f t="shared" si="40"/>
        <v>5.8850428579696317</v>
      </c>
      <c r="G139" s="564">
        <f t="shared" si="55"/>
        <v>2.3281572999747642</v>
      </c>
      <c r="H139" s="563">
        <f t="shared" si="41"/>
        <v>5.8853297205450836</v>
      </c>
      <c r="I139" s="482">
        <f t="shared" si="56"/>
        <v>2.3467910200656146</v>
      </c>
      <c r="J139" s="484">
        <f t="shared" si="42"/>
        <v>5.8840036063714418</v>
      </c>
      <c r="K139" s="482">
        <f t="shared" si="43"/>
        <v>3.0149992443848972E-2</v>
      </c>
      <c r="L139" s="1">
        <f t="shared" si="57"/>
        <v>1.151627235299868E-2</v>
      </c>
      <c r="M139" s="565">
        <f t="shared" si="38"/>
        <v>1.151627235299868E-2</v>
      </c>
    </row>
    <row r="140" spans="2:13" x14ac:dyDescent="0.3">
      <c r="B140" s="547">
        <v>12</v>
      </c>
      <c r="C140" s="480">
        <f t="shared" ref="C140:C141" si="58">IF(F139&lt;H139,E139,C139)</f>
        <v>2.3166410276217655</v>
      </c>
      <c r="D140" s="481">
        <f t="shared" si="39"/>
        <v>5.8850428579696317</v>
      </c>
      <c r="E140" s="563">
        <f t="shared" ref="E140:E141" si="59">IF(F139&lt;H139,G139,I140-K140)</f>
        <v>2.3281572999747642</v>
      </c>
      <c r="F140" s="563">
        <f t="shared" si="40"/>
        <v>5.8853297205450836</v>
      </c>
      <c r="G140" s="482">
        <f t="shared" ref="G140:G141" si="60">IF(F139&lt;H139,C140+K140,E139)</f>
        <v>2.3352747477126168</v>
      </c>
      <c r="H140" s="481">
        <f t="shared" si="41"/>
        <v>5.8850868273022794</v>
      </c>
      <c r="I140" s="482">
        <f t="shared" ref="I140:I141" si="61">IF(F139&lt;H139,I139,G139)</f>
        <v>2.3467910200656146</v>
      </c>
      <c r="J140" s="484">
        <f t="shared" si="42"/>
        <v>5.8840036063714418</v>
      </c>
      <c r="K140" s="482">
        <f t="shared" si="43"/>
        <v>1.8633720090851173E-2</v>
      </c>
      <c r="L140" s="1">
        <f t="shared" ref="L140:L141" si="62">ABS(G140-E140)</f>
        <v>7.1174477378526113E-3</v>
      </c>
      <c r="M140" s="565">
        <f t="shared" si="38"/>
        <v>7.1174477378526113E-3</v>
      </c>
    </row>
    <row r="141" spans="2:13" x14ac:dyDescent="0.3">
      <c r="B141" s="547">
        <v>13</v>
      </c>
      <c r="C141" s="480">
        <f t="shared" si="58"/>
        <v>2.3166410276217655</v>
      </c>
      <c r="D141" s="481">
        <f t="shared" si="39"/>
        <v>5.8850428579696317</v>
      </c>
      <c r="E141" s="480">
        <f t="shared" si="59"/>
        <v>2.323758475359619</v>
      </c>
      <c r="F141" s="481">
        <f t="shared" si="40"/>
        <v>5.88531876709499</v>
      </c>
      <c r="G141" s="482">
        <f t="shared" si="60"/>
        <v>2.3281572999747642</v>
      </c>
      <c r="H141" s="481">
        <f t="shared" si="41"/>
        <v>5.8853297205450836</v>
      </c>
      <c r="I141" s="482">
        <f t="shared" si="61"/>
        <v>2.3352747477126168</v>
      </c>
      <c r="J141" s="484">
        <f t="shared" si="42"/>
        <v>5.8850868273022794</v>
      </c>
      <c r="K141" s="482">
        <f t="shared" si="43"/>
        <v>1.1516272352997804E-2</v>
      </c>
      <c r="L141" s="1">
        <f t="shared" si="62"/>
        <v>4.3988246151451804E-3</v>
      </c>
      <c r="M141" s="562">
        <f t="shared" si="38"/>
        <v>4.3988246151451804E-3</v>
      </c>
    </row>
    <row r="143" spans="2:13" x14ac:dyDescent="0.3">
      <c r="B143" s="561" t="s">
        <v>376</v>
      </c>
      <c r="C143" s="566"/>
      <c r="D143" s="476"/>
      <c r="E143" s="476"/>
      <c r="F143" s="476"/>
      <c r="G143" s="476"/>
    </row>
    <row r="145" spans="1:17" x14ac:dyDescent="0.3">
      <c r="B145" s="546" t="s">
        <v>48</v>
      </c>
      <c r="C145" s="546" t="s">
        <v>57</v>
      </c>
      <c r="D145" s="546" t="s">
        <v>158</v>
      </c>
      <c r="E145" s="546" t="s">
        <v>159</v>
      </c>
      <c r="F145" s="546" t="s">
        <v>175</v>
      </c>
      <c r="G145" s="546" t="s">
        <v>278</v>
      </c>
      <c r="H145" s="546" t="s">
        <v>274</v>
      </c>
      <c r="I145" s="546" t="s">
        <v>275</v>
      </c>
      <c r="J145" s="546" t="s">
        <v>276</v>
      </c>
      <c r="K145" s="546" t="s">
        <v>287</v>
      </c>
      <c r="L145" s="546" t="s">
        <v>288</v>
      </c>
      <c r="M145" s="546" t="s">
        <v>286</v>
      </c>
      <c r="N145" s="546" t="s">
        <v>353</v>
      </c>
      <c r="O145" s="546" t="s">
        <v>42</v>
      </c>
      <c r="P145" s="546" t="s">
        <v>355</v>
      </c>
      <c r="Q145" s="546" t="s">
        <v>356</v>
      </c>
    </row>
    <row r="146" spans="1:17" x14ac:dyDescent="0.3">
      <c r="B146" s="547">
        <v>1</v>
      </c>
      <c r="C146" s="547">
        <v>1.75</v>
      </c>
      <c r="D146" s="547">
        <v>2</v>
      </c>
      <c r="E146" s="547">
        <v>2.5</v>
      </c>
      <c r="F146" s="567">
        <f t="shared" ref="F146:F148" si="63">(G146*(D146^2-E146^2)+H146*(E146^2-C146^2)+I146*(C146^2-D146^2))/(2*G146*(D146-E146)+2*H146*(E146-C146)+2*I146*(C146-D146))</f>
        <v>2.3340579710144875</v>
      </c>
      <c r="G146" s="547">
        <f>4*(C146)-1.8*(C146)^2+1.2*(C146)^3-0.3*(C146)^4</f>
        <v>5.1050781249999995</v>
      </c>
      <c r="H146" s="547">
        <f t="shared" ref="H146:J146" si="64">4*(D146)-1.8*(D146)^2+1.2*(D146)^3-0.3*(D146)^4</f>
        <v>5.5999999999999988</v>
      </c>
      <c r="I146" s="547">
        <f t="shared" si="64"/>
        <v>5.78125</v>
      </c>
      <c r="J146" s="547">
        <f t="shared" si="64"/>
        <v>5.8851512981378686</v>
      </c>
      <c r="K146" s="547">
        <f>J146-G146</f>
        <v>0.78007317313786917</v>
      </c>
      <c r="L146" s="547">
        <f>J146-H146</f>
        <v>0.28515129813786988</v>
      </c>
      <c r="M146" s="547">
        <f>J146-I146</f>
        <v>0.10390129813786864</v>
      </c>
      <c r="N146" s="547">
        <f>MAX(K146:M146)</f>
        <v>0.78007317313786917</v>
      </c>
      <c r="O146" s="547">
        <f t="shared" ref="O146:O148" si="65">ABS(F146-F147)</f>
        <v>2.2813621242570026E-2</v>
      </c>
      <c r="P146" s="547">
        <v>1E-3</v>
      </c>
      <c r="Q146" s="547">
        <f>O146-P146</f>
        <v>2.1813621242570025E-2</v>
      </c>
    </row>
    <row r="147" spans="1:17" x14ac:dyDescent="0.3">
      <c r="B147" s="547">
        <v>2</v>
      </c>
      <c r="C147" s="547">
        <f t="shared" ref="C147:C148" si="66">IF(K146=N146,D146,C146)</f>
        <v>2</v>
      </c>
      <c r="D147" s="547">
        <f>IF(L146=N146,F146,F146)</f>
        <v>2.3340579710144875</v>
      </c>
      <c r="E147" s="547">
        <f>IF(M146=N146,D146,E146)</f>
        <v>2.5</v>
      </c>
      <c r="F147" s="567">
        <f t="shared" si="63"/>
        <v>2.3112443497719175</v>
      </c>
      <c r="G147" s="547">
        <f t="shared" ref="G147:G148" si="67">4*(C147)-1.8*(C147)^2+1.2*(C147)^3-0.3*(C147)^4</f>
        <v>5.5999999999999988</v>
      </c>
      <c r="H147" s="547">
        <f t="shared" ref="H147:H148" si="68">4*(D147)-1.8*(D147)^2+1.2*(D147)^3-0.3*(D147)^4</f>
        <v>5.8851512981378686</v>
      </c>
      <c r="I147" s="547">
        <f t="shared" ref="I147:I148" si="69">4*(E147)-1.8*(E147)^2+1.2*(E147)^3-0.3*(E147)^4</f>
        <v>5.78125</v>
      </c>
      <c r="J147" s="547">
        <f t="shared" ref="J147:J148" si="70">4*(F147)-1.8*(F147)^2+1.2*(F147)^3-0.3*(F147)^4</f>
        <v>5.8846227365078043</v>
      </c>
      <c r="K147" s="547">
        <f>J147-G147</f>
        <v>0.28462273650780556</v>
      </c>
      <c r="L147" s="547">
        <f>J147-H147</f>
        <v>-5.28561630064317E-4</v>
      </c>
      <c r="M147" s="547">
        <f>J147-I147</f>
        <v>0.10337273650780432</v>
      </c>
      <c r="N147" s="547">
        <f>MAX(K147:M147)</f>
        <v>0.28462273650780556</v>
      </c>
      <c r="O147" s="547">
        <f t="shared" si="65"/>
        <v>1.4774459346389435E-2</v>
      </c>
      <c r="P147" s="547">
        <v>1E-3</v>
      </c>
      <c r="Q147" s="547">
        <f t="shared" ref="Q147:Q148" si="71">O147-P147</f>
        <v>1.3774459346389434E-2</v>
      </c>
    </row>
    <row r="148" spans="1:17" x14ac:dyDescent="0.3">
      <c r="B148" s="257">
        <v>3</v>
      </c>
      <c r="C148" s="257">
        <f t="shared" si="66"/>
        <v>2.3340579710144875</v>
      </c>
      <c r="D148" s="257">
        <f t="shared" ref="D148" si="72">IF(L147=N147,F147,F147)</f>
        <v>2.3112443497719175</v>
      </c>
      <c r="E148" s="257">
        <f t="shared" ref="E148" si="73">IF(M147=N147,D147,E147)</f>
        <v>2.5</v>
      </c>
      <c r="F148" s="567">
        <f t="shared" si="63"/>
        <v>2.3260188091183069</v>
      </c>
      <c r="G148" s="257">
        <f t="shared" si="67"/>
        <v>5.8851512981378686</v>
      </c>
      <c r="H148" s="257">
        <f t="shared" si="68"/>
        <v>5.8846227365078043</v>
      </c>
      <c r="I148" s="257">
        <f t="shared" si="69"/>
        <v>5.78125</v>
      </c>
      <c r="J148" s="257">
        <f t="shared" si="70"/>
        <v>5.8853396931949487</v>
      </c>
      <c r="K148" s="257">
        <f t="shared" ref="K148" si="74">J148-G148</f>
        <v>1.8839505708001525E-4</v>
      </c>
      <c r="L148" s="257">
        <f t="shared" ref="L148" si="75">J148-H148</f>
        <v>7.1695668714433225E-4</v>
      </c>
      <c r="M148" s="257">
        <f t="shared" ref="M148" si="76">J148-I148</f>
        <v>0.10408969319494865</v>
      </c>
      <c r="N148" s="257">
        <f t="shared" ref="N148" si="77">MAX(K148:M148)</f>
        <v>0.10408969319494865</v>
      </c>
      <c r="O148" s="257">
        <f t="shared" si="65"/>
        <v>3.0488566149999841E-4</v>
      </c>
      <c r="P148" s="257">
        <v>1E-3</v>
      </c>
      <c r="Q148" s="257">
        <f t="shared" si="71"/>
        <v>-6.9511433850000161E-4</v>
      </c>
    </row>
    <row r="149" spans="1:17" x14ac:dyDescent="0.3">
      <c r="B149" s="568">
        <v>4</v>
      </c>
      <c r="C149" s="568">
        <f t="shared" ref="C149" si="78">IF(K148=N148,D148,C148)</f>
        <v>2.3340579710144875</v>
      </c>
      <c r="D149" s="568">
        <f t="shared" ref="D149" si="79">IF(L148=N148,F148,F148)</f>
        <v>2.3260188091183069</v>
      </c>
      <c r="E149" s="568">
        <f t="shared" ref="E149" si="80">IF(M148=N148,D148,E148)</f>
        <v>2.3112443497719175</v>
      </c>
      <c r="F149" s="568">
        <f t="shared" ref="F149" si="81">(G149*(D149^2-E149^2)+H149*(E149^2-C149^2)+I149*(C149^2-D149^2))/(2*G149*(D149-E149)+2*H149*(E149-C149)+2*I149*(C149-D149))</f>
        <v>2.3263236947798069</v>
      </c>
      <c r="G149" s="568">
        <f t="shared" ref="G149" si="82">4*(C149)-1.8*(C149)^2+1.2*(C149)^3-0.3*(C149)^4</f>
        <v>5.8851512981378686</v>
      </c>
      <c r="H149" s="568">
        <f t="shared" ref="H149" si="83">4*(D149)-1.8*(D149)^2+1.2*(D149)^3-0.3*(D149)^4</f>
        <v>5.8853396931949487</v>
      </c>
      <c r="I149" s="568">
        <f t="shared" ref="I149" si="84">4*(E149)-1.8*(E149)^2+1.2*(E149)^3-0.3*(E149)^4</f>
        <v>5.8846227365078043</v>
      </c>
      <c r="J149" s="568">
        <f t="shared" ref="J149" si="85">4*(F149)-1.8*(F149)^2+1.2*(F149)^3-0.3*(F149)^4</f>
        <v>5.8853400429178055</v>
      </c>
      <c r="K149" s="568">
        <f t="shared" ref="K149" si="86">J149-G149</f>
        <v>1.887447799369113E-4</v>
      </c>
      <c r="L149" s="568">
        <f t="shared" ref="L149" si="87">J149-H149</f>
        <v>3.4972285689605087E-7</v>
      </c>
      <c r="M149" s="568">
        <f t="shared" ref="M149" si="88">J149-I149</f>
        <v>7.173064100012283E-4</v>
      </c>
      <c r="N149" s="568">
        <f t="shared" ref="N149" si="89">MAX(K149:M149)</f>
        <v>7.173064100012283E-4</v>
      </c>
      <c r="O149" s="568">
        <f t="shared" ref="O149" si="90">ABS(F149-F150)</f>
        <v>2.8010420157098537E-5</v>
      </c>
      <c r="P149" s="568">
        <v>1E-3</v>
      </c>
      <c r="Q149" s="568">
        <f t="shared" ref="Q149" si="91">O149-P149</f>
        <v>-9.7198957984290148E-4</v>
      </c>
    </row>
    <row r="150" spans="1:17" x14ac:dyDescent="0.3">
      <c r="B150" s="257">
        <v>5</v>
      </c>
      <c r="C150" s="257">
        <f t="shared" ref="C150" si="92">IF(K149=N149,D149,C149)</f>
        <v>2.3340579710144875</v>
      </c>
      <c r="D150" s="257">
        <f t="shared" ref="D150" si="93">IF(L149=N149,F149,F149)</f>
        <v>2.3263236947798069</v>
      </c>
      <c r="E150" s="257">
        <f t="shared" ref="E150" si="94">IF(M149=N149,D149,E149)</f>
        <v>2.3260188091183069</v>
      </c>
      <c r="F150" s="567">
        <f t="shared" ref="F150" si="95">(G150*(D150^2-E150^2)+H150*(E150^2-C150^2)+I150*(C150^2-D150^2))/(2*G150*(D150-E150)+2*H150*(E150-C150)+2*I150*(C150-D150))</f>
        <v>2.326351705199964</v>
      </c>
      <c r="G150" s="257">
        <f t="shared" ref="G150" si="96">4*(C150)-1.8*(C150)^2+1.2*(C150)^3-0.3*(C150)^4</f>
        <v>5.8851512981378686</v>
      </c>
      <c r="H150" s="257">
        <f t="shared" ref="H150" si="97">4*(D150)-1.8*(D150)^2+1.2*(D150)^3-0.3*(D150)^4</f>
        <v>5.8853400429178055</v>
      </c>
      <c r="I150" s="257">
        <f t="shared" ref="I150" si="98">4*(E150)-1.8*(E150)^2+1.2*(E150)^3-0.3*(E150)^4</f>
        <v>5.8853396931949487</v>
      </c>
      <c r="J150" s="257">
        <f t="shared" ref="J150" si="99">4*(F150)-1.8*(F150)^2+1.2*(F150)^3-0.3*(F150)^4</f>
        <v>5.8853400455259344</v>
      </c>
      <c r="K150" s="257">
        <f t="shared" ref="K150" si="100">J150-G150</f>
        <v>1.8874738806573532E-4</v>
      </c>
      <c r="L150" s="257">
        <f t="shared" ref="L150" si="101">J150-H150</f>
        <v>2.6081288240220601E-9</v>
      </c>
      <c r="M150" s="257">
        <f t="shared" ref="M150" si="102">J150-I150</f>
        <v>3.5233098572007293E-7</v>
      </c>
      <c r="N150" s="257">
        <f t="shared" ref="N150" si="103">MAX(K150:M150)</f>
        <v>1.8874738806573532E-4</v>
      </c>
      <c r="O150" s="257">
        <f t="shared" ref="O150" si="104">ABS(F150-F151)</f>
        <v>2.326351705199964</v>
      </c>
      <c r="P150" s="257">
        <v>1E-3</v>
      </c>
      <c r="Q150" s="257">
        <f t="shared" ref="Q150" si="105">O150-P150</f>
        <v>2.3253517051999641</v>
      </c>
    </row>
    <row r="152" spans="1:17" x14ac:dyDescent="0.3">
      <c r="B152" s="561" t="s">
        <v>377</v>
      </c>
      <c r="C152" s="476"/>
      <c r="D152" s="476"/>
      <c r="E152" s="476"/>
    </row>
    <row r="153" spans="1:17" ht="15.6" x14ac:dyDescent="0.3">
      <c r="A153" s="559"/>
      <c r="B153" s="560"/>
      <c r="C153" s="535"/>
      <c r="D153" s="535"/>
      <c r="E153" s="535"/>
      <c r="F153" s="535"/>
    </row>
    <row r="154" spans="1:17" x14ac:dyDescent="0.3">
      <c r="A154" s="535"/>
      <c r="B154" s="535"/>
      <c r="C154" s="535"/>
      <c r="D154" s="535"/>
      <c r="E154" s="535"/>
      <c r="F154" s="535"/>
    </row>
    <row r="155" spans="1:17" x14ac:dyDescent="0.3">
      <c r="A155" s="535"/>
      <c r="B155" s="536"/>
      <c r="C155" s="536"/>
      <c r="D155" s="535"/>
      <c r="E155" s="535"/>
      <c r="F155" s="535"/>
    </row>
    <row r="156" spans="1:17" x14ac:dyDescent="0.3">
      <c r="A156" s="535"/>
      <c r="B156" s="536"/>
      <c r="C156" s="536"/>
      <c r="D156" s="535"/>
      <c r="E156" s="535"/>
      <c r="F156" s="535"/>
    </row>
    <row r="157" spans="1:17" x14ac:dyDescent="0.3">
      <c r="A157" s="535"/>
      <c r="B157" s="260" t="s">
        <v>48</v>
      </c>
      <c r="C157" s="260" t="s">
        <v>22</v>
      </c>
      <c r="D157" s="260" t="s">
        <v>269</v>
      </c>
      <c r="E157" s="260" t="s">
        <v>270</v>
      </c>
      <c r="F157" s="260" t="s">
        <v>271</v>
      </c>
      <c r="G157" s="260" t="s">
        <v>6</v>
      </c>
      <c r="H157" s="260" t="s">
        <v>176</v>
      </c>
    </row>
    <row r="158" spans="1:17" x14ac:dyDescent="0.3">
      <c r="A158" s="535"/>
      <c r="B158" s="547">
        <v>1</v>
      </c>
      <c r="C158" s="505">
        <v>3</v>
      </c>
      <c r="D158" s="505">
        <f>4*(C158)-1.8*(C158)^2+1.2*(C158)^3-0.3*(C158)^4</f>
        <v>3.8999999999999986</v>
      </c>
      <c r="E158" s="505">
        <f>4-3.6*(C158)+3.6*(C158)^2-1.2*(C158)^3</f>
        <v>-6.8000000000000007</v>
      </c>
      <c r="F158" s="505">
        <f>-3.6+7.2*(C158)-3.6*(C158)^2</f>
        <v>-14.399999999999999</v>
      </c>
      <c r="G158" s="1"/>
      <c r="H158" s="1"/>
    </row>
    <row r="159" spans="1:17" x14ac:dyDescent="0.3">
      <c r="A159" s="535"/>
      <c r="B159" s="547">
        <v>2</v>
      </c>
      <c r="C159" s="505">
        <f>C158-(E158/F158)</f>
        <v>2.5277777777777777</v>
      </c>
      <c r="D159" s="505">
        <f>4*(C159)-1.8*(C159)^2+1.2*(C159)^3-0.3*(C159)^4</f>
        <v>5.743364018918605</v>
      </c>
      <c r="E159" s="505">
        <f>4-3.6*(C159)+3.6*(C159)^2-1.2*(C159)^3</f>
        <v>-1.4791923868312686</v>
      </c>
      <c r="F159" s="505">
        <f>-3.6+7.2*(C159)-3.6*(C159)^2</f>
        <v>-8.4027777777777768</v>
      </c>
      <c r="G159" s="1">
        <f>ABS(C159-C158)</f>
        <v>0.47222222222222232</v>
      </c>
      <c r="H159" s="562">
        <f>G159</f>
        <v>0.47222222222222232</v>
      </c>
    </row>
    <row r="160" spans="1:17" x14ac:dyDescent="0.3">
      <c r="B160" s="547">
        <v>3</v>
      </c>
      <c r="C160" s="505">
        <f t="shared" ref="C160:C163" si="106">C159-(E159/F159)</f>
        <v>2.3517416590143871</v>
      </c>
      <c r="D160" s="505">
        <f t="shared" ref="D160:D163" si="107">4*(C160)-1.8*(C160)^2+1.2*(C160)^3-0.3*(C160)^4</f>
        <v>5.8832726495314951</v>
      </c>
      <c r="E160" s="505">
        <f t="shared" ref="E160:E163" si="108">4-3.6*(C160)+3.6*(C160)^2-1.2*(C160)^3</f>
        <v>-0.16389177334107785</v>
      </c>
      <c r="F160" s="505">
        <f t="shared" ref="F160:F163" si="109">-3.6+7.2*(C160)-3.6*(C160)^2</f>
        <v>-6.5779398457738818</v>
      </c>
      <c r="G160" s="1">
        <f t="shared" ref="G160:G163" si="110">ABS(C160-C159)</f>
        <v>0.17603611876339054</v>
      </c>
      <c r="H160" s="562">
        <f t="shared" ref="H160:H163" si="111">G160</f>
        <v>0.17603611876339054</v>
      </c>
    </row>
    <row r="161" spans="1:11" x14ac:dyDescent="0.3">
      <c r="B161" s="547">
        <v>4</v>
      </c>
      <c r="C161" s="505">
        <f t="shared" si="106"/>
        <v>2.3268262938417528</v>
      </c>
      <c r="D161" s="505">
        <f t="shared" si="107"/>
        <v>5.885339334230256</v>
      </c>
      <c r="E161" s="505">
        <f t="shared" si="108"/>
        <v>-3.0023005785988488E-3</v>
      </c>
      <c r="F161" s="505">
        <f t="shared" si="109"/>
        <v>-6.3376848505074275</v>
      </c>
      <c r="G161" s="1">
        <f t="shared" si="110"/>
        <v>2.4915365172634374E-2</v>
      </c>
      <c r="H161" s="562">
        <f t="shared" si="111"/>
        <v>2.4915365172634374E-2</v>
      </c>
    </row>
    <row r="162" spans="1:11" x14ac:dyDescent="0.3">
      <c r="B162" s="538">
        <v>5</v>
      </c>
      <c r="C162" s="569">
        <f t="shared" si="106"/>
        <v>2.3263525718676541</v>
      </c>
      <c r="D162" s="569">
        <f t="shared" si="107"/>
        <v>5.8853400455273821</v>
      </c>
      <c r="E162" s="569">
        <f t="shared" si="108"/>
        <v>-1.0717955287731229E-6</v>
      </c>
      <c r="F162" s="569">
        <f t="shared" si="109"/>
        <v>-6.3331601216397875</v>
      </c>
      <c r="G162" s="570">
        <f t="shared" si="110"/>
        <v>4.7372197409867312E-4</v>
      </c>
      <c r="H162" s="571">
        <f t="shared" si="111"/>
        <v>4.7372197409867312E-4</v>
      </c>
    </row>
    <row r="163" spans="1:11" x14ac:dyDescent="0.3">
      <c r="B163" s="547">
        <v>6</v>
      </c>
      <c r="C163" s="505">
        <f t="shared" si="106"/>
        <v>2.3263524026321525</v>
      </c>
      <c r="D163" s="505">
        <f t="shared" si="107"/>
        <v>5.8853400455274745</v>
      </c>
      <c r="E163" s="505">
        <f t="shared" si="108"/>
        <v>-1.3855583347321954E-13</v>
      </c>
      <c r="F163" s="505">
        <f t="shared" si="109"/>
        <v>-6.3331585054851001</v>
      </c>
      <c r="G163" s="1">
        <f t="shared" si="110"/>
        <v>1.692355016125191E-7</v>
      </c>
      <c r="H163" s="562">
        <f t="shared" si="111"/>
        <v>1.692355016125191E-7</v>
      </c>
    </row>
    <row r="165" spans="1:11" s="544" customFormat="1" x14ac:dyDescent="0.3">
      <c r="A165" s="544">
        <v>13.8</v>
      </c>
      <c r="B165" s="544" t="s">
        <v>378</v>
      </c>
    </row>
    <row r="168" spans="1:11" x14ac:dyDescent="0.3">
      <c r="B168" s="561" t="s">
        <v>379</v>
      </c>
      <c r="C168" s="476"/>
      <c r="D168" s="476"/>
      <c r="E168" s="476"/>
      <c r="F168" s="476"/>
      <c r="G168" s="476"/>
      <c r="H168" s="476"/>
      <c r="I168" s="476"/>
      <c r="J168" s="476"/>
      <c r="K168" s="476"/>
    </row>
    <row r="170" spans="1:11" x14ac:dyDescent="0.3">
      <c r="B170" s="546" t="s">
        <v>22</v>
      </c>
      <c r="C170" s="546" t="s">
        <v>269</v>
      </c>
    </row>
    <row r="171" spans="1:11" x14ac:dyDescent="0.3">
      <c r="B171" s="548">
        <v>-2</v>
      </c>
      <c r="C171" s="548">
        <f>-((B171)^4+2*(B171)^3+8*(B171)^2+5*(B171))</f>
        <v>-22</v>
      </c>
    </row>
    <row r="172" spans="1:11" x14ac:dyDescent="0.3">
      <c r="B172" s="548">
        <v>-1.6</v>
      </c>
      <c r="C172" s="548">
        <f t="shared" ref="C172:C181" si="112">-((B172)^4+2*(B172)^3+8*(B172)^2+5*(B172))</f>
        <v>-10.841600000000007</v>
      </c>
    </row>
    <row r="173" spans="1:11" x14ac:dyDescent="0.3">
      <c r="B173" s="548">
        <v>-1.2</v>
      </c>
      <c r="C173" s="548">
        <f t="shared" si="112"/>
        <v>-4.1375999999999991</v>
      </c>
    </row>
    <row r="174" spans="1:11" x14ac:dyDescent="0.3">
      <c r="B174" s="548">
        <v>-0.8</v>
      </c>
      <c r="C174" s="548">
        <f t="shared" si="112"/>
        <v>-0.50560000000000116</v>
      </c>
    </row>
    <row r="175" spans="1:11" x14ac:dyDescent="0.3">
      <c r="B175" s="548">
        <v>-0.4</v>
      </c>
      <c r="C175" s="548">
        <f t="shared" si="112"/>
        <v>0.8223999999999998</v>
      </c>
    </row>
    <row r="176" spans="1:11" x14ac:dyDescent="0.3">
      <c r="B176" s="548">
        <v>0</v>
      </c>
      <c r="C176" s="548">
        <f t="shared" si="112"/>
        <v>0</v>
      </c>
    </row>
    <row r="177" spans="1:13" x14ac:dyDescent="0.3">
      <c r="B177" s="548">
        <v>0.4</v>
      </c>
      <c r="C177" s="548">
        <f t="shared" si="112"/>
        <v>-3.4336000000000002</v>
      </c>
    </row>
    <row r="178" spans="1:13" x14ac:dyDescent="0.3">
      <c r="B178" s="548">
        <v>0.8</v>
      </c>
      <c r="C178" s="548">
        <f t="shared" si="112"/>
        <v>-10.553600000000001</v>
      </c>
    </row>
    <row r="179" spans="1:13" x14ac:dyDescent="0.3">
      <c r="B179" s="548">
        <v>1.2</v>
      </c>
      <c r="C179" s="548">
        <f t="shared" si="112"/>
        <v>-23.049599999999998</v>
      </c>
    </row>
    <row r="180" spans="1:13" x14ac:dyDescent="0.3">
      <c r="B180" s="548">
        <v>1.6</v>
      </c>
      <c r="C180" s="548">
        <f t="shared" si="112"/>
        <v>-43.225600000000007</v>
      </c>
    </row>
    <row r="181" spans="1:13" x14ac:dyDescent="0.3">
      <c r="B181" s="548">
        <v>2</v>
      </c>
      <c r="C181" s="548">
        <f t="shared" si="112"/>
        <v>-74</v>
      </c>
    </row>
    <row r="184" spans="1:13" s="544" customFormat="1" x14ac:dyDescent="0.3">
      <c r="A184" s="544">
        <v>13.9</v>
      </c>
      <c r="B184" s="544" t="s">
        <v>380</v>
      </c>
    </row>
    <row r="186" spans="1:13" x14ac:dyDescent="0.3">
      <c r="B186" s="561" t="s">
        <v>381</v>
      </c>
      <c r="C186" s="476"/>
      <c r="D186" s="476"/>
      <c r="E186" s="476"/>
      <c r="F186" s="476"/>
    </row>
    <row r="187" spans="1:13" x14ac:dyDescent="0.3">
      <c r="K187" s="485">
        <f>(SQRT(5)-1)/2</f>
        <v>0.6180339887498949</v>
      </c>
    </row>
    <row r="188" spans="1:13" x14ac:dyDescent="0.3">
      <c r="B188" s="260" t="s">
        <v>48</v>
      </c>
      <c r="C188" s="260" t="s">
        <v>281</v>
      </c>
      <c r="D188" s="260" t="s">
        <v>282</v>
      </c>
      <c r="E188" s="260" t="s">
        <v>159</v>
      </c>
      <c r="F188" s="260" t="s">
        <v>275</v>
      </c>
      <c r="G188" s="260" t="s">
        <v>158</v>
      </c>
      <c r="H188" s="260" t="s">
        <v>274</v>
      </c>
      <c r="I188" s="260" t="s">
        <v>27</v>
      </c>
      <c r="J188" s="483" t="s">
        <v>283</v>
      </c>
      <c r="K188" s="260" t="s">
        <v>284</v>
      </c>
      <c r="L188" s="260" t="s">
        <v>6</v>
      </c>
      <c r="M188" s="260" t="s">
        <v>176</v>
      </c>
    </row>
    <row r="189" spans="1:13" x14ac:dyDescent="0.3">
      <c r="B189" s="547">
        <v>1</v>
      </c>
      <c r="C189" s="480">
        <v>-2</v>
      </c>
      <c r="D189" s="481">
        <f>-((C189)^4+2*(C189)^3+8*(C189)^2+5*(C189))</f>
        <v>-22</v>
      </c>
      <c r="E189" s="480">
        <f>I189-K189</f>
        <v>-0.85410196624968471</v>
      </c>
      <c r="F189" s="481">
        <f>-((E189)^4+2*(E189)^3+8*(E189)^2+5*(E189))</f>
        <v>-0.85144945008832895</v>
      </c>
      <c r="G189" s="480">
        <f>C189+K189</f>
        <v>-0.14589803375031529</v>
      </c>
      <c r="H189" s="481">
        <f>-((G189)^4+2*(G189)^3+8*(G189)^2+5*(G189))</f>
        <v>0.56495841491041021</v>
      </c>
      <c r="I189" s="480">
        <v>1</v>
      </c>
      <c r="J189" s="484">
        <f>-((I189)^4+2*(I189)^3+8*(I189)^2+5*(I189))</f>
        <v>-16</v>
      </c>
      <c r="K189" s="480">
        <f>(SQRT(5)-1)*(I189-C189)/2</f>
        <v>1.8541019662496847</v>
      </c>
      <c r="L189" s="547">
        <f>ABS(G189-E189)</f>
        <v>0.70820393249936942</v>
      </c>
      <c r="M189" s="572">
        <f>L189</f>
        <v>0.70820393249936942</v>
      </c>
    </row>
    <row r="190" spans="1:13" x14ac:dyDescent="0.3">
      <c r="B190" s="547">
        <v>2</v>
      </c>
      <c r="C190" s="480">
        <f>IF(F189&lt;H189,E189,C189)</f>
        <v>-0.85410196624968471</v>
      </c>
      <c r="D190" s="481">
        <f>-((C190)^4+2*(C190)^3+8*(C190)^2+5*(C190))</f>
        <v>-0.85144945008832895</v>
      </c>
      <c r="E190" s="480">
        <f>IF(F189&lt;H189,G189,I190-K190)</f>
        <v>-0.14589803375031529</v>
      </c>
      <c r="F190" s="481">
        <f>-((E190)^4+2*(E190)^3+8*(E190)^2+5*(E190))</f>
        <v>0.56495841491041021</v>
      </c>
      <c r="G190" s="480">
        <f>IF(F189&lt;H189,C190+K190,E189)</f>
        <v>0.29179606750063103</v>
      </c>
      <c r="H190" s="481">
        <f>-((G190)^4+2*(G190)^3+8*(G190)^2+5*(G190))</f>
        <v>-2.1970794794766446</v>
      </c>
      <c r="I190" s="480">
        <f>IF(F189&lt;H189,I189,G189)</f>
        <v>1</v>
      </c>
      <c r="J190" s="484">
        <f>-((I190)^4+2*(I190)^3+8*(I190)^2+5*(I190))</f>
        <v>-16</v>
      </c>
      <c r="K190" s="480">
        <f>K189*$K$127</f>
        <v>1.1458980337503157</v>
      </c>
      <c r="L190" s="547">
        <f t="shared" ref="L190" si="113">ABS(G190-E190)</f>
        <v>0.43769410125094632</v>
      </c>
      <c r="M190" s="572">
        <f>L190</f>
        <v>0.43769410125094632</v>
      </c>
    </row>
    <row r="191" spans="1:13" x14ac:dyDescent="0.3">
      <c r="B191" s="547">
        <v>3</v>
      </c>
      <c r="C191" s="480">
        <f t="shared" ref="C191:C195" si="114">IF(F190&lt;H190,E190,C190)</f>
        <v>-0.85410196624968471</v>
      </c>
      <c r="D191" s="481">
        <f t="shared" ref="D191:D195" si="115">-((C191)^4+2*(C191)^3+8*(C191)^2+5*(C191))</f>
        <v>-0.85144945008832895</v>
      </c>
      <c r="E191" s="480">
        <f t="shared" ref="E191:E195" si="116">IF(F190&lt;H190,G190,I191-K191)</f>
        <v>-0.41640786499873828</v>
      </c>
      <c r="F191" s="481">
        <f t="shared" ref="F191:F195" si="117">-((E191)^4+2*(E191)^3+8*(E191)^2+5*(E191))</f>
        <v>0.80921575009795177</v>
      </c>
      <c r="G191" s="480">
        <f t="shared" ref="G191:G195" si="118">IF(F190&lt;H190,C191+K191,E190)</f>
        <v>-0.14589803375031529</v>
      </c>
      <c r="H191" s="481">
        <f t="shared" ref="H191:H195" si="119">-((G191)^4+2*(G191)^3+8*(G191)^2+5*(G191))</f>
        <v>0.56495841491041021</v>
      </c>
      <c r="I191" s="480">
        <f t="shared" ref="I191:I195" si="120">IF(F190&lt;H190,I190,G190)</f>
        <v>0.29179606750063103</v>
      </c>
      <c r="J191" s="484">
        <f t="shared" ref="J191:J195" si="121">-((I191)^4+2*(I191)^3+8*(I191)^2+5*(I191))</f>
        <v>-2.1970794794766446</v>
      </c>
      <c r="K191" s="480">
        <f t="shared" ref="K191:K195" si="122">K190*$K$127</f>
        <v>0.7082039324993693</v>
      </c>
      <c r="L191" s="547">
        <f t="shared" ref="L191:L199" si="123">ABS(G191-E191)</f>
        <v>0.27050983124842298</v>
      </c>
      <c r="M191" s="572">
        <f t="shared" ref="M191:M195" si="124">L191</f>
        <v>0.27050983124842298</v>
      </c>
    </row>
    <row r="192" spans="1:13" x14ac:dyDescent="0.3">
      <c r="B192" s="547">
        <v>4</v>
      </c>
      <c r="C192" s="480">
        <f t="shared" si="114"/>
        <v>-0.85410196624968471</v>
      </c>
      <c r="D192" s="481">
        <f t="shared" si="115"/>
        <v>-0.85144945008832895</v>
      </c>
      <c r="E192" s="480">
        <f t="shared" si="116"/>
        <v>-0.58359213500126184</v>
      </c>
      <c r="F192" s="481">
        <f t="shared" si="117"/>
        <v>0.47484721009290487</v>
      </c>
      <c r="G192" s="480">
        <f t="shared" si="118"/>
        <v>-0.41640786499873828</v>
      </c>
      <c r="H192" s="481">
        <f t="shared" si="119"/>
        <v>0.80921575009795177</v>
      </c>
      <c r="I192" s="480">
        <f t="shared" si="120"/>
        <v>-0.14589803375031529</v>
      </c>
      <c r="J192" s="484">
        <f t="shared" si="121"/>
        <v>0.56495841491041021</v>
      </c>
      <c r="K192" s="480">
        <f t="shared" si="122"/>
        <v>0.43769410125094654</v>
      </c>
      <c r="L192" s="547">
        <f t="shared" si="123"/>
        <v>0.16718427000252356</v>
      </c>
      <c r="M192" s="572">
        <f t="shared" si="124"/>
        <v>0.16718427000252356</v>
      </c>
    </row>
    <row r="193" spans="2:14" x14ac:dyDescent="0.3">
      <c r="B193" s="547">
        <v>5</v>
      </c>
      <c r="C193" s="480">
        <f t="shared" si="114"/>
        <v>-0.58359213500126184</v>
      </c>
      <c r="D193" s="481">
        <f t="shared" si="115"/>
        <v>0.47484721009290487</v>
      </c>
      <c r="E193" s="480">
        <f t="shared" si="116"/>
        <v>-0.41640786499873828</v>
      </c>
      <c r="F193" s="481">
        <f t="shared" si="117"/>
        <v>0.80921575009795177</v>
      </c>
      <c r="G193" s="480">
        <f t="shared" si="118"/>
        <v>-0.31308230375283896</v>
      </c>
      <c r="H193" s="481">
        <f t="shared" si="119"/>
        <v>0.83301624930901952</v>
      </c>
      <c r="I193" s="480">
        <f t="shared" si="120"/>
        <v>-0.14589803375031529</v>
      </c>
      <c r="J193" s="484">
        <f t="shared" si="121"/>
        <v>0.56495841491041021</v>
      </c>
      <c r="K193" s="480">
        <f t="shared" si="122"/>
        <v>0.27050983124842287</v>
      </c>
      <c r="L193" s="547">
        <f t="shared" si="123"/>
        <v>0.10332556124589931</v>
      </c>
      <c r="M193" s="572">
        <f t="shared" si="124"/>
        <v>0.10332556124589931</v>
      </c>
    </row>
    <row r="194" spans="2:14" x14ac:dyDescent="0.3">
      <c r="B194" s="547">
        <v>6</v>
      </c>
      <c r="C194" s="480">
        <f t="shared" si="114"/>
        <v>-0.41640786499873828</v>
      </c>
      <c r="D194" s="481">
        <f t="shared" si="115"/>
        <v>0.80921575009795177</v>
      </c>
      <c r="E194" s="480">
        <f t="shared" si="116"/>
        <v>-0.31308230375283896</v>
      </c>
      <c r="F194" s="481">
        <f t="shared" si="117"/>
        <v>0.83301624930901952</v>
      </c>
      <c r="G194" s="480">
        <f t="shared" si="118"/>
        <v>-0.24922359499621452</v>
      </c>
      <c r="H194" s="481">
        <f t="shared" si="119"/>
        <v>0.77632057368162966</v>
      </c>
      <c r="I194" s="480">
        <f t="shared" si="120"/>
        <v>-0.14589803375031529</v>
      </c>
      <c r="J194" s="484">
        <f t="shared" si="121"/>
        <v>0.56495841491041021</v>
      </c>
      <c r="K194" s="480">
        <f t="shared" si="122"/>
        <v>0.16718427000252375</v>
      </c>
      <c r="L194" s="547">
        <f t="shared" si="123"/>
        <v>6.3858708756624444E-2</v>
      </c>
      <c r="M194" s="572">
        <f t="shared" si="124"/>
        <v>6.3858708756624444E-2</v>
      </c>
    </row>
    <row r="195" spans="2:14" x14ac:dyDescent="0.3">
      <c r="B195" s="547">
        <v>7</v>
      </c>
      <c r="C195" s="480">
        <f t="shared" si="114"/>
        <v>-0.41640786499873828</v>
      </c>
      <c r="D195" s="481">
        <f t="shared" si="115"/>
        <v>0.80921575009795177</v>
      </c>
      <c r="E195" s="480">
        <f t="shared" si="116"/>
        <v>-0.35254915624211369</v>
      </c>
      <c r="F195" s="481">
        <f t="shared" si="117"/>
        <v>0.84060760015316638</v>
      </c>
      <c r="G195" s="480">
        <f t="shared" si="118"/>
        <v>-0.31308230375283896</v>
      </c>
      <c r="H195" s="481">
        <f t="shared" si="119"/>
        <v>0.83301624930901952</v>
      </c>
      <c r="I195" s="480">
        <f t="shared" si="120"/>
        <v>-0.24922359499621452</v>
      </c>
      <c r="J195" s="484">
        <f t="shared" si="121"/>
        <v>0.77632057368162966</v>
      </c>
      <c r="K195" s="480">
        <f t="shared" si="122"/>
        <v>0.10332556124589916</v>
      </c>
      <c r="L195" s="547">
        <f t="shared" si="123"/>
        <v>3.9466852489274729E-2</v>
      </c>
      <c r="M195" s="572">
        <f t="shared" si="124"/>
        <v>3.9466852489274729E-2</v>
      </c>
    </row>
    <row r="196" spans="2:14" x14ac:dyDescent="0.3">
      <c r="B196" s="547">
        <v>8</v>
      </c>
      <c r="C196" s="480">
        <f>IF(F195&lt;H195,E195,C195)</f>
        <v>-0.41640786499873828</v>
      </c>
      <c r="D196" s="481">
        <f>-((C196)^4+2*(C196)^3+8*(C196)^2+5*(C196))</f>
        <v>0.80921575009795177</v>
      </c>
      <c r="E196" s="480">
        <f>IF(F195&lt;H195,G195,I196-K196)</f>
        <v>-0.37694101250946355</v>
      </c>
      <c r="F196" s="481">
        <f>-((E196)^4+2*(E196)^3+8*(E196)^2+5*(E196))</f>
        <v>0.83495580533834945</v>
      </c>
      <c r="G196" s="480">
        <f>IF(F195&lt;H195,C196+K196,E195)</f>
        <v>-0.35254915624211369</v>
      </c>
      <c r="H196" s="481">
        <f>-((G196)^4+2*(G196)^3+8*(G196)^2+5*(G196))</f>
        <v>0.84060760015316638</v>
      </c>
      <c r="I196" s="480">
        <f>IF(F195&lt;H195,I195,G195)</f>
        <v>-0.31308230375283896</v>
      </c>
      <c r="J196" s="484">
        <f>-((I196)^4+2*(I196)^3+8*(I196)^2+5*(I196))</f>
        <v>0.83301624930901952</v>
      </c>
      <c r="K196" s="480">
        <f>K195*$K$127</f>
        <v>6.385870875662461E-2</v>
      </c>
      <c r="L196" s="547">
        <f t="shared" si="123"/>
        <v>2.4391856267349854E-2</v>
      </c>
      <c r="M196" s="572">
        <f>L196</f>
        <v>2.4391856267349854E-2</v>
      </c>
    </row>
    <row r="197" spans="2:14" x14ac:dyDescent="0.3">
      <c r="B197" s="547">
        <v>9</v>
      </c>
      <c r="C197" s="480">
        <f>IF(F196&lt;H196,E196,C196)</f>
        <v>-0.37694101250946355</v>
      </c>
      <c r="D197" s="481">
        <f>-((C197)^4+2*(C197)^3+8*(C197)^2+5*(C197))</f>
        <v>0.83495580533834945</v>
      </c>
      <c r="E197" s="480">
        <f>IF(F196&lt;H196,G196,I197-K197)</f>
        <v>-0.35254915624211369</v>
      </c>
      <c r="F197" s="481">
        <f>-((E197)^4+2*(E197)^3+8*(E197)^2+5*(E197))</f>
        <v>0.84060760015316638</v>
      </c>
      <c r="G197" s="480">
        <f>IF(F196&lt;H196,C197+K197,E196)</f>
        <v>-0.33747416002018898</v>
      </c>
      <c r="H197" s="481">
        <f>-((G197)^4+2*(G197)^3+8*(G197)^2+5*(G197))</f>
        <v>0.84015872999829999</v>
      </c>
      <c r="I197" s="480">
        <f>IF(F196&lt;H196,I196,G196)</f>
        <v>-0.31308230375283896</v>
      </c>
      <c r="J197" s="484">
        <f>-((I197)^4+2*(I197)^3+8*(I197)^2+5*(I197))</f>
        <v>0.83301624930901952</v>
      </c>
      <c r="K197" s="480">
        <f>K196*$K$127</f>
        <v>3.9466852489274548E-2</v>
      </c>
      <c r="L197" s="547">
        <f t="shared" si="123"/>
        <v>1.5074996221924708E-2</v>
      </c>
      <c r="M197" s="572">
        <f>L197</f>
        <v>1.5074996221924708E-2</v>
      </c>
    </row>
    <row r="198" spans="2:14" x14ac:dyDescent="0.3">
      <c r="B198" s="547">
        <v>10</v>
      </c>
      <c r="C198" s="480">
        <f>IF(F197&lt;H197,E197,C197)</f>
        <v>-0.37694101250946355</v>
      </c>
      <c r="D198" s="481">
        <f>-((C198)^4+2*(C198)^3+8*(C198)^2+5*(C198))</f>
        <v>0.83495580533834945</v>
      </c>
      <c r="E198" s="480">
        <f>IF(F197&lt;H197,G197,I198-K198)</f>
        <v>-0.36186601628753906</v>
      </c>
      <c r="F198" s="481">
        <f>-((E198)^4+2*(E198)^3+8*(E198)^2+5*(E198))</f>
        <v>0.83937739949521184</v>
      </c>
      <c r="G198" s="480">
        <f>IF(F197&lt;H197,C198+K198,E197)</f>
        <v>-0.35254915624211369</v>
      </c>
      <c r="H198" s="481">
        <f>-((G198)^4+2*(G198)^3+8*(G198)^2+5*(G198))</f>
        <v>0.84060760015316638</v>
      </c>
      <c r="I198" s="480">
        <f>IF(F197&lt;H197,I197,G197)</f>
        <v>-0.33747416002018898</v>
      </c>
      <c r="J198" s="484">
        <f>-((I198)^4+2*(I198)^3+8*(I198)^2+5*(I198))</f>
        <v>0.84015872999829999</v>
      </c>
      <c r="K198" s="480">
        <f>K197*$K$127</f>
        <v>2.4391856267350069E-2</v>
      </c>
      <c r="L198" s="547">
        <f t="shared" si="123"/>
        <v>9.3168600454253681E-3</v>
      </c>
      <c r="M198" s="572">
        <f>L198</f>
        <v>9.3168600454253681E-3</v>
      </c>
    </row>
    <row r="199" spans="2:14" x14ac:dyDescent="0.3">
      <c r="B199" s="547">
        <v>11</v>
      </c>
      <c r="C199" s="480">
        <f>IF(F198&lt;H198,E198,C198)</f>
        <v>-0.36186601628753906</v>
      </c>
      <c r="D199" s="481">
        <f>-((C199)^4+2*(C199)^3+8*(C199)^2+5*(C199))</f>
        <v>0.83937739949521184</v>
      </c>
      <c r="E199" s="480">
        <f>IF(F198&lt;H198,G198,I199-K199)</f>
        <v>-0.35254915624211369</v>
      </c>
      <c r="F199" s="481">
        <f>-((E199)^4+2*(E199)^3+8*(E199)^2+5*(E199))</f>
        <v>0.84060760015316638</v>
      </c>
      <c r="G199" s="573">
        <f>IF(F198&lt;H198,C199+K199,E198)</f>
        <v>-0.34679102006561457</v>
      </c>
      <c r="H199" s="573">
        <f>-((G199)^4+2*(G199)^3+8*(G199)^2+5*(G199))</f>
        <v>0.84079253357580741</v>
      </c>
      <c r="I199" s="480">
        <f>IF(F198&lt;H198,I198,G198)</f>
        <v>-0.33747416002018898</v>
      </c>
      <c r="J199" s="484">
        <f>-((I199)^4+2*(I199)^3+8*(I199)^2+5*(I199))</f>
        <v>0.84015872999829999</v>
      </c>
      <c r="K199" s="480">
        <f>K198*$K$127</f>
        <v>1.5074996221924486E-2</v>
      </c>
      <c r="L199" s="547">
        <f t="shared" si="123"/>
        <v>5.7581361764991179E-3</v>
      </c>
      <c r="M199" s="574">
        <f>L199</f>
        <v>5.7581361764991179E-3</v>
      </c>
    </row>
    <row r="201" spans="2:14" x14ac:dyDescent="0.3">
      <c r="B201" s="561" t="s">
        <v>382</v>
      </c>
      <c r="C201" s="476"/>
      <c r="D201" s="476"/>
      <c r="E201" s="476"/>
      <c r="F201" s="476"/>
      <c r="G201" s="476"/>
    </row>
    <row r="203" spans="2:14" x14ac:dyDescent="0.3">
      <c r="B203" s="546" t="s">
        <v>48</v>
      </c>
      <c r="C203" s="546" t="s">
        <v>57</v>
      </c>
      <c r="D203" s="546" t="s">
        <v>158</v>
      </c>
      <c r="E203" s="546" t="s">
        <v>159</v>
      </c>
      <c r="F203" s="546" t="s">
        <v>175</v>
      </c>
      <c r="G203" s="546" t="s">
        <v>278</v>
      </c>
      <c r="H203" s="546" t="s">
        <v>274</v>
      </c>
      <c r="I203" s="546" t="s">
        <v>275</v>
      </c>
      <c r="J203" s="546" t="s">
        <v>276</v>
      </c>
      <c r="K203" s="546" t="s">
        <v>287</v>
      </c>
      <c r="L203" s="546" t="s">
        <v>288</v>
      </c>
      <c r="M203" s="546" t="s">
        <v>286</v>
      </c>
      <c r="N203" s="546" t="s">
        <v>353</v>
      </c>
    </row>
    <row r="204" spans="2:14" x14ac:dyDescent="0.3">
      <c r="B204" s="547">
        <v>1</v>
      </c>
      <c r="C204" s="547">
        <v>-2</v>
      </c>
      <c r="D204" s="547">
        <v>-1</v>
      </c>
      <c r="E204" s="547">
        <v>1</v>
      </c>
      <c r="F204" s="257">
        <f t="shared" ref="F204:F206" si="125">(G204*(D204^2-E204^2)+H204*(E204^2-C204^2)+I204*(C204^2-D204^2))/(2*G204*(D204-E204)+2*H204*(E204-C204)+2*I204*(C204-D204))</f>
        <v>-0.3888888888888889</v>
      </c>
      <c r="G204" s="547">
        <f>-((C204)^4+2*(C204)^3+8*(C204)^2+5*(C204))</f>
        <v>-22</v>
      </c>
      <c r="H204" s="547">
        <f t="shared" ref="H204:J204" si="126">-((D204)^4+2*(D204)^3+8*(D204)^2+5*(D204))</f>
        <v>-2</v>
      </c>
      <c r="I204" s="547">
        <f t="shared" si="126"/>
        <v>-16</v>
      </c>
      <c r="J204" s="547">
        <f t="shared" si="126"/>
        <v>0.82932289285169936</v>
      </c>
      <c r="K204" s="547">
        <f>J204-G204</f>
        <v>22.8293228928517</v>
      </c>
      <c r="L204" s="547">
        <f>J204-H204</f>
        <v>2.8293228928516996</v>
      </c>
      <c r="M204" s="547">
        <f>J204-I204</f>
        <v>16.8293228928517</v>
      </c>
      <c r="N204" s="547">
        <f>MAX(K204:M204)</f>
        <v>22.8293228928517</v>
      </c>
    </row>
    <row r="205" spans="2:14" x14ac:dyDescent="0.3">
      <c r="B205" s="547">
        <v>2</v>
      </c>
      <c r="C205" s="547">
        <f t="shared" ref="C205:C206" si="127">IF(K204=N204,D204,C204)</f>
        <v>-1</v>
      </c>
      <c r="D205" s="547">
        <f>IF(L204=N204,F204,F204)</f>
        <v>-0.3888888888888889</v>
      </c>
      <c r="E205" s="547">
        <f>IF(M204=N204,D204,E204)</f>
        <v>1</v>
      </c>
      <c r="F205" s="257">
        <f t="shared" si="125"/>
        <v>-0.41798746774788054</v>
      </c>
      <c r="G205" s="547">
        <f t="shared" ref="G205:G206" si="128">-((C205)^4+2*(C205)^3+8*(C205)^2+5*(C205))</f>
        <v>-2</v>
      </c>
      <c r="H205" s="547">
        <f t="shared" ref="H205:H206" si="129">-((D205)^4+2*(D205)^3+8*(D205)^2+5*(D205))</f>
        <v>0.82932289285169936</v>
      </c>
      <c r="I205" s="547">
        <f t="shared" ref="I205:I206" si="130">-((E205)^4+2*(E205)^3+8*(E205)^2+5*(E205))</f>
        <v>-16</v>
      </c>
      <c r="J205" s="547">
        <f t="shared" ref="J205:J206" si="131">-((F205)^4+2*(F205)^3+8*(F205)^2+5*(F205))</f>
        <v>0.80776046428073878</v>
      </c>
      <c r="K205" s="547">
        <f>J205-G205</f>
        <v>2.8077604642807388</v>
      </c>
      <c r="L205" s="547">
        <f>J205-H205</f>
        <v>-2.1562428570960579E-2</v>
      </c>
      <c r="M205" s="547">
        <f>J205-I205</f>
        <v>16.80776046428074</v>
      </c>
      <c r="N205" s="547">
        <f>MAX(K205:M205)</f>
        <v>16.80776046428074</v>
      </c>
    </row>
    <row r="206" spans="2:14" x14ac:dyDescent="0.3">
      <c r="B206" s="257">
        <v>3</v>
      </c>
      <c r="C206" s="257">
        <f t="shared" si="127"/>
        <v>-1</v>
      </c>
      <c r="D206" s="257">
        <f t="shared" ref="D206" si="132">IF(L205=N205,F205,F205)</f>
        <v>-0.41798746774788054</v>
      </c>
      <c r="E206" s="257">
        <f t="shared" ref="E206" si="133">IF(M205=N205,D205,E205)</f>
        <v>-0.3888888888888889</v>
      </c>
      <c r="F206" s="257">
        <f t="shared" si="125"/>
        <v>-0.34798659267650367</v>
      </c>
      <c r="G206" s="547">
        <f t="shared" si="128"/>
        <v>-2</v>
      </c>
      <c r="H206" s="547">
        <f t="shared" si="129"/>
        <v>0.80776046428073878</v>
      </c>
      <c r="I206" s="547">
        <f t="shared" si="130"/>
        <v>0.82932289285169936</v>
      </c>
      <c r="J206" s="547">
        <f t="shared" si="131"/>
        <v>0.84079033743064402</v>
      </c>
      <c r="K206" s="257">
        <f t="shared" ref="K206" si="134">J206-G206</f>
        <v>2.840790337430644</v>
      </c>
      <c r="L206" s="257">
        <f t="shared" ref="L206" si="135">J206-H206</f>
        <v>3.3029873149905242E-2</v>
      </c>
      <c r="M206" s="257">
        <f t="shared" ref="M206" si="136">J206-I206</f>
        <v>1.1467444578944663E-2</v>
      </c>
      <c r="N206" s="257">
        <f t="shared" ref="N206" si="137">MAX(K206:M206)</f>
        <v>2.840790337430644</v>
      </c>
    </row>
    <row r="207" spans="2:14" x14ac:dyDescent="0.3">
      <c r="B207" s="257">
        <v>4</v>
      </c>
      <c r="C207" s="257">
        <f t="shared" ref="C207" si="138">IF(K206=N206,D206,C206)</f>
        <v>-0.41798746774788054</v>
      </c>
      <c r="D207" s="257">
        <f t="shared" ref="D207" si="139">IF(L206=N206,F206,F206)</f>
        <v>-0.34798659267650367</v>
      </c>
      <c r="E207" s="257">
        <f t="shared" ref="E207" si="140">IF(M206=N206,D206,E206)</f>
        <v>-0.3888888888888889</v>
      </c>
      <c r="F207" s="3">
        <f t="shared" ref="F207" si="141">(G207*(D207^2-E207^2)+H207*(E207^2-C207^2)+I207*(C207^2-D207^2))/(2*G207*(D207-E207)+2*H207*(E207-C207)+2*I207*(C207-D207))</f>
        <v>-0.3471357500322807</v>
      </c>
      <c r="G207" s="547">
        <f t="shared" ref="G207" si="142">-((C207)^4+2*(C207)^3+8*(C207)^2+5*(C207))</f>
        <v>0.80776046428073878</v>
      </c>
      <c r="H207" s="547">
        <f t="shared" ref="H207" si="143">-((D207)^4+2*(D207)^3+8*(D207)^2+5*(D207))</f>
        <v>0.84079033743064402</v>
      </c>
      <c r="I207" s="547">
        <f t="shared" ref="I207" si="144">-((E207)^4+2*(E207)^3+8*(E207)^2+5*(E207))</f>
        <v>0.82932289285169936</v>
      </c>
      <c r="J207" s="3">
        <f t="shared" ref="J207" si="145">-((F207)^4+2*(F207)^3+8*(F207)^2+5*(F207))</f>
        <v>0.84079384789618949</v>
      </c>
      <c r="K207" s="257">
        <f t="shared" ref="K207" si="146">J207-G207</f>
        <v>3.3033383615450718E-2</v>
      </c>
      <c r="L207" s="257">
        <f t="shared" ref="L207" si="147">J207-H207</f>
        <v>3.5104655454754052E-6</v>
      </c>
      <c r="M207" s="257">
        <f t="shared" ref="M207" si="148">J207-I207</f>
        <v>1.1470955044490139E-2</v>
      </c>
      <c r="N207" s="257">
        <f t="shared" ref="N207" si="149">MAX(K207:M207)</f>
        <v>3.3033383615450718E-2</v>
      </c>
    </row>
    <row r="209" spans="2:8" x14ac:dyDescent="0.3">
      <c r="B209" s="561" t="s">
        <v>383</v>
      </c>
      <c r="C209" s="476"/>
      <c r="D209" s="476"/>
      <c r="E209" s="476"/>
      <c r="F209" s="476"/>
      <c r="G209" s="476"/>
    </row>
    <row r="211" spans="2:8" x14ac:dyDescent="0.3">
      <c r="B211" s="260" t="s">
        <v>48</v>
      </c>
      <c r="C211" s="260" t="s">
        <v>22</v>
      </c>
      <c r="D211" s="260" t="s">
        <v>269</v>
      </c>
      <c r="E211" s="260" t="s">
        <v>270</v>
      </c>
      <c r="F211" s="260" t="s">
        <v>271</v>
      </c>
      <c r="G211" s="260" t="s">
        <v>6</v>
      </c>
      <c r="H211" s="260" t="s">
        <v>176</v>
      </c>
    </row>
    <row r="212" spans="2:8" x14ac:dyDescent="0.3">
      <c r="B212" s="547">
        <v>1</v>
      </c>
      <c r="C212" s="505">
        <v>-1</v>
      </c>
      <c r="D212" s="505">
        <f>-((C212)^4+2*(C212)^3+8*(C212)^2+5*(C212))</f>
        <v>-2</v>
      </c>
      <c r="E212" s="505">
        <f>-(4*(C212)^3+6*(C212)^2+16*(C212)+5)</f>
        <v>9</v>
      </c>
      <c r="F212" s="505">
        <f>-(12*(C212)^2+12*(C212)+16)</f>
        <v>-16</v>
      </c>
      <c r="G212" s="1"/>
      <c r="H212" s="1"/>
    </row>
    <row r="213" spans="2:8" x14ac:dyDescent="0.3">
      <c r="B213" s="547">
        <v>2</v>
      </c>
      <c r="C213" s="505">
        <f>C212-(E212/F212)</f>
        <v>-0.4375</v>
      </c>
      <c r="D213" s="505">
        <f t="shared" ref="D213:D215" si="150">-((C213)^4+2*(C213)^3+8*(C213)^2+5*(C213))</f>
        <v>0.7870941162109375</v>
      </c>
      <c r="E213" s="505">
        <f t="shared" ref="E213:E214" si="151">-(4*(C213)^3+6*(C213)^2+16*(C213)+5)</f>
        <v>1.1865234375</v>
      </c>
      <c r="F213" s="505">
        <f t="shared" ref="F213:F214" si="152">-(12*(C213)^2+12*(C213)+16)</f>
        <v>-13.046875</v>
      </c>
      <c r="G213" s="1">
        <f>ABS(C213-C212)</f>
        <v>0.5625</v>
      </c>
      <c r="H213" s="562">
        <f>G213</f>
        <v>0.5625</v>
      </c>
    </row>
    <row r="214" spans="2:8" x14ac:dyDescent="0.3">
      <c r="B214" s="547">
        <v>3</v>
      </c>
      <c r="C214" s="505">
        <f t="shared" ref="C214" si="153">C213-(E213/F213)</f>
        <v>-0.34655688622754488</v>
      </c>
      <c r="D214" s="505">
        <f t="shared" si="150"/>
        <v>0.84079074088091121</v>
      </c>
      <c r="E214" s="505">
        <f t="shared" si="151"/>
        <v>-9.2116220917919378E-3</v>
      </c>
      <c r="F214" s="505">
        <f t="shared" si="152"/>
        <v>-13.282537469970238</v>
      </c>
      <c r="G214" s="1">
        <f t="shared" ref="G214" si="154">ABS(C214-C213)</f>
        <v>9.094311377245512E-2</v>
      </c>
      <c r="H214" s="562">
        <f t="shared" ref="H214:H215" si="155">G214</f>
        <v>9.094311377245512E-2</v>
      </c>
    </row>
    <row r="215" spans="2:8" x14ac:dyDescent="0.3">
      <c r="B215" s="538">
        <v>4</v>
      </c>
      <c r="C215" s="569">
        <f t="shared" ref="C215" si="156">C214-(E214/F214)</f>
        <v>-0.34725039995657581</v>
      </c>
      <c r="D215" s="569">
        <f t="shared" si="150"/>
        <v>0.84079393527859936</v>
      </c>
      <c r="E215" s="569">
        <f t="shared" ref="E215" si="157">-(4*(C215)^3+6*(C215)^2+16*(C215)+5)</f>
        <v>-8.8426816624576077E-7</v>
      </c>
      <c r="F215" s="569">
        <f t="shared" ref="F215" si="158">-(12*(C215)^2+12*(C215)+16)</f>
        <v>-13.279989283761111</v>
      </c>
      <c r="G215" s="570">
        <f t="shared" ref="G215" si="159">ABS(C215-C214)</f>
        <v>6.9351372903092567E-4</v>
      </c>
      <c r="H215" s="571">
        <f t="shared" si="155"/>
        <v>6.9351372903092567E-4</v>
      </c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26"/>
  <sheetViews>
    <sheetView zoomScale="80" zoomScaleNormal="80" workbookViewId="0">
      <selection activeCell="I20" sqref="I20"/>
    </sheetView>
  </sheetViews>
  <sheetFormatPr baseColWidth="10" defaultRowHeight="14.4" x14ac:dyDescent="0.3"/>
  <cols>
    <col min="1" max="1" width="14.6640625" customWidth="1"/>
  </cols>
  <sheetData>
    <row r="1" spans="1:14" s="61" customFormat="1" ht="28.8" x14ac:dyDescent="0.55000000000000004">
      <c r="A1" s="610" t="s">
        <v>391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ht="15.6" x14ac:dyDescent="0.3">
      <c r="A3" s="576" t="s">
        <v>384</v>
      </c>
      <c r="B3" s="577" t="s">
        <v>385</v>
      </c>
      <c r="C3" s="578"/>
      <c r="D3" s="578"/>
    </row>
    <row r="4" spans="1:14" x14ac:dyDescent="0.3">
      <c r="B4" t="s">
        <v>386</v>
      </c>
    </row>
    <row r="7" spans="1:14" x14ac:dyDescent="0.3">
      <c r="B7" t="s">
        <v>387</v>
      </c>
    </row>
    <row r="8" spans="1:14" x14ac:dyDescent="0.3">
      <c r="B8" t="s">
        <v>281</v>
      </c>
      <c r="C8">
        <v>-2</v>
      </c>
    </row>
    <row r="9" spans="1:14" x14ac:dyDescent="0.3">
      <c r="B9" t="s">
        <v>27</v>
      </c>
      <c r="C9">
        <v>2</v>
      </c>
    </row>
    <row r="10" spans="1:14" x14ac:dyDescent="0.3">
      <c r="B10" s="579" t="s">
        <v>388</v>
      </c>
      <c r="C10" s="510">
        <v>0</v>
      </c>
      <c r="D10" s="510">
        <v>1</v>
      </c>
    </row>
    <row r="11" spans="1:14" x14ac:dyDescent="0.3">
      <c r="B11" t="s">
        <v>392</v>
      </c>
      <c r="C11">
        <v>1</v>
      </c>
    </row>
    <row r="12" spans="1:14" x14ac:dyDescent="0.3">
      <c r="B12" t="s">
        <v>393</v>
      </c>
      <c r="C12">
        <v>3</v>
      </c>
    </row>
    <row r="13" spans="1:14" x14ac:dyDescent="0.3">
      <c r="B13" s="579" t="s">
        <v>394</v>
      </c>
      <c r="C13" s="510">
        <v>0</v>
      </c>
      <c r="D13" s="510">
        <v>1</v>
      </c>
    </row>
    <row r="16" spans="1:14" x14ac:dyDescent="0.3">
      <c r="B16" s="479" t="s">
        <v>48</v>
      </c>
      <c r="C16" s="479" t="s">
        <v>22</v>
      </c>
      <c r="D16" s="479" t="s">
        <v>389</v>
      </c>
      <c r="E16" s="479" t="s">
        <v>390</v>
      </c>
    </row>
    <row r="17" spans="2:5" x14ac:dyDescent="0.3">
      <c r="B17" s="575">
        <v>1</v>
      </c>
      <c r="C17" s="575">
        <f ca="1">RANDBETWEEN(-2,2)</f>
        <v>-2</v>
      </c>
      <c r="D17" s="575">
        <f ca="1">RANDBETWEEN(1,3)</f>
        <v>1</v>
      </c>
      <c r="E17" s="575">
        <f ca="1">D17-C17-2*(C17)^2-2*C17*D17-(D17)^2</f>
        <v>-2</v>
      </c>
    </row>
    <row r="18" spans="2:5" x14ac:dyDescent="0.3">
      <c r="B18" s="575">
        <v>2</v>
      </c>
      <c r="C18" s="575">
        <f ca="1">-2+4*C17</f>
        <v>-10</v>
      </c>
      <c r="D18" s="575"/>
      <c r="E18" s="575">
        <f t="shared" ref="E18:E26" ca="1" si="0">D18-C18-2*(C18)^2-2*C18*D18-(D18)^2</f>
        <v>-190</v>
      </c>
    </row>
    <row r="19" spans="2:5" x14ac:dyDescent="0.3">
      <c r="B19" s="575">
        <v>3</v>
      </c>
      <c r="C19" s="575">
        <f ca="1">RAND()</f>
        <v>0.92657194262108133</v>
      </c>
      <c r="D19" s="575"/>
      <c r="E19" s="575">
        <f t="shared" ca="1" si="0"/>
        <v>-2.6436430723262903</v>
      </c>
    </row>
    <row r="20" spans="2:5" x14ac:dyDescent="0.3">
      <c r="B20" s="575">
        <v>4</v>
      </c>
      <c r="C20" s="575">
        <v>-1</v>
      </c>
      <c r="D20" s="575">
        <v>1.5</v>
      </c>
      <c r="E20" s="575">
        <f t="shared" si="0"/>
        <v>1.25</v>
      </c>
    </row>
    <row r="21" spans="2:5" x14ac:dyDescent="0.3">
      <c r="B21" s="575">
        <v>5</v>
      </c>
      <c r="C21" s="575">
        <v>-1</v>
      </c>
      <c r="D21" s="575">
        <v>1.5</v>
      </c>
      <c r="E21" s="575">
        <f t="shared" si="0"/>
        <v>1.25</v>
      </c>
    </row>
    <row r="22" spans="2:5" x14ac:dyDescent="0.3">
      <c r="B22" s="575">
        <v>6</v>
      </c>
      <c r="C22" s="575">
        <v>-1</v>
      </c>
      <c r="D22" s="575">
        <v>1.5</v>
      </c>
      <c r="E22" s="575">
        <f t="shared" si="0"/>
        <v>1.25</v>
      </c>
    </row>
    <row r="23" spans="2:5" x14ac:dyDescent="0.3">
      <c r="B23" s="575">
        <v>7</v>
      </c>
      <c r="C23" s="575">
        <v>-1</v>
      </c>
      <c r="D23" s="575">
        <v>1.5</v>
      </c>
      <c r="E23" s="575">
        <f t="shared" si="0"/>
        <v>1.25</v>
      </c>
    </row>
    <row r="24" spans="2:5" x14ac:dyDescent="0.3">
      <c r="B24" s="575">
        <v>8</v>
      </c>
      <c r="C24" s="575">
        <v>-1</v>
      </c>
      <c r="D24" s="575">
        <v>1.5</v>
      </c>
      <c r="E24" s="575">
        <f t="shared" si="0"/>
        <v>1.25</v>
      </c>
    </row>
    <row r="25" spans="2:5" x14ac:dyDescent="0.3">
      <c r="B25" s="575">
        <v>9</v>
      </c>
      <c r="C25" s="575">
        <v>-1</v>
      </c>
      <c r="D25" s="575">
        <v>1.5</v>
      </c>
      <c r="E25" s="575">
        <f t="shared" si="0"/>
        <v>1.25</v>
      </c>
    </row>
    <row r="26" spans="2:5" x14ac:dyDescent="0.3">
      <c r="B26" s="575">
        <v>10</v>
      </c>
      <c r="C26" s="575">
        <v>-1</v>
      </c>
      <c r="D26" s="575">
        <v>1.5</v>
      </c>
      <c r="E26" s="575">
        <f t="shared" si="0"/>
        <v>1.25</v>
      </c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107"/>
  <sheetViews>
    <sheetView topLeftCell="A9" workbookViewId="0">
      <selection activeCell="H59" sqref="H59"/>
    </sheetView>
  </sheetViews>
  <sheetFormatPr baseColWidth="10" defaultRowHeight="14.4" x14ac:dyDescent="0.3"/>
  <cols>
    <col min="1" max="1" width="12.44140625" customWidth="1"/>
    <col min="2" max="2" width="20.88671875" customWidth="1"/>
    <col min="5" max="5" width="14" customWidth="1"/>
  </cols>
  <sheetData>
    <row r="1" spans="1:14" s="61" customFormat="1" ht="28.8" x14ac:dyDescent="0.55000000000000004">
      <c r="A1" s="610" t="s">
        <v>395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</row>
    <row r="3" spans="1:14" x14ac:dyDescent="0.3">
      <c r="A3" s="96" t="s">
        <v>405</v>
      </c>
    </row>
    <row r="5" spans="1:14" ht="15" thickBot="1" x14ac:dyDescent="0.35"/>
    <row r="6" spans="1:14" ht="15" thickTop="1" x14ac:dyDescent="0.3">
      <c r="B6" s="587"/>
      <c r="C6" s="666" t="s">
        <v>403</v>
      </c>
      <c r="D6" s="666"/>
      <c r="E6" s="667" t="s">
        <v>404</v>
      </c>
    </row>
    <row r="7" spans="1:14" ht="15" thickBot="1" x14ac:dyDescent="0.35">
      <c r="B7" s="585" t="s">
        <v>396</v>
      </c>
      <c r="C7" s="592" t="s">
        <v>401</v>
      </c>
      <c r="D7" s="592" t="s">
        <v>402</v>
      </c>
      <c r="E7" s="668"/>
    </row>
    <row r="8" spans="1:14" ht="16.2" x14ac:dyDescent="0.3">
      <c r="B8" s="42" t="s">
        <v>397</v>
      </c>
      <c r="C8" s="588" t="s">
        <v>406</v>
      </c>
      <c r="D8" s="588" t="s">
        <v>407</v>
      </c>
      <c r="E8" s="588" t="s">
        <v>408</v>
      </c>
    </row>
    <row r="9" spans="1:14" x14ac:dyDescent="0.3">
      <c r="B9" s="42" t="s">
        <v>398</v>
      </c>
      <c r="C9" s="588" t="s">
        <v>409</v>
      </c>
      <c r="D9" s="588" t="s">
        <v>411</v>
      </c>
      <c r="E9" s="588" t="s">
        <v>410</v>
      </c>
    </row>
    <row r="10" spans="1:14" ht="15" thickBot="1" x14ac:dyDescent="0.35">
      <c r="B10" s="585" t="s">
        <v>399</v>
      </c>
      <c r="C10" s="586" t="s">
        <v>412</v>
      </c>
      <c r="D10" s="586" t="s">
        <v>413</v>
      </c>
      <c r="E10" s="586"/>
    </row>
    <row r="11" spans="1:14" ht="15" thickBot="1" x14ac:dyDescent="0.35">
      <c r="B11" s="589" t="s">
        <v>400</v>
      </c>
      <c r="C11" s="590" t="s">
        <v>414</v>
      </c>
      <c r="D11" s="591" t="s">
        <v>415</v>
      </c>
      <c r="E11" s="591"/>
    </row>
    <row r="12" spans="1:14" ht="15" thickTop="1" x14ac:dyDescent="0.3">
      <c r="B12" s="520"/>
    </row>
    <row r="14" spans="1:14" x14ac:dyDescent="0.3">
      <c r="E14" t="s">
        <v>432</v>
      </c>
    </row>
    <row r="17" spans="1:5" x14ac:dyDescent="0.3">
      <c r="D17">
        <v>1</v>
      </c>
    </row>
    <row r="19" spans="1:5" x14ac:dyDescent="0.3">
      <c r="D19">
        <v>2</v>
      </c>
      <c r="E19" t="s">
        <v>431</v>
      </c>
    </row>
    <row r="21" spans="1:5" x14ac:dyDescent="0.3">
      <c r="D21">
        <v>3</v>
      </c>
      <c r="E21" t="s">
        <v>430</v>
      </c>
    </row>
    <row r="23" spans="1:5" x14ac:dyDescent="0.3">
      <c r="D23">
        <v>4</v>
      </c>
      <c r="E23" t="s">
        <v>429</v>
      </c>
    </row>
    <row r="25" spans="1:5" x14ac:dyDescent="0.3">
      <c r="D25">
        <v>5</v>
      </c>
      <c r="E25" t="s">
        <v>428</v>
      </c>
    </row>
    <row r="27" spans="1:5" x14ac:dyDescent="0.3">
      <c r="D27">
        <v>6</v>
      </c>
      <c r="E27" t="s">
        <v>427</v>
      </c>
    </row>
    <row r="29" spans="1:5" x14ac:dyDescent="0.3">
      <c r="A29" s="96" t="s">
        <v>416</v>
      </c>
      <c r="B29" t="s">
        <v>433</v>
      </c>
    </row>
    <row r="34" spans="3:7" x14ac:dyDescent="0.3">
      <c r="D34" s="250">
        <v>2</v>
      </c>
      <c r="E34" s="250">
        <v>3</v>
      </c>
      <c r="F34" s="250">
        <v>5</v>
      </c>
      <c r="G34" s="250">
        <v>4</v>
      </c>
    </row>
    <row r="35" spans="3:7" ht="15" thickBot="1" x14ac:dyDescent="0.35">
      <c r="C35" s="593" t="s">
        <v>158</v>
      </c>
      <c r="D35" s="593" t="s">
        <v>159</v>
      </c>
      <c r="E35" s="593" t="s">
        <v>159</v>
      </c>
      <c r="F35" s="593" t="s">
        <v>159</v>
      </c>
      <c r="G35" s="593" t="s">
        <v>158</v>
      </c>
    </row>
    <row r="36" spans="3:7" x14ac:dyDescent="0.3">
      <c r="C36" s="595">
        <v>0</v>
      </c>
      <c r="D36" s="596">
        <f>-7*(C36)/11+7</f>
        <v>7</v>
      </c>
      <c r="E36" s="596">
        <f>-10*(C36)/8+10</f>
        <v>10</v>
      </c>
      <c r="F36" s="596">
        <v>6</v>
      </c>
      <c r="G36" s="594">
        <v>9</v>
      </c>
    </row>
    <row r="37" spans="3:7" x14ac:dyDescent="0.3">
      <c r="C37" s="479">
        <v>1</v>
      </c>
      <c r="D37" s="594">
        <f t="shared" ref="D37:D47" si="0">-7*(C37)/11+7</f>
        <v>6.3636363636363633</v>
      </c>
      <c r="E37" s="594">
        <f t="shared" ref="E37:E44" si="1">-10*(C37)/8+10</f>
        <v>8.75</v>
      </c>
      <c r="F37" s="594">
        <v>6</v>
      </c>
      <c r="G37" s="594">
        <v>9</v>
      </c>
    </row>
    <row r="38" spans="3:7" x14ac:dyDescent="0.3">
      <c r="C38" s="479">
        <v>2</v>
      </c>
      <c r="D38" s="594">
        <f t="shared" si="0"/>
        <v>5.7272727272727275</v>
      </c>
      <c r="E38" s="594">
        <f t="shared" si="1"/>
        <v>7.5</v>
      </c>
      <c r="F38" s="594">
        <v>6</v>
      </c>
      <c r="G38" s="594">
        <v>9</v>
      </c>
    </row>
    <row r="39" spans="3:7" x14ac:dyDescent="0.3">
      <c r="C39" s="479">
        <v>3</v>
      </c>
      <c r="D39" s="594">
        <f t="shared" si="0"/>
        <v>5.0909090909090908</v>
      </c>
      <c r="E39" s="594">
        <f t="shared" si="1"/>
        <v>6.25</v>
      </c>
      <c r="F39" s="594">
        <v>6</v>
      </c>
      <c r="G39" s="594">
        <v>9</v>
      </c>
    </row>
    <row r="40" spans="3:7" x14ac:dyDescent="0.3">
      <c r="C40" s="479">
        <v>4</v>
      </c>
      <c r="D40" s="594">
        <f t="shared" si="0"/>
        <v>4.454545454545455</v>
      </c>
      <c r="E40" s="594">
        <f t="shared" si="1"/>
        <v>5</v>
      </c>
      <c r="F40" s="594">
        <v>6</v>
      </c>
      <c r="G40" s="594">
        <v>9</v>
      </c>
    </row>
    <row r="41" spans="3:7" x14ac:dyDescent="0.3">
      <c r="C41" s="479">
        <v>5</v>
      </c>
      <c r="D41" s="594">
        <f t="shared" si="0"/>
        <v>3.8181818181818183</v>
      </c>
      <c r="E41" s="594">
        <f t="shared" si="1"/>
        <v>3.75</v>
      </c>
      <c r="F41" s="594">
        <v>6</v>
      </c>
      <c r="G41" s="594">
        <v>9</v>
      </c>
    </row>
    <row r="42" spans="3:7" x14ac:dyDescent="0.3">
      <c r="C42" s="479">
        <v>6</v>
      </c>
      <c r="D42" s="594">
        <f t="shared" si="0"/>
        <v>3.1818181818181817</v>
      </c>
      <c r="E42" s="594">
        <f t="shared" si="1"/>
        <v>2.5</v>
      </c>
      <c r="F42" s="594">
        <v>6</v>
      </c>
      <c r="G42" s="594">
        <v>9</v>
      </c>
    </row>
    <row r="43" spans="3:7" x14ac:dyDescent="0.3">
      <c r="C43" s="479">
        <v>7</v>
      </c>
      <c r="D43" s="594">
        <f t="shared" si="0"/>
        <v>2.5454545454545459</v>
      </c>
      <c r="E43" s="594">
        <f t="shared" si="1"/>
        <v>1.25</v>
      </c>
      <c r="F43" s="594">
        <v>6</v>
      </c>
      <c r="G43" s="594">
        <v>9</v>
      </c>
    </row>
    <row r="44" spans="3:7" x14ac:dyDescent="0.3">
      <c r="C44" s="479">
        <v>8</v>
      </c>
      <c r="D44" s="594">
        <f t="shared" si="0"/>
        <v>1.9090909090909092</v>
      </c>
      <c r="E44" s="594">
        <f t="shared" si="1"/>
        <v>0</v>
      </c>
      <c r="F44" s="594">
        <v>6</v>
      </c>
      <c r="G44" s="594">
        <v>9</v>
      </c>
    </row>
    <row r="45" spans="3:7" x14ac:dyDescent="0.3">
      <c r="C45" s="479">
        <v>9</v>
      </c>
      <c r="D45" s="594">
        <f t="shared" si="0"/>
        <v>1.2727272727272725</v>
      </c>
      <c r="E45" s="594"/>
      <c r="F45" s="594">
        <v>6</v>
      </c>
      <c r="G45" s="594">
        <v>9</v>
      </c>
    </row>
    <row r="46" spans="3:7" x14ac:dyDescent="0.3">
      <c r="C46" s="479">
        <v>10</v>
      </c>
      <c r="D46" s="594">
        <f t="shared" si="0"/>
        <v>0.63636363636363669</v>
      </c>
      <c r="E46" s="594"/>
      <c r="F46" s="594">
        <v>6</v>
      </c>
      <c r="G46" s="594">
        <v>9</v>
      </c>
    </row>
    <row r="47" spans="3:7" x14ac:dyDescent="0.3">
      <c r="C47" s="479">
        <v>11</v>
      </c>
      <c r="D47" s="594">
        <f t="shared" si="0"/>
        <v>0</v>
      </c>
      <c r="E47" s="594"/>
      <c r="F47" s="594">
        <v>6</v>
      </c>
      <c r="G47" s="594">
        <v>9</v>
      </c>
    </row>
    <row r="49" spans="1:5" ht="15" thickBot="1" x14ac:dyDescent="0.35">
      <c r="C49" s="600" t="s">
        <v>158</v>
      </c>
      <c r="D49" s="600" t="s">
        <v>159</v>
      </c>
      <c r="E49" s="600" t="s">
        <v>417</v>
      </c>
    </row>
    <row r="50" spans="1:5" x14ac:dyDescent="0.3">
      <c r="C50" s="598">
        <v>0</v>
      </c>
      <c r="D50" s="599">
        <v>6</v>
      </c>
      <c r="E50" s="595">
        <f>150*C50+175*D50</f>
        <v>1050</v>
      </c>
    </row>
    <row r="51" spans="1:5" x14ac:dyDescent="0.3">
      <c r="C51" s="380">
        <v>2</v>
      </c>
      <c r="D51" s="597">
        <v>6</v>
      </c>
      <c r="E51" s="479">
        <f t="shared" ref="E51:E53" si="2">150*C51+175*D51</f>
        <v>1350</v>
      </c>
    </row>
    <row r="52" spans="1:5" x14ac:dyDescent="0.3">
      <c r="C52" s="380">
        <v>5</v>
      </c>
      <c r="D52" s="597">
        <v>3.75</v>
      </c>
      <c r="E52" s="479">
        <f t="shared" si="2"/>
        <v>1406.25</v>
      </c>
    </row>
    <row r="53" spans="1:5" x14ac:dyDescent="0.3">
      <c r="C53" s="380">
        <v>8</v>
      </c>
      <c r="D53" s="597">
        <v>0</v>
      </c>
      <c r="E53" s="479">
        <f t="shared" si="2"/>
        <v>1200</v>
      </c>
    </row>
    <row r="56" spans="1:5" x14ac:dyDescent="0.3">
      <c r="A56" s="96" t="s">
        <v>426</v>
      </c>
      <c r="B56" s="96" t="s">
        <v>425</v>
      </c>
    </row>
    <row r="58" spans="1:5" x14ac:dyDescent="0.3">
      <c r="B58" s="96" t="s">
        <v>434</v>
      </c>
    </row>
    <row r="67" spans="2:11" x14ac:dyDescent="0.3">
      <c r="B67" s="601" t="s">
        <v>418</v>
      </c>
      <c r="C67" s="601" t="s">
        <v>417</v>
      </c>
      <c r="D67" s="601" t="s">
        <v>158</v>
      </c>
      <c r="E67" s="601" t="s">
        <v>159</v>
      </c>
      <c r="F67" s="601" t="s">
        <v>419</v>
      </c>
      <c r="G67" s="601" t="s">
        <v>420</v>
      </c>
      <c r="H67" s="601" t="s">
        <v>421</v>
      </c>
      <c r="I67" s="601" t="s">
        <v>422</v>
      </c>
      <c r="J67" s="601" t="s">
        <v>423</v>
      </c>
      <c r="K67" s="601" t="s">
        <v>424</v>
      </c>
    </row>
    <row r="68" spans="2:11" x14ac:dyDescent="0.3">
      <c r="B68" s="584" t="s">
        <v>417</v>
      </c>
      <c r="C68" s="584">
        <v>1</v>
      </c>
      <c r="D68" s="584">
        <v>-150</v>
      </c>
      <c r="E68" s="584">
        <v>-175</v>
      </c>
      <c r="F68" s="584">
        <v>0</v>
      </c>
      <c r="G68" s="584">
        <v>0</v>
      </c>
      <c r="H68" s="584">
        <v>0</v>
      </c>
      <c r="I68" s="584">
        <v>0</v>
      </c>
      <c r="J68" s="584">
        <f>D68*E68*F68</f>
        <v>0</v>
      </c>
      <c r="K68" s="584"/>
    </row>
    <row r="69" spans="2:11" x14ac:dyDescent="0.3">
      <c r="B69" s="584" t="s">
        <v>419</v>
      </c>
      <c r="C69" s="584">
        <v>0</v>
      </c>
      <c r="D69" s="584">
        <v>7</v>
      </c>
      <c r="E69" s="584">
        <v>11</v>
      </c>
      <c r="F69" s="584">
        <v>1</v>
      </c>
      <c r="G69" s="584">
        <v>0</v>
      </c>
      <c r="H69" s="584">
        <v>0</v>
      </c>
      <c r="I69" s="584">
        <v>0</v>
      </c>
      <c r="J69" s="584">
        <f>D69*E69*F69</f>
        <v>77</v>
      </c>
      <c r="K69" s="584">
        <f>J69/D69</f>
        <v>11</v>
      </c>
    </row>
    <row r="70" spans="2:11" x14ac:dyDescent="0.3">
      <c r="B70" s="584" t="s">
        <v>420</v>
      </c>
      <c r="C70" s="584">
        <v>0</v>
      </c>
      <c r="D70" s="584">
        <v>10</v>
      </c>
      <c r="E70" s="584">
        <v>8</v>
      </c>
      <c r="F70" s="584">
        <v>0</v>
      </c>
      <c r="G70" s="584">
        <v>1</v>
      </c>
      <c r="H70" s="584">
        <v>0</v>
      </c>
      <c r="I70" s="584">
        <v>0</v>
      </c>
      <c r="J70" s="584">
        <f>D70*E70*G70</f>
        <v>80</v>
      </c>
      <c r="K70" s="584">
        <f t="shared" ref="K70:K72" si="3">J70/D70</f>
        <v>8</v>
      </c>
    </row>
    <row r="71" spans="2:11" x14ac:dyDescent="0.3">
      <c r="B71" s="584" t="s">
        <v>421</v>
      </c>
      <c r="C71" s="584">
        <v>0</v>
      </c>
      <c r="D71" s="584">
        <v>1</v>
      </c>
      <c r="E71" s="584">
        <v>0</v>
      </c>
      <c r="F71" s="584">
        <v>0</v>
      </c>
      <c r="G71" s="584">
        <v>0</v>
      </c>
      <c r="H71" s="584">
        <v>1</v>
      </c>
      <c r="I71" s="584">
        <v>0</v>
      </c>
      <c r="J71" s="584">
        <f>D71*9*H71</f>
        <v>9</v>
      </c>
      <c r="K71" s="584">
        <f t="shared" si="3"/>
        <v>9</v>
      </c>
    </row>
    <row r="72" spans="2:11" x14ac:dyDescent="0.3">
      <c r="B72" s="584" t="s">
        <v>422</v>
      </c>
      <c r="C72" s="584">
        <v>0</v>
      </c>
      <c r="D72" s="584">
        <v>0</v>
      </c>
      <c r="E72" s="584">
        <v>1</v>
      </c>
      <c r="F72" s="584">
        <v>0</v>
      </c>
      <c r="G72" s="584">
        <v>0</v>
      </c>
      <c r="H72" s="584">
        <v>0</v>
      </c>
      <c r="I72" s="584">
        <v>1</v>
      </c>
      <c r="J72" s="584">
        <f>E72*6*I72</f>
        <v>6</v>
      </c>
      <c r="K72" s="584" t="e">
        <f t="shared" si="3"/>
        <v>#DIV/0!</v>
      </c>
    </row>
    <row r="107" spans="1:2" x14ac:dyDescent="0.3">
      <c r="A107" s="96" t="s">
        <v>416</v>
      </c>
      <c r="B107" s="96" t="s">
        <v>425</v>
      </c>
    </row>
  </sheetData>
  <mergeCells count="3">
    <mergeCell ref="A1:N1"/>
    <mergeCell ref="C6:D6"/>
    <mergeCell ref="E6:E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Serie_de_T1</vt:lpstr>
      <vt:lpstr>Serie_De_T2</vt:lpstr>
      <vt:lpstr>ST</vt:lpstr>
      <vt:lpstr>B1</vt:lpstr>
      <vt:lpstr>B2</vt:lpstr>
      <vt:lpstr>M F_S</vt:lpstr>
      <vt:lpstr>M F_P2</vt:lpstr>
      <vt:lpstr>M F_S1</vt:lpstr>
      <vt:lpstr>M N_R</vt:lpstr>
      <vt:lpstr>P.F</vt:lpstr>
      <vt:lpstr>M.S</vt:lpstr>
      <vt:lpstr>7.1</vt:lpstr>
      <vt:lpstr>7.2</vt:lpstr>
      <vt:lpstr>7.3</vt:lpstr>
      <vt:lpstr>7.4</vt:lpstr>
      <vt:lpstr>7.5</vt:lpstr>
      <vt:lpstr>8.1</vt:lpstr>
      <vt:lpstr>Hoja1</vt:lpstr>
      <vt:lpstr>11.3</vt:lpstr>
      <vt:lpstr>11.4</vt:lpstr>
      <vt:lpstr>12.1</vt:lpstr>
      <vt:lpstr>12.2</vt:lpstr>
      <vt:lpstr>12.3</vt:lpstr>
      <vt:lpstr>12.8</vt:lpstr>
      <vt:lpstr>12.13</vt:lpstr>
      <vt:lpstr>12.33</vt:lpstr>
      <vt:lpstr>12.34</vt:lpstr>
      <vt:lpstr>13.1</vt:lpstr>
      <vt:lpstr>13.2</vt:lpstr>
      <vt:lpstr>13.3</vt:lpstr>
      <vt:lpstr>Hoja9</vt:lpstr>
      <vt:lpstr>P13</vt:lpstr>
      <vt:lpstr>14</vt:lpstr>
      <vt:lpstr>15</vt:lpstr>
    </vt:vector>
  </TitlesOfParts>
  <Company>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 name</dc:creator>
  <cp:lastModifiedBy>Usuario</cp:lastModifiedBy>
  <dcterms:created xsi:type="dcterms:W3CDTF">2021-09-07T14:48:13Z</dcterms:created>
  <dcterms:modified xsi:type="dcterms:W3CDTF">2022-05-05T12:43:21Z</dcterms:modified>
</cp:coreProperties>
</file>