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Donadio\Documents\Dissertação\Cap 3. Water delivery method - Cross-sucking\Planilhas analise\"/>
    </mc:Choice>
  </mc:AlternateContent>
  <xr:revisionPtr revIDLastSave="0" documentId="13_ncr:1_{75B71CC4-3CE1-4A9F-860F-1BEBC4231B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7" i="1" l="1"/>
  <c r="K356" i="1"/>
  <c r="K16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8" i="1"/>
  <c r="K360" i="1"/>
  <c r="K362" i="1"/>
  <c r="K365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2" i="1"/>
  <c r="K363" i="1" l="1"/>
  <c r="K366" i="1"/>
  <c r="K367" i="1"/>
  <c r="K359" i="1"/>
  <c r="K361" i="1"/>
  <c r="K364" i="1"/>
  <c r="F385" i="1" l="1"/>
  <c r="F384" i="1"/>
  <c r="F383" i="1"/>
  <c r="F382" i="1"/>
  <c r="F381" i="1"/>
  <c r="F380" i="1"/>
  <c r="F337" i="1"/>
  <c r="F336" i="1"/>
  <c r="F335" i="1"/>
  <c r="F334" i="1"/>
  <c r="F333" i="1"/>
  <c r="F332" i="1"/>
  <c r="F289" i="1"/>
  <c r="F288" i="1"/>
  <c r="F287" i="1"/>
  <c r="F286" i="1"/>
  <c r="F285" i="1"/>
  <c r="F284" i="1"/>
  <c r="F241" i="1"/>
  <c r="F240" i="1"/>
  <c r="F239" i="1"/>
  <c r="F238" i="1"/>
  <c r="F237" i="1"/>
  <c r="F236" i="1"/>
  <c r="F193" i="1"/>
  <c r="F192" i="1"/>
  <c r="F191" i="1"/>
  <c r="F190" i="1"/>
  <c r="F189" i="1"/>
  <c r="F188" i="1"/>
  <c r="F145" i="1"/>
  <c r="F144" i="1"/>
  <c r="F143" i="1"/>
  <c r="F142" i="1"/>
  <c r="F141" i="1"/>
  <c r="F140" i="1"/>
  <c r="F97" i="1"/>
  <c r="F96" i="1"/>
  <c r="F95" i="1"/>
  <c r="F94" i="1"/>
  <c r="F93" i="1"/>
  <c r="F92" i="1"/>
  <c r="F49" i="1"/>
  <c r="F48" i="1"/>
  <c r="F47" i="1"/>
  <c r="F46" i="1"/>
  <c r="F45" i="1"/>
  <c r="F44" i="1"/>
  <c r="F379" i="1"/>
  <c r="F378" i="1"/>
  <c r="F377" i="1"/>
  <c r="F376" i="1"/>
  <c r="F375" i="1"/>
  <c r="F374" i="1"/>
  <c r="F331" i="1"/>
  <c r="F330" i="1"/>
  <c r="F329" i="1"/>
  <c r="F328" i="1"/>
  <c r="F327" i="1"/>
  <c r="F326" i="1"/>
  <c r="F283" i="1"/>
  <c r="F282" i="1"/>
  <c r="F281" i="1"/>
  <c r="F280" i="1"/>
  <c r="F279" i="1"/>
  <c r="F278" i="1"/>
  <c r="F235" i="1"/>
  <c r="F234" i="1"/>
  <c r="F233" i="1"/>
  <c r="F232" i="1"/>
  <c r="F231" i="1"/>
  <c r="F230" i="1"/>
  <c r="F187" i="1"/>
  <c r="F186" i="1"/>
  <c r="F185" i="1"/>
  <c r="F184" i="1"/>
  <c r="F183" i="1"/>
  <c r="F182" i="1"/>
  <c r="F139" i="1"/>
  <c r="F138" i="1"/>
  <c r="F137" i="1"/>
  <c r="F136" i="1"/>
  <c r="F135" i="1"/>
  <c r="F134" i="1"/>
  <c r="F91" i="1"/>
  <c r="F90" i="1"/>
  <c r="F89" i="1"/>
  <c r="F88" i="1"/>
  <c r="F87" i="1"/>
  <c r="F86" i="1"/>
  <c r="F43" i="1"/>
  <c r="F42" i="1"/>
  <c r="F41" i="1"/>
  <c r="F40" i="1"/>
  <c r="F39" i="1"/>
  <c r="F38" i="1"/>
  <c r="F373" i="1"/>
  <c r="F372" i="1"/>
  <c r="F371" i="1"/>
  <c r="F370" i="1"/>
  <c r="F369" i="1"/>
  <c r="F368" i="1"/>
  <c r="F325" i="1"/>
  <c r="F324" i="1"/>
  <c r="F323" i="1"/>
  <c r="F322" i="1"/>
  <c r="F321" i="1"/>
  <c r="F320" i="1"/>
  <c r="F277" i="1"/>
  <c r="F276" i="1"/>
  <c r="F275" i="1"/>
  <c r="F274" i="1"/>
  <c r="F273" i="1"/>
  <c r="F272" i="1"/>
  <c r="F133" i="1"/>
  <c r="F132" i="1"/>
  <c r="F131" i="1"/>
  <c r="F130" i="1"/>
  <c r="F128" i="1"/>
  <c r="F229" i="1"/>
  <c r="F228" i="1"/>
  <c r="F227" i="1"/>
  <c r="F226" i="1"/>
  <c r="F225" i="1"/>
  <c r="F224" i="1"/>
  <c r="F181" i="1"/>
  <c r="F180" i="1"/>
  <c r="F179" i="1"/>
  <c r="F178" i="1"/>
  <c r="F177" i="1"/>
  <c r="F176" i="1"/>
  <c r="F129" i="1"/>
  <c r="F85" i="1"/>
  <c r="F84" i="1"/>
  <c r="F83" i="1"/>
  <c r="F82" i="1"/>
  <c r="F81" i="1"/>
  <c r="F80" i="1"/>
  <c r="F37" i="1"/>
  <c r="F36" i="1"/>
  <c r="F35" i="1"/>
  <c r="F34" i="1"/>
  <c r="F33" i="1"/>
  <c r="F32" i="1"/>
  <c r="F367" i="1"/>
  <c r="F366" i="1"/>
  <c r="F365" i="1"/>
  <c r="F364" i="1"/>
  <c r="F363" i="1"/>
  <c r="F362" i="1"/>
  <c r="F319" i="1"/>
  <c r="F318" i="1"/>
  <c r="F317" i="1"/>
  <c r="F316" i="1"/>
  <c r="F315" i="1"/>
  <c r="F314" i="1"/>
  <c r="F271" i="1"/>
  <c r="F270" i="1"/>
  <c r="F269" i="1"/>
  <c r="F268" i="1"/>
  <c r="F267" i="1"/>
  <c r="F266" i="1"/>
  <c r="F223" i="1"/>
  <c r="F222" i="1"/>
  <c r="F221" i="1"/>
  <c r="F220" i="1"/>
  <c r="F219" i="1"/>
  <c r="F218" i="1"/>
  <c r="F175" i="1"/>
  <c r="F174" i="1"/>
  <c r="F173" i="1"/>
  <c r="F172" i="1"/>
  <c r="F171" i="1"/>
  <c r="F170" i="1"/>
  <c r="F127" i="1"/>
  <c r="F126" i="1"/>
  <c r="F125" i="1"/>
  <c r="F124" i="1"/>
  <c r="F123" i="1"/>
  <c r="F122" i="1"/>
  <c r="F79" i="1"/>
  <c r="F78" i="1"/>
  <c r="F77" i="1"/>
  <c r="F76" i="1"/>
  <c r="F75" i="1"/>
  <c r="F74" i="1"/>
  <c r="F31" i="1"/>
  <c r="F30" i="1"/>
  <c r="F29" i="1"/>
  <c r="F28" i="1"/>
  <c r="F27" i="1"/>
  <c r="F26" i="1"/>
  <c r="F361" i="1"/>
  <c r="F360" i="1"/>
  <c r="F359" i="1"/>
  <c r="F358" i="1"/>
  <c r="F357" i="1"/>
  <c r="F356" i="1"/>
  <c r="F313" i="1"/>
  <c r="F312" i="1"/>
  <c r="F311" i="1"/>
  <c r="F310" i="1"/>
  <c r="F309" i="1"/>
  <c r="F308" i="1"/>
  <c r="F265" i="1"/>
  <c r="F264" i="1"/>
  <c r="F263" i="1"/>
  <c r="F262" i="1"/>
  <c r="F261" i="1"/>
  <c r="F260" i="1"/>
  <c r="F217" i="1"/>
  <c r="F216" i="1"/>
  <c r="F215" i="1"/>
  <c r="F214" i="1"/>
  <c r="F213" i="1"/>
  <c r="F212" i="1"/>
  <c r="F169" i="1"/>
  <c r="F168" i="1"/>
  <c r="F167" i="1"/>
  <c r="F166" i="1"/>
  <c r="F165" i="1"/>
  <c r="F164" i="1"/>
  <c r="F121" i="1"/>
  <c r="F120" i="1"/>
  <c r="F119" i="1"/>
  <c r="F118" i="1"/>
  <c r="F117" i="1"/>
  <c r="F116" i="1"/>
  <c r="F73" i="1"/>
  <c r="F72" i="1"/>
  <c r="F71" i="1"/>
  <c r="F70" i="1"/>
  <c r="F69" i="1"/>
  <c r="F68" i="1"/>
  <c r="F25" i="1"/>
  <c r="F24" i="1"/>
  <c r="F23" i="1"/>
  <c r="F22" i="1"/>
  <c r="F21" i="1"/>
  <c r="F20" i="1"/>
  <c r="F355" i="1"/>
  <c r="F354" i="1"/>
  <c r="F353" i="1"/>
  <c r="F352" i="1"/>
  <c r="F351" i="1"/>
  <c r="F350" i="1"/>
  <c r="F307" i="1"/>
  <c r="F306" i="1"/>
  <c r="F305" i="1"/>
  <c r="F304" i="1"/>
  <c r="F303" i="1"/>
  <c r="F302" i="1"/>
  <c r="F259" i="1"/>
  <c r="F255" i="1"/>
  <c r="F258" i="1"/>
  <c r="F257" i="1"/>
  <c r="F256" i="1"/>
  <c r="F254" i="1"/>
  <c r="F211" i="1"/>
  <c r="F210" i="1"/>
  <c r="F209" i="1"/>
  <c r="F208" i="1"/>
  <c r="F207" i="1"/>
  <c r="F206" i="1"/>
  <c r="F163" i="1"/>
  <c r="F162" i="1"/>
  <c r="F161" i="1"/>
  <c r="F160" i="1"/>
  <c r="F159" i="1"/>
  <c r="F158" i="1"/>
  <c r="F115" i="1"/>
  <c r="F114" i="1"/>
  <c r="F113" i="1"/>
  <c r="F112" i="1"/>
  <c r="F111" i="1"/>
  <c r="F110" i="1"/>
  <c r="F67" i="1"/>
  <c r="F66" i="1"/>
  <c r="F65" i="1"/>
  <c r="F64" i="1"/>
  <c r="F63" i="1"/>
  <c r="F62" i="1"/>
  <c r="F19" i="1"/>
  <c r="F18" i="1"/>
  <c r="F17" i="1"/>
  <c r="F16" i="1"/>
  <c r="F15" i="1"/>
  <c r="F14" i="1"/>
  <c r="F349" i="1"/>
  <c r="F348" i="1"/>
  <c r="F347" i="1"/>
  <c r="F346" i="1"/>
  <c r="F345" i="1"/>
  <c r="F344" i="1"/>
  <c r="F301" i="1"/>
  <c r="F300" i="1"/>
  <c r="F299" i="1"/>
  <c r="F298" i="1"/>
  <c r="F297" i="1"/>
  <c r="F296" i="1"/>
  <c r="F253" i="1"/>
  <c r="F252" i="1"/>
  <c r="F251" i="1"/>
  <c r="F250" i="1"/>
  <c r="F249" i="1"/>
  <c r="F248" i="1"/>
  <c r="F205" i="1"/>
  <c r="F204" i="1"/>
  <c r="F203" i="1"/>
  <c r="F202" i="1"/>
  <c r="F201" i="1"/>
  <c r="F200" i="1"/>
  <c r="F157" i="1"/>
  <c r="F156" i="1"/>
  <c r="F155" i="1"/>
  <c r="F154" i="1"/>
  <c r="F153" i="1"/>
  <c r="F152" i="1"/>
  <c r="F109" i="1"/>
  <c r="F108" i="1"/>
  <c r="F107" i="1"/>
  <c r="F106" i="1"/>
  <c r="F105" i="1"/>
  <c r="F104" i="1"/>
  <c r="F61" i="1"/>
  <c r="F60" i="1"/>
  <c r="F59" i="1"/>
  <c r="F58" i="1"/>
  <c r="F57" i="1"/>
  <c r="F56" i="1"/>
  <c r="F13" i="1"/>
  <c r="F12" i="1"/>
  <c r="F11" i="1"/>
  <c r="F10" i="1"/>
  <c r="F9" i="1"/>
  <c r="F8" i="1"/>
  <c r="F343" i="1"/>
  <c r="F342" i="1"/>
  <c r="F341" i="1"/>
  <c r="F340" i="1"/>
  <c r="F339" i="1"/>
  <c r="F295" i="1"/>
  <c r="F294" i="1"/>
  <c r="F293" i="1"/>
  <c r="F292" i="1"/>
  <c r="F291" i="1"/>
  <c r="F338" i="1"/>
  <c r="F290" i="1"/>
  <c r="F247" i="1"/>
  <c r="F246" i="1"/>
  <c r="F245" i="1"/>
  <c r="F244" i="1"/>
  <c r="F243" i="1"/>
  <c r="F242" i="1"/>
  <c r="F199" i="1"/>
  <c r="F198" i="1"/>
  <c r="F197" i="1"/>
  <c r="F196" i="1"/>
  <c r="F195" i="1"/>
  <c r="F194" i="1"/>
  <c r="F151" i="1"/>
  <c r="F150" i="1"/>
  <c r="F149" i="1"/>
  <c r="F148" i="1"/>
  <c r="F147" i="1"/>
  <c r="F146" i="1"/>
  <c r="F103" i="1"/>
  <c r="F102" i="1"/>
  <c r="F101" i="1"/>
  <c r="F100" i="1"/>
  <c r="F99" i="1"/>
  <c r="F98" i="1"/>
  <c r="F55" i="1"/>
  <c r="F54" i="1"/>
  <c r="F53" i="1"/>
  <c r="F52" i="1"/>
  <c r="F51" i="1"/>
  <c r="F50" i="1"/>
  <c r="F7" i="1"/>
  <c r="F6" i="1"/>
  <c r="F5" i="1"/>
  <c r="F4" i="1"/>
  <c r="F3" i="1"/>
  <c r="F2" i="1"/>
  <c r="J385" i="1"/>
  <c r="J384" i="1"/>
  <c r="J383" i="1"/>
  <c r="J382" i="1"/>
  <c r="J381" i="1"/>
  <c r="J380" i="1"/>
  <c r="J337" i="1"/>
  <c r="J336" i="1"/>
  <c r="J335" i="1"/>
  <c r="J334" i="1"/>
  <c r="J333" i="1"/>
  <c r="J332" i="1"/>
  <c r="J289" i="1"/>
  <c r="J288" i="1"/>
  <c r="J287" i="1"/>
  <c r="J286" i="1"/>
  <c r="J285" i="1"/>
  <c r="J284" i="1"/>
  <c r="J241" i="1"/>
  <c r="J240" i="1"/>
  <c r="J239" i="1"/>
  <c r="J238" i="1"/>
  <c r="J237" i="1"/>
  <c r="J236" i="1"/>
  <c r="J193" i="1"/>
  <c r="J192" i="1"/>
  <c r="J191" i="1"/>
  <c r="J190" i="1"/>
  <c r="J189" i="1"/>
  <c r="J188" i="1"/>
  <c r="J145" i="1"/>
  <c r="J144" i="1"/>
  <c r="J143" i="1"/>
  <c r="J142" i="1"/>
  <c r="J141" i="1"/>
  <c r="J140" i="1"/>
  <c r="J97" i="1"/>
  <c r="J96" i="1"/>
  <c r="J95" i="1"/>
  <c r="J94" i="1"/>
  <c r="J93" i="1"/>
  <c r="J92" i="1"/>
  <c r="J49" i="1"/>
  <c r="J48" i="1"/>
  <c r="J47" i="1"/>
  <c r="J46" i="1"/>
  <c r="J45" i="1"/>
  <c r="J44" i="1"/>
  <c r="J379" i="1"/>
  <c r="J378" i="1"/>
  <c r="J377" i="1"/>
  <c r="J376" i="1"/>
  <c r="J375" i="1"/>
  <c r="J374" i="1"/>
  <c r="J331" i="1"/>
  <c r="J330" i="1"/>
  <c r="J329" i="1"/>
  <c r="J328" i="1"/>
  <c r="J327" i="1"/>
  <c r="J326" i="1"/>
  <c r="J283" i="1"/>
  <c r="J282" i="1"/>
  <c r="J281" i="1"/>
  <c r="J280" i="1"/>
  <c r="J279" i="1"/>
  <c r="J278" i="1"/>
  <c r="J235" i="1"/>
  <c r="J234" i="1"/>
  <c r="J233" i="1"/>
  <c r="J232" i="1"/>
  <c r="J231" i="1"/>
  <c r="J230" i="1"/>
  <c r="J187" i="1"/>
  <c r="J186" i="1"/>
  <c r="J185" i="1"/>
  <c r="J184" i="1"/>
  <c r="J183" i="1"/>
  <c r="J182" i="1"/>
  <c r="J139" i="1"/>
  <c r="J138" i="1"/>
  <c r="J137" i="1"/>
  <c r="J136" i="1"/>
  <c r="J135" i="1"/>
  <c r="J134" i="1"/>
  <c r="J91" i="1"/>
  <c r="J90" i="1"/>
  <c r="J89" i="1"/>
  <c r="J88" i="1"/>
  <c r="J87" i="1"/>
  <c r="J86" i="1"/>
  <c r="J43" i="1"/>
  <c r="J42" i="1"/>
  <c r="J41" i="1"/>
  <c r="J40" i="1"/>
  <c r="J39" i="1"/>
  <c r="J38" i="1"/>
  <c r="J373" i="1"/>
  <c r="J372" i="1"/>
  <c r="J371" i="1"/>
  <c r="J370" i="1"/>
  <c r="J369" i="1"/>
  <c r="J368" i="1"/>
  <c r="J325" i="1"/>
  <c r="J324" i="1"/>
  <c r="J323" i="1"/>
  <c r="J322" i="1"/>
  <c r="J321" i="1"/>
  <c r="J320" i="1"/>
  <c r="J277" i="1"/>
  <c r="J276" i="1"/>
  <c r="J275" i="1"/>
  <c r="J274" i="1"/>
  <c r="J273" i="1"/>
  <c r="J272" i="1"/>
  <c r="J229" i="1"/>
  <c r="J228" i="1"/>
  <c r="J227" i="1"/>
  <c r="J226" i="1"/>
  <c r="J225" i="1"/>
  <c r="J224" i="1"/>
  <c r="J181" i="1"/>
  <c r="J180" i="1"/>
  <c r="J179" i="1"/>
  <c r="J178" i="1"/>
  <c r="J177" i="1"/>
  <c r="J176" i="1"/>
  <c r="J133" i="1"/>
  <c r="J132" i="1"/>
  <c r="J131" i="1"/>
  <c r="J130" i="1"/>
  <c r="J129" i="1"/>
  <c r="J128" i="1"/>
  <c r="J85" i="1"/>
  <c r="J84" i="1"/>
  <c r="J83" i="1"/>
  <c r="J82" i="1"/>
  <c r="J81" i="1"/>
  <c r="J80" i="1"/>
  <c r="J37" i="1"/>
  <c r="J36" i="1"/>
  <c r="J35" i="1"/>
  <c r="J34" i="1"/>
  <c r="J33" i="1"/>
  <c r="J32" i="1"/>
  <c r="J367" i="1"/>
  <c r="J366" i="1"/>
  <c r="J365" i="1"/>
  <c r="J364" i="1"/>
  <c r="J363" i="1"/>
  <c r="J362" i="1"/>
  <c r="J319" i="1"/>
  <c r="J318" i="1"/>
  <c r="J317" i="1"/>
  <c r="J316" i="1"/>
  <c r="J315" i="1"/>
  <c r="J314" i="1"/>
  <c r="J271" i="1"/>
  <c r="J270" i="1"/>
  <c r="J269" i="1"/>
  <c r="J268" i="1"/>
  <c r="J267" i="1"/>
  <c r="J266" i="1"/>
  <c r="J223" i="1"/>
  <c r="J222" i="1"/>
  <c r="J221" i="1"/>
  <c r="J220" i="1"/>
  <c r="J219" i="1"/>
  <c r="J218" i="1"/>
  <c r="J175" i="1"/>
  <c r="J174" i="1"/>
  <c r="J173" i="1"/>
  <c r="J172" i="1"/>
  <c r="J171" i="1"/>
  <c r="J170" i="1"/>
  <c r="J127" i="1"/>
  <c r="J126" i="1"/>
  <c r="J125" i="1"/>
  <c r="J124" i="1"/>
  <c r="J123" i="1"/>
  <c r="J122" i="1"/>
  <c r="J79" i="1"/>
  <c r="J78" i="1"/>
  <c r="J77" i="1"/>
  <c r="J76" i="1"/>
  <c r="J75" i="1"/>
  <c r="J74" i="1"/>
  <c r="J31" i="1"/>
  <c r="J30" i="1"/>
  <c r="J29" i="1"/>
  <c r="J28" i="1"/>
  <c r="J27" i="1"/>
  <c r="J26" i="1"/>
  <c r="J361" i="1"/>
  <c r="J360" i="1"/>
  <c r="J359" i="1"/>
  <c r="J358" i="1"/>
  <c r="J357" i="1"/>
  <c r="J356" i="1"/>
  <c r="J313" i="1"/>
  <c r="J312" i="1"/>
  <c r="J311" i="1"/>
  <c r="J310" i="1"/>
  <c r="J309" i="1"/>
  <c r="J308" i="1"/>
  <c r="J265" i="1"/>
  <c r="J264" i="1"/>
  <c r="J263" i="1"/>
  <c r="J262" i="1"/>
  <c r="J261" i="1"/>
  <c r="J260" i="1"/>
  <c r="J217" i="1"/>
  <c r="J216" i="1"/>
  <c r="J215" i="1"/>
  <c r="J214" i="1"/>
  <c r="J213" i="1"/>
  <c r="J212" i="1"/>
  <c r="J169" i="1"/>
  <c r="J168" i="1"/>
  <c r="J167" i="1"/>
  <c r="J166" i="1"/>
  <c r="J165" i="1"/>
  <c r="J164" i="1"/>
  <c r="J121" i="1"/>
  <c r="J120" i="1"/>
  <c r="J119" i="1"/>
  <c r="J118" i="1"/>
  <c r="J117" i="1"/>
  <c r="J116" i="1"/>
  <c r="J73" i="1"/>
  <c r="J72" i="1"/>
  <c r="J71" i="1"/>
  <c r="J70" i="1"/>
  <c r="J69" i="1"/>
  <c r="J68" i="1"/>
  <c r="J25" i="1"/>
  <c r="J24" i="1"/>
  <c r="J23" i="1"/>
  <c r="J22" i="1"/>
  <c r="J21" i="1"/>
  <c r="J20" i="1"/>
  <c r="J355" i="1"/>
  <c r="J354" i="1"/>
  <c r="J353" i="1"/>
  <c r="J352" i="1"/>
  <c r="J351" i="1"/>
  <c r="J350" i="1"/>
  <c r="J307" i="1"/>
  <c r="J306" i="1"/>
  <c r="J305" i="1"/>
  <c r="J304" i="1"/>
  <c r="J303" i="1"/>
  <c r="J302" i="1"/>
  <c r="J259" i="1"/>
  <c r="J258" i="1"/>
  <c r="J257" i="1"/>
  <c r="J256" i="1"/>
  <c r="J255" i="1"/>
  <c r="J254" i="1"/>
  <c r="J211" i="1"/>
  <c r="J210" i="1"/>
  <c r="J209" i="1"/>
  <c r="J208" i="1"/>
  <c r="J207" i="1"/>
  <c r="J206" i="1"/>
  <c r="J163" i="1"/>
  <c r="J162" i="1"/>
  <c r="J161" i="1"/>
  <c r="J160" i="1"/>
  <c r="J159" i="1"/>
  <c r="J158" i="1"/>
  <c r="J115" i="1"/>
  <c r="J114" i="1"/>
  <c r="J113" i="1"/>
  <c r="J112" i="1"/>
  <c r="J111" i="1"/>
  <c r="J110" i="1"/>
  <c r="J67" i="1"/>
  <c r="J66" i="1"/>
  <c r="J65" i="1"/>
  <c r="J64" i="1"/>
  <c r="J63" i="1"/>
  <c r="J62" i="1"/>
  <c r="J19" i="1"/>
  <c r="J18" i="1"/>
  <c r="J17" i="1"/>
  <c r="J16" i="1"/>
  <c r="J15" i="1"/>
  <c r="J14" i="1"/>
  <c r="J349" i="1"/>
  <c r="J348" i="1"/>
  <c r="J347" i="1"/>
  <c r="J346" i="1"/>
  <c r="J345" i="1"/>
  <c r="J344" i="1"/>
  <c r="J301" i="1"/>
  <c r="J300" i="1"/>
  <c r="J299" i="1"/>
  <c r="J298" i="1"/>
  <c r="J297" i="1"/>
  <c r="J296" i="1"/>
  <c r="J253" i="1"/>
  <c r="J252" i="1"/>
  <c r="J251" i="1"/>
  <c r="J250" i="1"/>
  <c r="J249" i="1"/>
  <c r="J248" i="1"/>
  <c r="J205" i="1"/>
  <c r="J204" i="1"/>
  <c r="J203" i="1"/>
  <c r="J202" i="1"/>
  <c r="J201" i="1"/>
  <c r="J200" i="1"/>
  <c r="J157" i="1"/>
  <c r="J156" i="1"/>
  <c r="J155" i="1"/>
  <c r="J154" i="1"/>
  <c r="J153" i="1"/>
  <c r="J152" i="1"/>
  <c r="J109" i="1"/>
  <c r="J108" i="1"/>
  <c r="J107" i="1"/>
  <c r="J106" i="1"/>
  <c r="J105" i="1"/>
  <c r="J104" i="1"/>
  <c r="J61" i="1"/>
  <c r="J60" i="1"/>
  <c r="J59" i="1"/>
  <c r="J58" i="1"/>
  <c r="J57" i="1"/>
  <c r="J56" i="1"/>
  <c r="J13" i="1"/>
  <c r="J12" i="1"/>
  <c r="J11" i="1"/>
  <c r="J10" i="1"/>
  <c r="J9" i="1"/>
  <c r="J8" i="1"/>
  <c r="J343" i="1"/>
  <c r="J342" i="1"/>
  <c r="J341" i="1"/>
  <c r="J340" i="1"/>
  <c r="J339" i="1"/>
  <c r="J338" i="1"/>
  <c r="J295" i="1"/>
  <c r="J294" i="1"/>
  <c r="J293" i="1"/>
  <c r="J292" i="1"/>
  <c r="J291" i="1"/>
  <c r="J290" i="1"/>
  <c r="J247" i="1"/>
  <c r="J246" i="1"/>
  <c r="J245" i="1"/>
  <c r="J244" i="1"/>
  <c r="J243" i="1"/>
  <c r="J242" i="1"/>
  <c r="J199" i="1"/>
  <c r="J198" i="1"/>
  <c r="J197" i="1"/>
  <c r="J196" i="1"/>
  <c r="J195" i="1"/>
  <c r="J194" i="1"/>
  <c r="J151" i="1"/>
  <c r="J150" i="1"/>
  <c r="J149" i="1"/>
  <c r="J148" i="1"/>
  <c r="J147" i="1"/>
  <c r="J146" i="1"/>
  <c r="J103" i="1"/>
  <c r="J102" i="1"/>
  <c r="J101" i="1"/>
  <c r="J100" i="1"/>
  <c r="J99" i="1"/>
  <c r="J98" i="1"/>
  <c r="J55" i="1"/>
  <c r="J54" i="1"/>
  <c r="J53" i="1"/>
  <c r="J52" i="1"/>
  <c r="J51" i="1"/>
  <c r="J50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<sst xmlns="http://schemas.openxmlformats.org/spreadsheetml/2006/main" count="1165" uniqueCount="25">
  <si>
    <t>Group_Size</t>
  </si>
  <si>
    <t>Intake_calf</t>
  </si>
  <si>
    <t>Intake_group</t>
  </si>
  <si>
    <t>Time_day</t>
  </si>
  <si>
    <t>Week</t>
  </si>
  <si>
    <t>Date</t>
  </si>
  <si>
    <t>Treatment</t>
  </si>
  <si>
    <t>Paddock</t>
  </si>
  <si>
    <t>Group</t>
  </si>
  <si>
    <t>Amarelo</t>
  </si>
  <si>
    <t>Bico</t>
  </si>
  <si>
    <t>Diurno</t>
  </si>
  <si>
    <t>Noturno</t>
  </si>
  <si>
    <t>Azul</t>
  </si>
  <si>
    <t>Controle</t>
  </si>
  <si>
    <t>Laranja</t>
  </si>
  <si>
    <t>Lilás</t>
  </si>
  <si>
    <t>Ouro</t>
  </si>
  <si>
    <t>Roxo</t>
  </si>
  <si>
    <t>Verde</t>
  </si>
  <si>
    <t>Vermelho</t>
  </si>
  <si>
    <t>Avg_weight</t>
  </si>
  <si>
    <t>ITU_Med</t>
  </si>
  <si>
    <t>Data</t>
  </si>
  <si>
    <t>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</si>
</sst>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5"/>
  <sheetViews>
    <sheetView tabSelected="1" workbookViewId="0">
      <selection activeCell="M8" sqref="M8"/>
    </sheetView>
  </sheetViews>
  <sheetFormatPr defaultRowHeight="15" x14ac:dyDescent="0.25"/>
  <cols>
    <col min="1" max="5" width="13.42578125" style="3" customWidth="1"/>
    <col min="6" max="6" width="13.42578125" style="5" customWidth="1"/>
    <col min="7" max="10" width="13.42578125" style="3" customWidth="1"/>
  </cols>
  <sheetData>
    <row r="1" spans="1:11" x14ac:dyDescent="0.25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2" t="s">
        <v>21</v>
      </c>
      <c r="G1" s="1" t="s">
        <v>3</v>
      </c>
      <c r="H1" s="1" t="s">
        <v>2</v>
      </c>
      <c r="I1" s="1" t="s">
        <v>0</v>
      </c>
      <c r="J1" s="2" t="s">
        <v>1</v>
      </c>
      <c r="K1" s="1" t="s">
        <v>24</v>
      </c>
    </row>
    <row r="2" spans="1:11" x14ac:dyDescent="0.25">
      <c r="A2" s="3" t="s">
        <v>9</v>
      </c>
      <c r="B2" s="3">
        <v>1</v>
      </c>
      <c r="C2" s="3" t="s">
        <v>10</v>
      </c>
      <c r="D2" s="4">
        <v>45154</v>
      </c>
      <c r="E2" s="3">
        <v>1</v>
      </c>
      <c r="F2" s="5">
        <f t="shared" ref="F2:F7" si="0">(42+32+43)/3</f>
        <v>39</v>
      </c>
      <c r="G2" s="3" t="s">
        <v>11</v>
      </c>
      <c r="H2" s="3">
        <v>17.7</v>
      </c>
      <c r="I2" s="3">
        <v>3</v>
      </c>
      <c r="J2" s="5">
        <f t="shared" ref="J2:J65" si="1">H2/I2</f>
        <v>5.8999999999999995</v>
      </c>
      <c r="K2">
        <f>SUMIF(Planilha1!A:A, Plan1!D2, Planilha1!B:B)</f>
        <v>66.392407846666671</v>
      </c>
    </row>
    <row r="3" spans="1:11" x14ac:dyDescent="0.25">
      <c r="A3" s="3" t="s">
        <v>9</v>
      </c>
      <c r="B3" s="3">
        <v>1</v>
      </c>
      <c r="C3" s="3" t="s">
        <v>10</v>
      </c>
      <c r="D3" s="4">
        <v>45156</v>
      </c>
      <c r="E3" s="3">
        <v>1</v>
      </c>
      <c r="F3" s="5">
        <f t="shared" si="0"/>
        <v>39</v>
      </c>
      <c r="G3" s="3" t="s">
        <v>11</v>
      </c>
      <c r="H3" s="3">
        <v>11.9</v>
      </c>
      <c r="I3" s="3">
        <v>3</v>
      </c>
      <c r="J3" s="5">
        <f t="shared" si="1"/>
        <v>3.9666666666666668</v>
      </c>
      <c r="K3">
        <f>SUMIF(Planilha1!A:A, Plan1!D3, Planilha1!B:B)</f>
        <v>67.960092055000004</v>
      </c>
    </row>
    <row r="4" spans="1:11" x14ac:dyDescent="0.25">
      <c r="A4" s="3" t="s">
        <v>9</v>
      </c>
      <c r="B4" s="3">
        <v>1</v>
      </c>
      <c r="C4" s="3" t="s">
        <v>10</v>
      </c>
      <c r="D4" s="4">
        <v>45158</v>
      </c>
      <c r="E4" s="3">
        <v>1</v>
      </c>
      <c r="F4" s="5">
        <f t="shared" si="0"/>
        <v>39</v>
      </c>
      <c r="G4" s="3" t="s">
        <v>11</v>
      </c>
      <c r="H4" s="3">
        <v>6.3</v>
      </c>
      <c r="I4" s="3">
        <v>3</v>
      </c>
      <c r="J4" s="5">
        <f t="shared" si="1"/>
        <v>2.1</v>
      </c>
      <c r="K4">
        <f>SUMIF(Planilha1!A:A, Plan1!D4, Planilha1!B:B)</f>
        <v>64.913950115000006</v>
      </c>
    </row>
    <row r="5" spans="1:11" x14ac:dyDescent="0.25">
      <c r="A5" s="3" t="s">
        <v>9</v>
      </c>
      <c r="B5" s="3">
        <v>1</v>
      </c>
      <c r="C5" s="3" t="s">
        <v>10</v>
      </c>
      <c r="D5" s="4">
        <v>45155</v>
      </c>
      <c r="E5" s="3">
        <v>1</v>
      </c>
      <c r="F5" s="5">
        <f t="shared" si="0"/>
        <v>39</v>
      </c>
      <c r="G5" s="3" t="s">
        <v>12</v>
      </c>
      <c r="H5" s="3">
        <v>23.3</v>
      </c>
      <c r="I5" s="3">
        <v>3</v>
      </c>
      <c r="J5" s="5">
        <f t="shared" si="1"/>
        <v>7.7666666666666666</v>
      </c>
      <c r="K5">
        <f>SUMIF(Planilha1!A:A, Plan1!D5, Planilha1!B:B)</f>
        <v>67.681516200000004</v>
      </c>
    </row>
    <row r="6" spans="1:11" x14ac:dyDescent="0.25">
      <c r="A6" s="3" t="s">
        <v>9</v>
      </c>
      <c r="B6" s="3">
        <v>1</v>
      </c>
      <c r="C6" s="3" t="s">
        <v>10</v>
      </c>
      <c r="D6" s="4">
        <v>45157</v>
      </c>
      <c r="E6" s="3">
        <v>1</v>
      </c>
      <c r="F6" s="5">
        <f t="shared" si="0"/>
        <v>39</v>
      </c>
      <c r="G6" s="3" t="s">
        <v>12</v>
      </c>
      <c r="H6" s="3">
        <v>8.5</v>
      </c>
      <c r="I6" s="3">
        <v>3</v>
      </c>
      <c r="J6" s="5">
        <f t="shared" si="1"/>
        <v>2.8333333333333335</v>
      </c>
      <c r="K6">
        <f>SUMIF(Planilha1!A:A, Plan1!D6, Planilha1!B:B)</f>
        <v>67.187348045000007</v>
      </c>
    </row>
    <row r="7" spans="1:11" x14ac:dyDescent="0.25">
      <c r="A7" s="3" t="s">
        <v>9</v>
      </c>
      <c r="B7" s="3">
        <v>1</v>
      </c>
      <c r="C7" s="3" t="s">
        <v>10</v>
      </c>
      <c r="D7" s="4">
        <v>45159</v>
      </c>
      <c r="E7" s="3">
        <v>1</v>
      </c>
      <c r="F7" s="5">
        <f t="shared" si="0"/>
        <v>39</v>
      </c>
      <c r="G7" s="3" t="s">
        <v>12</v>
      </c>
      <c r="H7" s="3">
        <v>9.5</v>
      </c>
      <c r="I7" s="3">
        <v>3</v>
      </c>
      <c r="J7" s="5">
        <f t="shared" si="1"/>
        <v>3.1666666666666665</v>
      </c>
      <c r="K7">
        <f>SUMIF(Planilha1!A:A, Plan1!D7, Planilha1!B:B)</f>
        <v>66.785036223333336</v>
      </c>
    </row>
    <row r="8" spans="1:11" x14ac:dyDescent="0.25">
      <c r="A8" s="3" t="s">
        <v>13</v>
      </c>
      <c r="B8" s="3">
        <v>2</v>
      </c>
      <c r="C8" s="3" t="s">
        <v>14</v>
      </c>
      <c r="D8" s="4">
        <v>45176</v>
      </c>
      <c r="E8" s="3">
        <v>1</v>
      </c>
      <c r="F8" s="5">
        <f t="shared" ref="F8:F13" si="2">(43+32+33)/3</f>
        <v>36</v>
      </c>
      <c r="G8" s="3" t="s">
        <v>12</v>
      </c>
      <c r="H8" s="3">
        <v>3.5</v>
      </c>
      <c r="I8" s="3">
        <v>3</v>
      </c>
      <c r="J8" s="5">
        <f t="shared" si="1"/>
        <v>1.1666666666666667</v>
      </c>
      <c r="K8">
        <f>SUMIF(Planilha1!A:A, Plan1!D8, Planilha1!B:B)</f>
        <v>66.657536766666666</v>
      </c>
    </row>
    <row r="9" spans="1:11" x14ac:dyDescent="0.25">
      <c r="A9" s="3" t="s">
        <v>13</v>
      </c>
      <c r="B9" s="3">
        <v>2</v>
      </c>
      <c r="C9" s="3" t="s">
        <v>14</v>
      </c>
      <c r="D9" s="4">
        <v>45177</v>
      </c>
      <c r="E9" s="3">
        <v>1</v>
      </c>
      <c r="F9" s="5">
        <f t="shared" si="2"/>
        <v>36</v>
      </c>
      <c r="G9" s="3" t="s">
        <v>12</v>
      </c>
      <c r="H9" s="3">
        <v>3</v>
      </c>
      <c r="I9" s="3">
        <v>3</v>
      </c>
      <c r="J9" s="5">
        <f t="shared" si="1"/>
        <v>1</v>
      </c>
      <c r="K9">
        <f>SUMIF(Planilha1!A:A, Plan1!D9, Planilha1!B:B)</f>
        <v>69.01980846333332</v>
      </c>
    </row>
    <row r="10" spans="1:11" x14ac:dyDescent="0.25">
      <c r="A10" s="3" t="s">
        <v>13</v>
      </c>
      <c r="B10" s="3">
        <v>2</v>
      </c>
      <c r="C10" s="3" t="s">
        <v>14</v>
      </c>
      <c r="D10" s="4">
        <v>45178</v>
      </c>
      <c r="E10" s="3">
        <v>1</v>
      </c>
      <c r="F10" s="5">
        <f t="shared" si="2"/>
        <v>36</v>
      </c>
      <c r="G10" s="3" t="s">
        <v>12</v>
      </c>
      <c r="H10" s="3">
        <v>3.5</v>
      </c>
      <c r="I10" s="3">
        <v>3</v>
      </c>
      <c r="J10" s="5">
        <f t="shared" si="1"/>
        <v>1.1666666666666667</v>
      </c>
      <c r="K10">
        <f>SUMIF(Planilha1!A:A, Plan1!D10, Planilha1!B:B)</f>
        <v>69.240977786666676</v>
      </c>
    </row>
    <row r="11" spans="1:11" x14ac:dyDescent="0.25">
      <c r="A11" s="3" t="s">
        <v>13</v>
      </c>
      <c r="B11" s="3">
        <v>2</v>
      </c>
      <c r="C11" s="3" t="s">
        <v>14</v>
      </c>
      <c r="D11" s="4">
        <v>45175</v>
      </c>
      <c r="E11" s="3">
        <v>1</v>
      </c>
      <c r="F11" s="5">
        <f t="shared" si="2"/>
        <v>36</v>
      </c>
      <c r="G11" s="3" t="s">
        <v>11</v>
      </c>
      <c r="H11" s="3">
        <v>2.4</v>
      </c>
      <c r="I11" s="3">
        <v>3</v>
      </c>
      <c r="J11" s="5">
        <f t="shared" si="1"/>
        <v>0.79999999999999993</v>
      </c>
      <c r="K11">
        <f>SUMIF(Planilha1!A:A, Plan1!D11, Planilha1!B:B)</f>
        <v>65.299134666666689</v>
      </c>
    </row>
    <row r="12" spans="1:11" x14ac:dyDescent="0.25">
      <c r="A12" s="3" t="s">
        <v>13</v>
      </c>
      <c r="B12" s="3">
        <v>2</v>
      </c>
      <c r="C12" s="3" t="s">
        <v>14</v>
      </c>
      <c r="D12" s="4">
        <v>45176</v>
      </c>
      <c r="E12" s="3">
        <v>1</v>
      </c>
      <c r="F12" s="5">
        <f t="shared" si="2"/>
        <v>36</v>
      </c>
      <c r="G12" s="3" t="s">
        <v>11</v>
      </c>
      <c r="H12" s="3">
        <v>3.3</v>
      </c>
      <c r="I12" s="3">
        <v>3</v>
      </c>
      <c r="J12" s="5">
        <f t="shared" si="1"/>
        <v>1.0999999999999999</v>
      </c>
      <c r="K12">
        <f>SUMIF(Planilha1!A:A, Plan1!D12, Planilha1!B:B)</f>
        <v>66.657536766666666</v>
      </c>
    </row>
    <row r="13" spans="1:11" x14ac:dyDescent="0.25">
      <c r="A13" s="3" t="s">
        <v>13</v>
      </c>
      <c r="B13" s="3">
        <v>2</v>
      </c>
      <c r="C13" s="3" t="s">
        <v>14</v>
      </c>
      <c r="D13" s="4">
        <v>45178</v>
      </c>
      <c r="E13" s="3">
        <v>1</v>
      </c>
      <c r="F13" s="5">
        <f t="shared" si="2"/>
        <v>36</v>
      </c>
      <c r="G13" s="3" t="s">
        <v>11</v>
      </c>
      <c r="H13" s="3">
        <v>3.5</v>
      </c>
      <c r="I13" s="3">
        <v>3</v>
      </c>
      <c r="J13" s="5">
        <f t="shared" si="1"/>
        <v>1.1666666666666667</v>
      </c>
      <c r="K13">
        <f>SUMIF(Planilha1!A:A, Plan1!D13, Planilha1!B:B)</f>
        <v>69.240977786666676</v>
      </c>
    </row>
    <row r="14" spans="1:11" x14ac:dyDescent="0.25">
      <c r="A14" s="3" t="s">
        <v>15</v>
      </c>
      <c r="B14" s="3">
        <v>7</v>
      </c>
      <c r="C14" s="3" t="s">
        <v>14</v>
      </c>
      <c r="D14" s="4">
        <v>45170</v>
      </c>
      <c r="E14" s="3">
        <v>1</v>
      </c>
      <c r="F14" s="5">
        <f t="shared" ref="F14:F19" si="3">(28.5+37+36)/3</f>
        <v>33.833333333333336</v>
      </c>
      <c r="G14" s="3" t="s">
        <v>11</v>
      </c>
      <c r="H14" s="3">
        <v>1.5</v>
      </c>
      <c r="I14" s="3">
        <v>3</v>
      </c>
      <c r="J14" s="5">
        <f t="shared" si="1"/>
        <v>0.5</v>
      </c>
      <c r="K14">
        <f>SUMIF(Planilha1!A:A, Plan1!D14, Planilha1!B:B)</f>
        <v>66.936242143333331</v>
      </c>
    </row>
    <row r="15" spans="1:11" x14ac:dyDescent="0.25">
      <c r="A15" s="3" t="s">
        <v>15</v>
      </c>
      <c r="B15" s="3">
        <v>7</v>
      </c>
      <c r="C15" s="3" t="s">
        <v>14</v>
      </c>
      <c r="D15" s="4">
        <v>45172</v>
      </c>
      <c r="E15" s="3">
        <v>1</v>
      </c>
      <c r="F15" s="5">
        <f t="shared" si="3"/>
        <v>33.833333333333336</v>
      </c>
      <c r="G15" s="3" t="s">
        <v>11</v>
      </c>
      <c r="H15" s="3">
        <v>2</v>
      </c>
      <c r="I15" s="3">
        <v>3</v>
      </c>
      <c r="J15" s="5">
        <f t="shared" si="1"/>
        <v>0.66666666666666663</v>
      </c>
      <c r="K15">
        <f>SUMIF(Planilha1!A:A, Plan1!D15, Planilha1!B:B)</f>
        <v>71.762686928333338</v>
      </c>
    </row>
    <row r="16" spans="1:11" x14ac:dyDescent="0.25">
      <c r="A16" s="3" t="s">
        <v>15</v>
      </c>
      <c r="B16" s="3">
        <v>7</v>
      </c>
      <c r="C16" s="3" t="s">
        <v>14</v>
      </c>
      <c r="D16" s="4">
        <v>45171</v>
      </c>
      <c r="E16" s="3">
        <v>1</v>
      </c>
      <c r="F16" s="5">
        <f t="shared" si="3"/>
        <v>33.833333333333336</v>
      </c>
      <c r="G16" s="3" t="s">
        <v>11</v>
      </c>
      <c r="H16" s="3">
        <v>1.6</v>
      </c>
      <c r="I16" s="3">
        <v>3</v>
      </c>
      <c r="J16" s="5">
        <f t="shared" si="1"/>
        <v>0.53333333333333333</v>
      </c>
      <c r="K16">
        <f>SUMIF(Planilha1!A:A, Plan1!D16, Planilha1!B:B)</f>
        <v>73.088972238333341</v>
      </c>
    </row>
    <row r="17" spans="1:11" x14ac:dyDescent="0.25">
      <c r="A17" s="3" t="s">
        <v>15</v>
      </c>
      <c r="B17" s="3">
        <v>7</v>
      </c>
      <c r="C17" s="3" t="s">
        <v>14</v>
      </c>
      <c r="D17" s="4">
        <v>45172</v>
      </c>
      <c r="E17" s="3">
        <v>1</v>
      </c>
      <c r="F17" s="5">
        <f t="shared" si="3"/>
        <v>33.833333333333336</v>
      </c>
      <c r="G17" s="3" t="s">
        <v>12</v>
      </c>
      <c r="H17" s="3">
        <v>6.1</v>
      </c>
      <c r="I17" s="3">
        <v>3</v>
      </c>
      <c r="J17" s="5">
        <f t="shared" si="1"/>
        <v>2.0333333333333332</v>
      </c>
      <c r="K17">
        <f>SUMIF(Planilha1!A:A, Plan1!D17, Planilha1!B:B)</f>
        <v>71.762686928333338</v>
      </c>
    </row>
    <row r="18" spans="1:11" x14ac:dyDescent="0.25">
      <c r="A18" s="3" t="s">
        <v>15</v>
      </c>
      <c r="B18" s="3">
        <v>7</v>
      </c>
      <c r="C18" s="3" t="s">
        <v>14</v>
      </c>
      <c r="D18" s="4">
        <v>45171</v>
      </c>
      <c r="E18" s="3">
        <v>1</v>
      </c>
      <c r="F18" s="5">
        <f t="shared" si="3"/>
        <v>33.833333333333336</v>
      </c>
      <c r="G18" s="3" t="s">
        <v>12</v>
      </c>
      <c r="H18" s="3">
        <v>4.2</v>
      </c>
      <c r="I18" s="3">
        <v>3</v>
      </c>
      <c r="J18" s="5">
        <f t="shared" si="1"/>
        <v>1.4000000000000001</v>
      </c>
      <c r="K18">
        <f>SUMIF(Planilha1!A:A, Plan1!D18, Planilha1!B:B)</f>
        <v>73.088972238333341</v>
      </c>
    </row>
    <row r="19" spans="1:11" x14ac:dyDescent="0.25">
      <c r="A19" s="3" t="s">
        <v>15</v>
      </c>
      <c r="B19" s="3">
        <v>7</v>
      </c>
      <c r="C19" s="3" t="s">
        <v>14</v>
      </c>
      <c r="D19" s="4">
        <v>45170</v>
      </c>
      <c r="E19" s="3">
        <v>1</v>
      </c>
      <c r="F19" s="5">
        <f t="shared" si="3"/>
        <v>33.833333333333336</v>
      </c>
      <c r="G19" s="3" t="s">
        <v>12</v>
      </c>
      <c r="H19" s="3">
        <v>5.5</v>
      </c>
      <c r="I19" s="3">
        <v>3</v>
      </c>
      <c r="J19" s="5">
        <f t="shared" si="1"/>
        <v>1.8333333333333333</v>
      </c>
      <c r="K19">
        <f>SUMIF(Planilha1!A:A, Plan1!D19, Planilha1!B:B)</f>
        <v>66.936242143333331</v>
      </c>
    </row>
    <row r="20" spans="1:11" x14ac:dyDescent="0.25">
      <c r="A20" s="3" t="s">
        <v>16</v>
      </c>
      <c r="B20" s="3">
        <v>6</v>
      </c>
      <c r="C20" s="3" t="s">
        <v>10</v>
      </c>
      <c r="D20" s="4">
        <v>45244</v>
      </c>
      <c r="E20" s="3">
        <v>1</v>
      </c>
      <c r="F20" s="5">
        <f t="shared" ref="F20:F25" si="4">(39.7+43+35.9)/3</f>
        <v>39.533333333333331</v>
      </c>
      <c r="G20" s="3" t="s">
        <v>12</v>
      </c>
      <c r="H20" s="3">
        <v>4.4000000000000004</v>
      </c>
      <c r="I20" s="3">
        <v>3</v>
      </c>
      <c r="J20" s="5">
        <f t="shared" si="1"/>
        <v>1.4666666666666668</v>
      </c>
      <c r="K20">
        <f>SUMIF(Planilha1!A:A, Plan1!D20, Planilha1!B:B)</f>
        <v>80.957739188333335</v>
      </c>
    </row>
    <row r="21" spans="1:11" x14ac:dyDescent="0.25">
      <c r="A21" s="3" t="s">
        <v>16</v>
      </c>
      <c r="B21" s="3">
        <v>6</v>
      </c>
      <c r="C21" s="3" t="s">
        <v>10</v>
      </c>
      <c r="D21" s="4">
        <v>45245</v>
      </c>
      <c r="E21" s="3">
        <v>1</v>
      </c>
      <c r="F21" s="5">
        <f t="shared" si="4"/>
        <v>39.533333333333331</v>
      </c>
      <c r="G21" s="3" t="s">
        <v>12</v>
      </c>
      <c r="H21" s="3">
        <v>9.9</v>
      </c>
      <c r="I21" s="3">
        <v>3</v>
      </c>
      <c r="J21" s="5">
        <f t="shared" si="1"/>
        <v>3.3000000000000003</v>
      </c>
      <c r="K21">
        <f>SUMIF(Planilha1!A:A, Plan1!D21, Planilha1!B:B)</f>
        <v>79.519030721666653</v>
      </c>
    </row>
    <row r="22" spans="1:11" x14ac:dyDescent="0.25">
      <c r="A22" s="3" t="s">
        <v>16</v>
      </c>
      <c r="B22" s="3">
        <v>6</v>
      </c>
      <c r="C22" s="3" t="s">
        <v>10</v>
      </c>
      <c r="D22" s="4">
        <v>45246</v>
      </c>
      <c r="E22" s="3">
        <v>1</v>
      </c>
      <c r="F22" s="5">
        <f t="shared" si="4"/>
        <v>39.533333333333331</v>
      </c>
      <c r="G22" s="3" t="s">
        <v>12</v>
      </c>
      <c r="H22" s="3">
        <v>11</v>
      </c>
      <c r="I22" s="3">
        <v>3</v>
      </c>
      <c r="J22" s="5">
        <f t="shared" si="1"/>
        <v>3.6666666666666665</v>
      </c>
      <c r="K22">
        <f>SUMIF(Planilha1!A:A, Plan1!D22, Planilha1!B:B)</f>
        <v>79.508426616666682</v>
      </c>
    </row>
    <row r="23" spans="1:11" x14ac:dyDescent="0.25">
      <c r="A23" s="3" t="s">
        <v>16</v>
      </c>
      <c r="B23" s="3">
        <v>6</v>
      </c>
      <c r="C23" s="3" t="s">
        <v>10</v>
      </c>
      <c r="D23" s="4">
        <v>45244</v>
      </c>
      <c r="E23" s="3">
        <v>1</v>
      </c>
      <c r="F23" s="5">
        <f t="shared" si="4"/>
        <v>39.533333333333331</v>
      </c>
      <c r="G23" s="3" t="s">
        <v>11</v>
      </c>
      <c r="H23" s="3">
        <v>3.4</v>
      </c>
      <c r="I23" s="3">
        <v>3</v>
      </c>
      <c r="J23" s="5">
        <f t="shared" si="1"/>
        <v>1.1333333333333333</v>
      </c>
      <c r="K23">
        <f>SUMIF(Planilha1!A:A, Plan1!D23, Planilha1!B:B)</f>
        <v>80.957739188333335</v>
      </c>
    </row>
    <row r="24" spans="1:11" x14ac:dyDescent="0.25">
      <c r="A24" s="3" t="s">
        <v>16</v>
      </c>
      <c r="B24" s="3">
        <v>6</v>
      </c>
      <c r="C24" s="3" t="s">
        <v>10</v>
      </c>
      <c r="D24" s="4">
        <v>45245</v>
      </c>
      <c r="E24" s="3">
        <v>1</v>
      </c>
      <c r="F24" s="5">
        <f t="shared" si="4"/>
        <v>39.533333333333331</v>
      </c>
      <c r="G24" s="3" t="s">
        <v>11</v>
      </c>
      <c r="H24" s="3">
        <v>4.4000000000000004</v>
      </c>
      <c r="I24" s="3">
        <v>3</v>
      </c>
      <c r="J24" s="5">
        <f t="shared" si="1"/>
        <v>1.4666666666666668</v>
      </c>
      <c r="K24">
        <f>SUMIF(Planilha1!A:A, Plan1!D24, Planilha1!B:B)</f>
        <v>79.519030721666653</v>
      </c>
    </row>
    <row r="25" spans="1:11" x14ac:dyDescent="0.25">
      <c r="A25" s="3" t="s">
        <v>16</v>
      </c>
      <c r="B25" s="3">
        <v>6</v>
      </c>
      <c r="C25" s="3" t="s">
        <v>10</v>
      </c>
      <c r="D25" s="4">
        <v>45246</v>
      </c>
      <c r="E25" s="3">
        <v>1</v>
      </c>
      <c r="F25" s="5">
        <f t="shared" si="4"/>
        <v>39.533333333333331</v>
      </c>
      <c r="G25" s="3" t="s">
        <v>11</v>
      </c>
      <c r="H25" s="3">
        <v>6.1</v>
      </c>
      <c r="I25" s="3">
        <v>3</v>
      </c>
      <c r="J25" s="5">
        <f t="shared" si="1"/>
        <v>2.0333333333333332</v>
      </c>
      <c r="K25">
        <f>SUMIF(Planilha1!A:A, Plan1!D25, Planilha1!B:B)</f>
        <v>79.508426616666682</v>
      </c>
    </row>
    <row r="26" spans="1:11" x14ac:dyDescent="0.25">
      <c r="A26" s="3" t="s">
        <v>17</v>
      </c>
      <c r="B26">
        <v>7</v>
      </c>
      <c r="C26" s="3" t="s">
        <v>14</v>
      </c>
      <c r="D26" s="4">
        <v>45246</v>
      </c>
      <c r="E26" s="3">
        <v>1</v>
      </c>
      <c r="F26" s="5">
        <f t="shared" ref="F26:F31" si="5">(26.8+30+26)/3</f>
        <v>27.599999999999998</v>
      </c>
      <c r="G26" s="3" t="s">
        <v>12</v>
      </c>
      <c r="H26" s="3">
        <v>1.9</v>
      </c>
      <c r="I26" s="3">
        <v>3</v>
      </c>
      <c r="J26" s="5">
        <f t="shared" si="1"/>
        <v>0.6333333333333333</v>
      </c>
      <c r="K26">
        <f>SUMIF(Planilha1!A:A, Plan1!D26, Planilha1!B:B)</f>
        <v>79.508426616666682</v>
      </c>
    </row>
    <row r="27" spans="1:11" x14ac:dyDescent="0.25">
      <c r="A27" s="3" t="s">
        <v>17</v>
      </c>
      <c r="B27">
        <v>7</v>
      </c>
      <c r="C27" s="3" t="s">
        <v>14</v>
      </c>
      <c r="D27" s="4">
        <v>45247</v>
      </c>
      <c r="E27" s="3">
        <v>1</v>
      </c>
      <c r="F27" s="5">
        <f t="shared" si="5"/>
        <v>27.599999999999998</v>
      </c>
      <c r="G27" s="3" t="s">
        <v>12</v>
      </c>
      <c r="H27" s="3">
        <v>3.3</v>
      </c>
      <c r="I27" s="3">
        <v>3</v>
      </c>
      <c r="J27" s="5">
        <f t="shared" si="1"/>
        <v>1.0999999999999999</v>
      </c>
      <c r="K27">
        <f>SUMIF(Planilha1!A:A, Plan1!D27, Planilha1!B:B)</f>
        <v>81.019686676666666</v>
      </c>
    </row>
    <row r="28" spans="1:11" x14ac:dyDescent="0.25">
      <c r="A28" s="3" t="s">
        <v>17</v>
      </c>
      <c r="B28">
        <v>7</v>
      </c>
      <c r="C28" s="3" t="s">
        <v>14</v>
      </c>
      <c r="D28" s="4">
        <v>45248</v>
      </c>
      <c r="E28" s="3">
        <v>1</v>
      </c>
      <c r="F28" s="5">
        <f t="shared" si="5"/>
        <v>27.599999999999998</v>
      </c>
      <c r="G28" s="3" t="s">
        <v>12</v>
      </c>
      <c r="H28" s="3">
        <v>3.1</v>
      </c>
      <c r="I28" s="3">
        <v>3</v>
      </c>
      <c r="J28" s="5">
        <f t="shared" si="1"/>
        <v>1.0333333333333334</v>
      </c>
      <c r="K28">
        <f>SUMIF(Planilha1!A:A, Plan1!D28, Planilha1!B:B)</f>
        <v>80.880729481666663</v>
      </c>
    </row>
    <row r="29" spans="1:11" x14ac:dyDescent="0.25">
      <c r="A29" s="3" t="s">
        <v>17</v>
      </c>
      <c r="B29">
        <v>7</v>
      </c>
      <c r="C29" s="3" t="s">
        <v>14</v>
      </c>
      <c r="D29" s="4">
        <v>45247</v>
      </c>
      <c r="E29" s="3">
        <v>1</v>
      </c>
      <c r="F29" s="5">
        <f t="shared" si="5"/>
        <v>27.599999999999998</v>
      </c>
      <c r="G29" s="3" t="s">
        <v>11</v>
      </c>
      <c r="H29" s="3">
        <v>2.5</v>
      </c>
      <c r="I29" s="3">
        <v>3</v>
      </c>
      <c r="J29" s="5">
        <f t="shared" si="1"/>
        <v>0.83333333333333337</v>
      </c>
      <c r="K29">
        <f>SUMIF(Planilha1!A:A, Plan1!D29, Planilha1!B:B)</f>
        <v>81.019686676666666</v>
      </c>
    </row>
    <row r="30" spans="1:11" x14ac:dyDescent="0.25">
      <c r="A30" s="3" t="s">
        <v>17</v>
      </c>
      <c r="B30">
        <v>7</v>
      </c>
      <c r="C30" s="3" t="s">
        <v>14</v>
      </c>
      <c r="D30" s="4">
        <v>45245</v>
      </c>
      <c r="E30" s="3">
        <v>1</v>
      </c>
      <c r="F30" s="5">
        <f t="shared" si="5"/>
        <v>27.599999999999998</v>
      </c>
      <c r="G30" s="3" t="s">
        <v>11</v>
      </c>
      <c r="H30" s="3">
        <v>2.2000000000000002</v>
      </c>
      <c r="I30" s="3">
        <v>3</v>
      </c>
      <c r="J30" s="5">
        <f t="shared" si="1"/>
        <v>0.73333333333333339</v>
      </c>
      <c r="K30">
        <f>SUMIF(Planilha1!A:A, Plan1!D30, Planilha1!B:B)</f>
        <v>79.519030721666653</v>
      </c>
    </row>
    <row r="31" spans="1:11" x14ac:dyDescent="0.25">
      <c r="A31" s="3" t="s">
        <v>17</v>
      </c>
      <c r="B31">
        <v>7</v>
      </c>
      <c r="C31" s="3" t="s">
        <v>14</v>
      </c>
      <c r="D31" s="4">
        <v>45246</v>
      </c>
      <c r="E31" s="3">
        <v>1</v>
      </c>
      <c r="F31" s="5">
        <f t="shared" si="5"/>
        <v>27.599999999999998</v>
      </c>
      <c r="G31" s="3" t="s">
        <v>11</v>
      </c>
      <c r="H31" s="3">
        <v>3</v>
      </c>
      <c r="I31" s="3">
        <v>3</v>
      </c>
      <c r="J31" s="5">
        <f t="shared" si="1"/>
        <v>1</v>
      </c>
      <c r="K31">
        <f>SUMIF(Planilha1!A:A, Plan1!D31, Planilha1!B:B)</f>
        <v>79.508426616666682</v>
      </c>
    </row>
    <row r="32" spans="1:11" x14ac:dyDescent="0.25">
      <c r="A32" s="3" t="s">
        <v>18</v>
      </c>
      <c r="B32" s="3">
        <v>1</v>
      </c>
      <c r="C32" s="3" t="s">
        <v>10</v>
      </c>
      <c r="D32" s="4">
        <v>45175</v>
      </c>
      <c r="E32" s="3">
        <v>1</v>
      </c>
      <c r="F32" s="5">
        <f t="shared" ref="F32:F37" si="6">(26.5+27+28.5)/3</f>
        <v>27.333333333333332</v>
      </c>
      <c r="G32" s="3" t="s">
        <v>12</v>
      </c>
      <c r="H32" s="3">
        <v>3.3</v>
      </c>
      <c r="I32" s="3">
        <v>3</v>
      </c>
      <c r="J32" s="5">
        <f t="shared" si="1"/>
        <v>1.0999999999999999</v>
      </c>
      <c r="K32">
        <f>SUMIF(Planilha1!A:A, Plan1!D32, Planilha1!B:B)</f>
        <v>65.299134666666689</v>
      </c>
    </row>
    <row r="33" spans="1:11" x14ac:dyDescent="0.25">
      <c r="A33" s="3" t="s">
        <v>18</v>
      </c>
      <c r="B33" s="3">
        <v>1</v>
      </c>
      <c r="C33" s="3" t="s">
        <v>10</v>
      </c>
      <c r="D33" s="4">
        <v>45176</v>
      </c>
      <c r="E33" s="3">
        <v>1</v>
      </c>
      <c r="F33" s="5">
        <f t="shared" si="6"/>
        <v>27.333333333333332</v>
      </c>
      <c r="G33" s="3" t="s">
        <v>12</v>
      </c>
      <c r="H33" s="3">
        <v>1.6</v>
      </c>
      <c r="I33" s="3">
        <v>3</v>
      </c>
      <c r="J33" s="5">
        <f t="shared" si="1"/>
        <v>0.53333333333333333</v>
      </c>
      <c r="K33">
        <f>SUMIF(Planilha1!A:A, Plan1!D33, Planilha1!B:B)</f>
        <v>66.657536766666666</v>
      </c>
    </row>
    <row r="34" spans="1:11" x14ac:dyDescent="0.25">
      <c r="A34" s="3" t="s">
        <v>18</v>
      </c>
      <c r="B34" s="3">
        <v>1</v>
      </c>
      <c r="C34" s="3" t="s">
        <v>10</v>
      </c>
      <c r="D34" s="4">
        <v>45177</v>
      </c>
      <c r="E34" s="3">
        <v>1</v>
      </c>
      <c r="F34" s="5">
        <f t="shared" si="6"/>
        <v>27.333333333333332</v>
      </c>
      <c r="G34" s="3" t="s">
        <v>12</v>
      </c>
      <c r="H34" s="3">
        <v>1.8</v>
      </c>
      <c r="I34" s="3">
        <v>3</v>
      </c>
      <c r="J34" s="5">
        <f t="shared" si="1"/>
        <v>0.6</v>
      </c>
      <c r="K34">
        <f>SUMIF(Planilha1!A:A, Plan1!D34, Planilha1!B:B)</f>
        <v>69.01980846333332</v>
      </c>
    </row>
    <row r="35" spans="1:11" x14ac:dyDescent="0.25">
      <c r="A35" s="3" t="s">
        <v>18</v>
      </c>
      <c r="B35" s="3">
        <v>1</v>
      </c>
      <c r="C35" s="3" t="s">
        <v>10</v>
      </c>
      <c r="D35" s="4">
        <v>45173</v>
      </c>
      <c r="E35" s="3">
        <v>1</v>
      </c>
      <c r="F35" s="5">
        <f t="shared" si="6"/>
        <v>27.333333333333332</v>
      </c>
      <c r="G35" s="3" t="s">
        <v>11</v>
      </c>
      <c r="H35" s="3">
        <v>5.4</v>
      </c>
      <c r="I35" s="3">
        <v>3</v>
      </c>
      <c r="J35" s="5">
        <f t="shared" si="1"/>
        <v>1.8</v>
      </c>
      <c r="K35">
        <f>SUMIF(Planilha1!A:A, Plan1!D35, Planilha1!B:B)</f>
        <v>75.393938531666663</v>
      </c>
    </row>
    <row r="36" spans="1:11" x14ac:dyDescent="0.25">
      <c r="A36" s="3" t="s">
        <v>18</v>
      </c>
      <c r="B36" s="3">
        <v>1</v>
      </c>
      <c r="C36" s="3" t="s">
        <v>10</v>
      </c>
      <c r="D36" s="4">
        <v>45177</v>
      </c>
      <c r="E36" s="3">
        <v>1</v>
      </c>
      <c r="F36" s="5">
        <f t="shared" si="6"/>
        <v>27.333333333333332</v>
      </c>
      <c r="G36" s="3" t="s">
        <v>11</v>
      </c>
      <c r="H36" s="3">
        <v>1</v>
      </c>
      <c r="I36" s="3">
        <v>3</v>
      </c>
      <c r="J36" s="5">
        <f t="shared" si="1"/>
        <v>0.33333333333333331</v>
      </c>
      <c r="K36">
        <f>SUMIF(Planilha1!A:A, Plan1!D36, Planilha1!B:B)</f>
        <v>69.01980846333332</v>
      </c>
    </row>
    <row r="37" spans="1:11" x14ac:dyDescent="0.25">
      <c r="A37" s="3" t="s">
        <v>18</v>
      </c>
      <c r="B37" s="3">
        <v>1</v>
      </c>
      <c r="C37" s="3" t="s">
        <v>10</v>
      </c>
      <c r="D37" s="4">
        <v>45178</v>
      </c>
      <c r="E37" s="3">
        <v>1</v>
      </c>
      <c r="F37" s="5">
        <f t="shared" si="6"/>
        <v>27.333333333333332</v>
      </c>
      <c r="G37" s="3" t="s">
        <v>11</v>
      </c>
      <c r="H37" s="3">
        <v>1.7</v>
      </c>
      <c r="I37" s="3">
        <v>3</v>
      </c>
      <c r="J37" s="5">
        <f t="shared" si="1"/>
        <v>0.56666666666666665</v>
      </c>
      <c r="K37">
        <f>SUMIF(Planilha1!A:A, Plan1!D37, Planilha1!B:B)</f>
        <v>69.240977786666676</v>
      </c>
    </row>
    <row r="38" spans="1:11" x14ac:dyDescent="0.25">
      <c r="A38" s="3" t="s">
        <v>19</v>
      </c>
      <c r="B38" s="3">
        <v>4</v>
      </c>
      <c r="C38" s="3" t="s">
        <v>14</v>
      </c>
      <c r="D38" s="4">
        <v>45149</v>
      </c>
      <c r="E38" s="3">
        <v>1</v>
      </c>
      <c r="F38" s="5">
        <f t="shared" ref="F38:F43" si="7">(39+37+32.3)/3</f>
        <v>36.1</v>
      </c>
      <c r="G38" s="3" t="s">
        <v>12</v>
      </c>
      <c r="H38" s="3">
        <v>3.7</v>
      </c>
      <c r="I38" s="3">
        <v>3</v>
      </c>
      <c r="J38" s="5">
        <f t="shared" si="1"/>
        <v>1.2333333333333334</v>
      </c>
      <c r="K38">
        <f>SUMIF(Planilha1!A:A, Plan1!D38, Planilha1!B:B)</f>
        <v>69.16434387000001</v>
      </c>
    </row>
    <row r="39" spans="1:11" x14ac:dyDescent="0.25">
      <c r="A39" s="3" t="s">
        <v>19</v>
      </c>
      <c r="B39" s="3">
        <v>4</v>
      </c>
      <c r="C39" s="3" t="s">
        <v>14</v>
      </c>
      <c r="D39" s="4">
        <v>45150</v>
      </c>
      <c r="E39" s="3">
        <v>1</v>
      </c>
      <c r="F39" s="5">
        <f t="shared" si="7"/>
        <v>36.1</v>
      </c>
      <c r="G39" s="3" t="s">
        <v>12</v>
      </c>
      <c r="H39" s="3">
        <v>6.9</v>
      </c>
      <c r="I39" s="3">
        <v>3</v>
      </c>
      <c r="J39" s="5">
        <f t="shared" si="1"/>
        <v>2.3000000000000003</v>
      </c>
      <c r="K39">
        <f>SUMIF(Planilha1!A:A, Plan1!D39, Planilha1!B:B)</f>
        <v>69.435403843333333</v>
      </c>
    </row>
    <row r="40" spans="1:11" x14ac:dyDescent="0.25">
      <c r="A40" s="3" t="s">
        <v>19</v>
      </c>
      <c r="B40" s="3">
        <v>4</v>
      </c>
      <c r="C40" s="3" t="s">
        <v>14</v>
      </c>
      <c r="D40" s="4">
        <v>45151</v>
      </c>
      <c r="E40" s="3">
        <v>1</v>
      </c>
      <c r="F40" s="5">
        <f t="shared" si="7"/>
        <v>36.1</v>
      </c>
      <c r="G40" s="3" t="s">
        <v>12</v>
      </c>
      <c r="H40" s="3">
        <v>10.5</v>
      </c>
      <c r="I40" s="3">
        <v>3</v>
      </c>
      <c r="J40" s="5">
        <f t="shared" si="1"/>
        <v>3.5</v>
      </c>
      <c r="K40">
        <f>SUMIF(Planilha1!A:A, Plan1!D40, Planilha1!B:B)</f>
        <v>64.149736663333357</v>
      </c>
    </row>
    <row r="41" spans="1:11" x14ac:dyDescent="0.25">
      <c r="A41" s="3" t="s">
        <v>19</v>
      </c>
      <c r="B41" s="3">
        <v>4</v>
      </c>
      <c r="C41" s="3" t="s">
        <v>14</v>
      </c>
      <c r="D41" s="4">
        <v>45148</v>
      </c>
      <c r="E41" s="3">
        <v>1</v>
      </c>
      <c r="F41" s="5">
        <f t="shared" si="7"/>
        <v>36.1</v>
      </c>
      <c r="G41" s="3" t="s">
        <v>11</v>
      </c>
      <c r="H41" s="3">
        <v>8</v>
      </c>
      <c r="I41" s="3">
        <v>3</v>
      </c>
      <c r="J41" s="5">
        <f t="shared" si="1"/>
        <v>2.6666666666666665</v>
      </c>
      <c r="K41">
        <f>SUMIF(Planilha1!A:A, Plan1!D41, Planilha1!B:B)</f>
        <v>67.204691543333354</v>
      </c>
    </row>
    <row r="42" spans="1:11" x14ac:dyDescent="0.25">
      <c r="A42" s="3" t="s">
        <v>19</v>
      </c>
      <c r="B42" s="3">
        <v>4</v>
      </c>
      <c r="C42" s="3" t="s">
        <v>14</v>
      </c>
      <c r="D42" s="4">
        <v>45149</v>
      </c>
      <c r="E42" s="3">
        <v>1</v>
      </c>
      <c r="F42" s="5">
        <f t="shared" si="7"/>
        <v>36.1</v>
      </c>
      <c r="G42" s="3" t="s">
        <v>11</v>
      </c>
      <c r="H42" s="3">
        <v>8.4</v>
      </c>
      <c r="I42" s="3">
        <v>3</v>
      </c>
      <c r="J42" s="5">
        <f t="shared" si="1"/>
        <v>2.8000000000000003</v>
      </c>
      <c r="K42">
        <f>SUMIF(Planilha1!A:A, Plan1!D42, Planilha1!B:B)</f>
        <v>69.16434387000001</v>
      </c>
    </row>
    <row r="43" spans="1:11" x14ac:dyDescent="0.25">
      <c r="A43" s="3" t="s">
        <v>19</v>
      </c>
      <c r="B43" s="3">
        <v>4</v>
      </c>
      <c r="C43" s="3" t="s">
        <v>14</v>
      </c>
      <c r="D43" s="4">
        <v>45151</v>
      </c>
      <c r="E43" s="3">
        <v>1</v>
      </c>
      <c r="F43" s="5">
        <f t="shared" si="7"/>
        <v>36.1</v>
      </c>
      <c r="G43" s="3" t="s">
        <v>11</v>
      </c>
      <c r="H43" s="3">
        <v>6</v>
      </c>
      <c r="I43" s="3">
        <v>3</v>
      </c>
      <c r="J43" s="5">
        <f t="shared" si="1"/>
        <v>2</v>
      </c>
      <c r="K43">
        <f>SUMIF(Planilha1!A:A, Plan1!D43, Planilha1!B:B)</f>
        <v>64.149736663333357</v>
      </c>
    </row>
    <row r="44" spans="1:11" x14ac:dyDescent="0.25">
      <c r="A44" s="3" t="s">
        <v>20</v>
      </c>
      <c r="B44" s="3">
        <v>1</v>
      </c>
      <c r="C44" s="3" t="s">
        <v>10</v>
      </c>
      <c r="D44" s="4">
        <v>45212</v>
      </c>
      <c r="E44" s="3">
        <v>1</v>
      </c>
      <c r="F44" s="5">
        <f t="shared" ref="F44:F49" si="8">(34.5+36.9+38.2)/3</f>
        <v>36.533333333333339</v>
      </c>
      <c r="G44" s="3" t="s">
        <v>11</v>
      </c>
      <c r="H44" s="3">
        <v>5.0999999999999996</v>
      </c>
      <c r="I44" s="3">
        <v>3</v>
      </c>
      <c r="J44" s="5">
        <f t="shared" si="1"/>
        <v>1.7</v>
      </c>
      <c r="K44">
        <f>SUMIF(Planilha1!A:A, Plan1!D44, Planilha1!B:B)</f>
        <v>69.030984348333348</v>
      </c>
    </row>
    <row r="45" spans="1:11" x14ac:dyDescent="0.25">
      <c r="A45" s="3" t="s">
        <v>20</v>
      </c>
      <c r="B45" s="3">
        <v>1</v>
      </c>
      <c r="C45" s="3" t="s">
        <v>10</v>
      </c>
      <c r="D45" s="4">
        <v>45212</v>
      </c>
      <c r="E45" s="3">
        <v>1</v>
      </c>
      <c r="F45" s="5">
        <f t="shared" si="8"/>
        <v>36.533333333333339</v>
      </c>
      <c r="G45" s="3" t="s">
        <v>12</v>
      </c>
      <c r="H45" s="3">
        <v>13.5</v>
      </c>
      <c r="I45" s="3">
        <v>3</v>
      </c>
      <c r="J45" s="5">
        <f t="shared" si="1"/>
        <v>4.5</v>
      </c>
      <c r="K45">
        <f>SUMIF(Planilha1!A:A, Plan1!D45, Planilha1!B:B)</f>
        <v>69.030984348333348</v>
      </c>
    </row>
    <row r="46" spans="1:11" x14ac:dyDescent="0.25">
      <c r="A46" s="3" t="s">
        <v>20</v>
      </c>
      <c r="B46" s="3">
        <v>1</v>
      </c>
      <c r="C46" s="3" t="s">
        <v>10</v>
      </c>
      <c r="D46" s="4">
        <v>45213</v>
      </c>
      <c r="E46" s="3">
        <v>1</v>
      </c>
      <c r="F46" s="5">
        <f t="shared" si="8"/>
        <v>36.533333333333339</v>
      </c>
      <c r="G46" s="3" t="s">
        <v>11</v>
      </c>
      <c r="H46" s="3">
        <v>6.1</v>
      </c>
      <c r="I46" s="3">
        <v>3</v>
      </c>
      <c r="J46" s="5">
        <f t="shared" si="1"/>
        <v>2.0333333333333332</v>
      </c>
      <c r="K46">
        <f>SUMIF(Planilha1!A:A, Plan1!D46, Planilha1!B:B)</f>
        <v>67.042566833333339</v>
      </c>
    </row>
    <row r="47" spans="1:11" x14ac:dyDescent="0.25">
      <c r="A47" s="3" t="s">
        <v>20</v>
      </c>
      <c r="B47" s="3">
        <v>1</v>
      </c>
      <c r="C47" s="3" t="s">
        <v>10</v>
      </c>
      <c r="D47" s="4">
        <v>45213</v>
      </c>
      <c r="E47" s="3">
        <v>1</v>
      </c>
      <c r="F47" s="5">
        <f t="shared" si="8"/>
        <v>36.533333333333339</v>
      </c>
      <c r="G47" s="3" t="s">
        <v>12</v>
      </c>
      <c r="H47" s="3">
        <v>10.1</v>
      </c>
      <c r="I47" s="3">
        <v>3</v>
      </c>
      <c r="J47" s="5">
        <f t="shared" si="1"/>
        <v>3.3666666666666667</v>
      </c>
      <c r="K47">
        <f>SUMIF(Planilha1!A:A, Plan1!D47, Planilha1!B:B)</f>
        <v>67.042566833333339</v>
      </c>
    </row>
    <row r="48" spans="1:11" x14ac:dyDescent="0.25">
      <c r="A48" s="3" t="s">
        <v>20</v>
      </c>
      <c r="B48" s="3">
        <v>1</v>
      </c>
      <c r="C48" s="3" t="s">
        <v>10</v>
      </c>
      <c r="D48" s="4">
        <v>45214</v>
      </c>
      <c r="E48" s="3">
        <v>1</v>
      </c>
      <c r="F48" s="5">
        <f t="shared" si="8"/>
        <v>36.533333333333339</v>
      </c>
      <c r="G48" s="3" t="s">
        <v>11</v>
      </c>
      <c r="H48" s="3">
        <v>6.4</v>
      </c>
      <c r="I48" s="3">
        <v>3</v>
      </c>
      <c r="J48" s="5">
        <f t="shared" si="1"/>
        <v>2.1333333333333333</v>
      </c>
      <c r="K48">
        <f>SUMIF(Planilha1!A:A, Plan1!D48, Planilha1!B:B)</f>
        <v>73.200209285000014</v>
      </c>
    </row>
    <row r="49" spans="1:11" x14ac:dyDescent="0.25">
      <c r="A49" s="3" t="s">
        <v>20</v>
      </c>
      <c r="B49" s="3">
        <v>1</v>
      </c>
      <c r="C49" s="3" t="s">
        <v>10</v>
      </c>
      <c r="D49" s="4">
        <v>45214</v>
      </c>
      <c r="E49" s="3">
        <v>1</v>
      </c>
      <c r="F49" s="5">
        <f t="shared" si="8"/>
        <v>36.533333333333339</v>
      </c>
      <c r="G49" s="3" t="s">
        <v>12</v>
      </c>
      <c r="H49" s="3">
        <v>12.5</v>
      </c>
      <c r="I49" s="3">
        <v>3</v>
      </c>
      <c r="J49" s="5">
        <f t="shared" si="1"/>
        <v>4.166666666666667</v>
      </c>
      <c r="K49">
        <f>SUMIF(Planilha1!A:A, Plan1!D49, Planilha1!B:B)</f>
        <v>73.200209285000014</v>
      </c>
    </row>
    <row r="50" spans="1:11" x14ac:dyDescent="0.25">
      <c r="A50" s="3" t="s">
        <v>9</v>
      </c>
      <c r="B50" s="3">
        <v>5</v>
      </c>
      <c r="C50" s="3" t="s">
        <v>10</v>
      </c>
      <c r="D50" s="4">
        <v>45160</v>
      </c>
      <c r="E50" s="3">
        <v>2</v>
      </c>
      <c r="F50" s="5">
        <f t="shared" ref="F50:F55" si="9">(43.5+36+44.5)/3</f>
        <v>41.333333333333336</v>
      </c>
      <c r="G50" s="3" t="s">
        <v>11</v>
      </c>
      <c r="H50" s="3">
        <v>9.9</v>
      </c>
      <c r="I50" s="3">
        <v>3</v>
      </c>
      <c r="J50" s="5">
        <f t="shared" si="1"/>
        <v>3.3000000000000003</v>
      </c>
      <c r="K50">
        <f>SUMIF(Planilha1!A:A, Plan1!D50, Planilha1!B:B)</f>
        <v>67.778328571666677</v>
      </c>
    </row>
    <row r="51" spans="1:11" x14ac:dyDescent="0.25">
      <c r="A51" s="3" t="s">
        <v>9</v>
      </c>
      <c r="B51" s="3">
        <v>5</v>
      </c>
      <c r="C51" s="3" t="s">
        <v>10</v>
      </c>
      <c r="D51" s="4">
        <v>45162</v>
      </c>
      <c r="E51" s="3">
        <v>2</v>
      </c>
      <c r="F51" s="5">
        <f t="shared" si="9"/>
        <v>41.333333333333336</v>
      </c>
      <c r="G51" s="3" t="s">
        <v>11</v>
      </c>
      <c r="H51" s="3">
        <v>4.7</v>
      </c>
      <c r="I51" s="3">
        <v>3</v>
      </c>
      <c r="J51" s="5">
        <f t="shared" si="1"/>
        <v>1.5666666666666667</v>
      </c>
      <c r="K51">
        <f>SUMIF(Planilha1!A:A, Plan1!D51, Planilha1!B:B)</f>
        <v>73.86414607333333</v>
      </c>
    </row>
    <row r="52" spans="1:11" x14ac:dyDescent="0.25">
      <c r="A52" s="3" t="s">
        <v>9</v>
      </c>
      <c r="B52" s="3">
        <v>5</v>
      </c>
      <c r="C52" s="3" t="s">
        <v>10</v>
      </c>
      <c r="D52" s="4">
        <v>45164</v>
      </c>
      <c r="E52" s="3">
        <v>2</v>
      </c>
      <c r="F52" s="5">
        <f t="shared" si="9"/>
        <v>41.333333333333336</v>
      </c>
      <c r="G52" s="3" t="s">
        <v>11</v>
      </c>
      <c r="H52" s="3">
        <v>2.1</v>
      </c>
      <c r="I52" s="3">
        <v>3</v>
      </c>
      <c r="J52" s="5">
        <f t="shared" si="1"/>
        <v>0.70000000000000007</v>
      </c>
      <c r="K52">
        <f>SUMIF(Planilha1!A:A, Plan1!D52, Planilha1!B:B)</f>
        <v>57.817754570000012</v>
      </c>
    </row>
    <row r="53" spans="1:11" x14ac:dyDescent="0.25">
      <c r="A53" s="3" t="s">
        <v>9</v>
      </c>
      <c r="B53" s="3">
        <v>5</v>
      </c>
      <c r="C53" s="3" t="s">
        <v>10</v>
      </c>
      <c r="D53" s="4">
        <v>45160</v>
      </c>
      <c r="E53" s="3">
        <v>2</v>
      </c>
      <c r="F53" s="5">
        <f t="shared" si="9"/>
        <v>41.333333333333336</v>
      </c>
      <c r="G53" s="3" t="s">
        <v>12</v>
      </c>
      <c r="H53" s="3">
        <v>6</v>
      </c>
      <c r="I53" s="3">
        <v>3</v>
      </c>
      <c r="J53" s="5">
        <f t="shared" si="1"/>
        <v>2</v>
      </c>
      <c r="K53">
        <f>SUMIF(Planilha1!A:A, Plan1!D53, Planilha1!B:B)</f>
        <v>67.778328571666677</v>
      </c>
    </row>
    <row r="54" spans="1:11" x14ac:dyDescent="0.25">
      <c r="A54" s="3" t="s">
        <v>9</v>
      </c>
      <c r="B54" s="3">
        <v>5</v>
      </c>
      <c r="C54" s="3" t="s">
        <v>10</v>
      </c>
      <c r="D54" s="4">
        <v>45162</v>
      </c>
      <c r="E54" s="3">
        <v>2</v>
      </c>
      <c r="F54" s="5">
        <f t="shared" si="9"/>
        <v>41.333333333333336</v>
      </c>
      <c r="G54" s="3" t="s">
        <v>12</v>
      </c>
      <c r="H54" s="3">
        <v>6.2</v>
      </c>
      <c r="I54" s="3">
        <v>3</v>
      </c>
      <c r="J54" s="5">
        <f t="shared" si="1"/>
        <v>2.0666666666666669</v>
      </c>
      <c r="K54">
        <f>SUMIF(Planilha1!A:A, Plan1!D54, Planilha1!B:B)</f>
        <v>73.86414607333333</v>
      </c>
    </row>
    <row r="55" spans="1:11" x14ac:dyDescent="0.25">
      <c r="A55" s="3" t="s">
        <v>9</v>
      </c>
      <c r="B55" s="3">
        <v>5</v>
      </c>
      <c r="C55" s="3" t="s">
        <v>10</v>
      </c>
      <c r="D55" s="4">
        <v>45164</v>
      </c>
      <c r="E55" s="3">
        <v>2</v>
      </c>
      <c r="F55" s="5">
        <f t="shared" si="9"/>
        <v>41.333333333333336</v>
      </c>
      <c r="G55" s="3" t="s">
        <v>12</v>
      </c>
      <c r="H55" s="3">
        <v>4.0999999999999996</v>
      </c>
      <c r="I55" s="3">
        <v>3</v>
      </c>
      <c r="J55" s="5">
        <f t="shared" si="1"/>
        <v>1.3666666666666665</v>
      </c>
      <c r="K55">
        <f>SUMIF(Planilha1!A:A, Plan1!D55, Planilha1!B:B)</f>
        <v>57.817754570000012</v>
      </c>
    </row>
    <row r="56" spans="1:11" x14ac:dyDescent="0.25">
      <c r="A56" s="3" t="s">
        <v>13</v>
      </c>
      <c r="B56" s="3">
        <v>2</v>
      </c>
      <c r="C56" s="3" t="s">
        <v>14</v>
      </c>
      <c r="D56" s="4">
        <v>45181</v>
      </c>
      <c r="E56" s="3">
        <v>2</v>
      </c>
      <c r="F56" s="5">
        <f t="shared" ref="F56:F61" si="10">(43.5+34.2+35.9)/3</f>
        <v>37.866666666666667</v>
      </c>
      <c r="G56" s="3" t="s">
        <v>12</v>
      </c>
      <c r="H56" s="3">
        <v>7.8</v>
      </c>
      <c r="I56" s="3">
        <v>3</v>
      </c>
      <c r="J56" s="5">
        <f t="shared" si="1"/>
        <v>2.6</v>
      </c>
      <c r="K56">
        <f>SUMIF(Planilha1!A:A, Plan1!D56, Planilha1!B:B)</f>
        <v>70.033606378333332</v>
      </c>
    </row>
    <row r="57" spans="1:11" x14ac:dyDescent="0.25">
      <c r="A57" s="3" t="s">
        <v>13</v>
      </c>
      <c r="B57" s="3">
        <v>2</v>
      </c>
      <c r="C57" s="3" t="s">
        <v>14</v>
      </c>
      <c r="D57" s="4">
        <v>45182</v>
      </c>
      <c r="E57" s="3">
        <v>2</v>
      </c>
      <c r="F57" s="5">
        <f t="shared" si="10"/>
        <v>37.866666666666667</v>
      </c>
      <c r="G57" s="3" t="s">
        <v>12</v>
      </c>
      <c r="H57" s="3">
        <v>6.1</v>
      </c>
      <c r="I57" s="3">
        <v>3</v>
      </c>
      <c r="J57" s="5">
        <f t="shared" si="1"/>
        <v>2.0333333333333332</v>
      </c>
      <c r="K57">
        <f>SUMIF(Planilha1!A:A, Plan1!D57, Planilha1!B:B)</f>
        <v>72.452966235000005</v>
      </c>
    </row>
    <row r="58" spans="1:11" x14ac:dyDescent="0.25">
      <c r="A58" s="3" t="s">
        <v>13</v>
      </c>
      <c r="B58" s="3">
        <v>2</v>
      </c>
      <c r="C58" s="3" t="s">
        <v>14</v>
      </c>
      <c r="D58" s="4">
        <v>45183</v>
      </c>
      <c r="E58" s="3">
        <v>2</v>
      </c>
      <c r="F58" s="5">
        <f t="shared" si="10"/>
        <v>37.866666666666667</v>
      </c>
      <c r="G58" s="3" t="s">
        <v>12</v>
      </c>
      <c r="H58" s="3">
        <v>7.3</v>
      </c>
      <c r="I58" s="3">
        <v>3</v>
      </c>
      <c r="J58" s="5">
        <f t="shared" si="1"/>
        <v>2.4333333333333331</v>
      </c>
      <c r="K58">
        <f>SUMIF(Planilha1!A:A, Plan1!D58, Planilha1!B:B)</f>
        <v>66.366236204999993</v>
      </c>
    </row>
    <row r="59" spans="1:11" x14ac:dyDescent="0.25">
      <c r="A59" s="3" t="s">
        <v>13</v>
      </c>
      <c r="B59" s="3">
        <v>2</v>
      </c>
      <c r="C59" s="3" t="s">
        <v>14</v>
      </c>
      <c r="D59" s="4">
        <v>45181</v>
      </c>
      <c r="E59" s="3">
        <v>2</v>
      </c>
      <c r="F59" s="5">
        <f t="shared" si="10"/>
        <v>37.866666666666667</v>
      </c>
      <c r="G59" s="3" t="s">
        <v>11</v>
      </c>
      <c r="H59" s="3">
        <v>4.8</v>
      </c>
      <c r="I59" s="3">
        <v>3</v>
      </c>
      <c r="J59" s="5">
        <f t="shared" si="1"/>
        <v>1.5999999999999999</v>
      </c>
      <c r="K59">
        <f>SUMIF(Planilha1!A:A, Plan1!D59, Planilha1!B:B)</f>
        <v>70.033606378333332</v>
      </c>
    </row>
    <row r="60" spans="1:11" x14ac:dyDescent="0.25">
      <c r="A60" s="3" t="s">
        <v>13</v>
      </c>
      <c r="B60" s="3">
        <v>2</v>
      </c>
      <c r="C60" s="3" t="s">
        <v>14</v>
      </c>
      <c r="D60" s="4">
        <v>45182</v>
      </c>
      <c r="E60" s="3">
        <v>2</v>
      </c>
      <c r="F60" s="5">
        <f t="shared" si="10"/>
        <v>37.866666666666667</v>
      </c>
      <c r="G60" s="3" t="s">
        <v>11</v>
      </c>
      <c r="H60" s="3">
        <v>6.7</v>
      </c>
      <c r="I60" s="3">
        <v>3</v>
      </c>
      <c r="J60" s="5">
        <f t="shared" si="1"/>
        <v>2.2333333333333334</v>
      </c>
      <c r="K60">
        <f>SUMIF(Planilha1!A:A, Plan1!D60, Planilha1!B:B)</f>
        <v>72.452966235000005</v>
      </c>
    </row>
    <row r="61" spans="1:11" x14ac:dyDescent="0.25">
      <c r="A61" s="3" t="s">
        <v>13</v>
      </c>
      <c r="B61" s="3">
        <v>2</v>
      </c>
      <c r="C61" s="3" t="s">
        <v>14</v>
      </c>
      <c r="D61" s="4">
        <v>45183</v>
      </c>
      <c r="E61" s="3">
        <v>2</v>
      </c>
      <c r="F61" s="5">
        <f t="shared" si="10"/>
        <v>37.866666666666667</v>
      </c>
      <c r="G61" s="3" t="s">
        <v>11</v>
      </c>
      <c r="H61" s="3">
        <v>5.5</v>
      </c>
      <c r="I61" s="3">
        <v>3</v>
      </c>
      <c r="J61" s="5">
        <f t="shared" si="1"/>
        <v>1.8333333333333333</v>
      </c>
      <c r="K61">
        <f>SUMIF(Planilha1!A:A, Plan1!D61, Planilha1!B:B)</f>
        <v>66.366236204999993</v>
      </c>
    </row>
    <row r="62" spans="1:11" x14ac:dyDescent="0.25">
      <c r="A62" s="3" t="s">
        <v>15</v>
      </c>
      <c r="B62" s="3">
        <v>3</v>
      </c>
      <c r="C62" s="3" t="s">
        <v>14</v>
      </c>
      <c r="D62" s="4">
        <v>45176</v>
      </c>
      <c r="E62" s="3">
        <v>2</v>
      </c>
      <c r="F62" s="5">
        <f t="shared" ref="F62:F67" si="11">(31.6+45.2+40.9)/3</f>
        <v>39.233333333333341</v>
      </c>
      <c r="G62" s="3" t="s">
        <v>12</v>
      </c>
      <c r="H62" s="3">
        <v>4.3</v>
      </c>
      <c r="I62" s="3">
        <v>3</v>
      </c>
      <c r="J62" s="5">
        <f t="shared" si="1"/>
        <v>1.4333333333333333</v>
      </c>
      <c r="K62">
        <f>SUMIF(Planilha1!A:A, Plan1!D62, Planilha1!B:B)</f>
        <v>66.657536766666666</v>
      </c>
    </row>
    <row r="63" spans="1:11" x14ac:dyDescent="0.25">
      <c r="A63" s="3" t="s">
        <v>15</v>
      </c>
      <c r="B63" s="3">
        <v>3</v>
      </c>
      <c r="C63" s="3" t="s">
        <v>14</v>
      </c>
      <c r="D63" s="4">
        <v>45177</v>
      </c>
      <c r="E63" s="3">
        <v>2</v>
      </c>
      <c r="F63" s="5">
        <f t="shared" si="11"/>
        <v>39.233333333333341</v>
      </c>
      <c r="G63" s="3" t="s">
        <v>12</v>
      </c>
      <c r="H63" s="3">
        <v>8</v>
      </c>
      <c r="I63" s="3">
        <v>3</v>
      </c>
      <c r="J63" s="5">
        <f t="shared" si="1"/>
        <v>2.6666666666666665</v>
      </c>
      <c r="K63">
        <f>SUMIF(Planilha1!A:A, Plan1!D63, Planilha1!B:B)</f>
        <v>69.01980846333332</v>
      </c>
    </row>
    <row r="64" spans="1:11" x14ac:dyDescent="0.25">
      <c r="A64" s="3" t="s">
        <v>15</v>
      </c>
      <c r="B64" s="3">
        <v>3</v>
      </c>
      <c r="C64" s="3" t="s">
        <v>14</v>
      </c>
      <c r="D64" s="4">
        <v>45178</v>
      </c>
      <c r="E64" s="3">
        <v>2</v>
      </c>
      <c r="F64" s="5">
        <f t="shared" si="11"/>
        <v>39.233333333333341</v>
      </c>
      <c r="G64" s="3" t="s">
        <v>12</v>
      </c>
      <c r="H64" s="3">
        <v>6.4</v>
      </c>
      <c r="I64" s="3">
        <v>3</v>
      </c>
      <c r="J64" s="5">
        <f t="shared" si="1"/>
        <v>2.1333333333333333</v>
      </c>
      <c r="K64">
        <f>SUMIF(Planilha1!A:A, Plan1!D64, Planilha1!B:B)</f>
        <v>69.240977786666676</v>
      </c>
    </row>
    <row r="65" spans="1:11" x14ac:dyDescent="0.25">
      <c r="A65" s="3" t="s">
        <v>15</v>
      </c>
      <c r="B65" s="3">
        <v>3</v>
      </c>
      <c r="C65" s="3" t="s">
        <v>14</v>
      </c>
      <c r="D65" s="4">
        <v>45173</v>
      </c>
      <c r="E65" s="3">
        <v>2</v>
      </c>
      <c r="F65" s="5">
        <f t="shared" si="11"/>
        <v>39.233333333333341</v>
      </c>
      <c r="G65" s="3" t="s">
        <v>11</v>
      </c>
      <c r="H65" s="3">
        <v>3</v>
      </c>
      <c r="I65" s="3">
        <v>3</v>
      </c>
      <c r="J65" s="5">
        <f t="shared" si="1"/>
        <v>1</v>
      </c>
      <c r="K65">
        <f>SUMIF(Planilha1!A:A, Plan1!D65, Planilha1!B:B)</f>
        <v>75.393938531666663</v>
      </c>
    </row>
    <row r="66" spans="1:11" x14ac:dyDescent="0.25">
      <c r="A66" s="3" t="s">
        <v>15</v>
      </c>
      <c r="B66" s="3">
        <v>3</v>
      </c>
      <c r="C66" s="3" t="s">
        <v>14</v>
      </c>
      <c r="D66" s="4">
        <v>45175</v>
      </c>
      <c r="E66" s="3">
        <v>2</v>
      </c>
      <c r="F66" s="5">
        <f t="shared" si="11"/>
        <v>39.233333333333341</v>
      </c>
      <c r="G66" s="3" t="s">
        <v>11</v>
      </c>
      <c r="H66" s="3">
        <v>6.6</v>
      </c>
      <c r="I66" s="3">
        <v>3</v>
      </c>
      <c r="J66" s="5">
        <f t="shared" ref="J66:J129" si="12">H66/I66</f>
        <v>2.1999999999999997</v>
      </c>
      <c r="K66">
        <f>SUMIF(Planilha1!A:A, Plan1!D66, Planilha1!B:B)</f>
        <v>65.299134666666689</v>
      </c>
    </row>
    <row r="67" spans="1:11" x14ac:dyDescent="0.25">
      <c r="A67" s="3" t="s">
        <v>15</v>
      </c>
      <c r="B67" s="3">
        <v>3</v>
      </c>
      <c r="C67" s="3" t="s">
        <v>14</v>
      </c>
      <c r="D67" s="4">
        <v>45176</v>
      </c>
      <c r="E67" s="3">
        <v>2</v>
      </c>
      <c r="F67" s="5">
        <f t="shared" si="11"/>
        <v>39.233333333333341</v>
      </c>
      <c r="G67" s="3" t="s">
        <v>11</v>
      </c>
      <c r="H67" s="3">
        <v>6.2</v>
      </c>
      <c r="I67" s="3">
        <v>3</v>
      </c>
      <c r="J67" s="5">
        <f t="shared" si="12"/>
        <v>2.0666666666666669</v>
      </c>
      <c r="K67">
        <f>SUMIF(Planilha1!A:A, Plan1!D67, Planilha1!B:B)</f>
        <v>66.657536766666666</v>
      </c>
    </row>
    <row r="68" spans="1:11" x14ac:dyDescent="0.25">
      <c r="A68" s="3" t="s">
        <v>16</v>
      </c>
      <c r="B68">
        <v>4</v>
      </c>
      <c r="C68" s="3" t="s">
        <v>10</v>
      </c>
      <c r="D68" s="4">
        <v>45251</v>
      </c>
      <c r="E68" s="3">
        <v>2</v>
      </c>
      <c r="F68" s="5">
        <f t="shared" ref="F68:F73" si="13">(41.6+48.9+38.8)/3</f>
        <v>43.1</v>
      </c>
      <c r="G68" s="3" t="s">
        <v>12</v>
      </c>
      <c r="H68" s="3">
        <v>9.3000000000000007</v>
      </c>
      <c r="I68" s="3">
        <v>3</v>
      </c>
      <c r="J68" s="5">
        <f t="shared" si="12"/>
        <v>3.1</v>
      </c>
      <c r="K68">
        <f>SUMIF(Planilha1!A:A, Plan1!D68, Planilha1!B:B)</f>
        <v>76.088169685000011</v>
      </c>
    </row>
    <row r="69" spans="1:11" x14ac:dyDescent="0.25">
      <c r="A69" s="3" t="s">
        <v>16</v>
      </c>
      <c r="B69">
        <v>4</v>
      </c>
      <c r="C69" s="3" t="s">
        <v>10</v>
      </c>
      <c r="D69" s="4">
        <v>45252</v>
      </c>
      <c r="E69" s="3">
        <v>2</v>
      </c>
      <c r="F69" s="5">
        <f t="shared" si="13"/>
        <v>43.1</v>
      </c>
      <c r="G69" s="3" t="s">
        <v>12</v>
      </c>
      <c r="H69" s="3">
        <v>10</v>
      </c>
      <c r="I69" s="3">
        <v>3</v>
      </c>
      <c r="J69" s="5">
        <f t="shared" si="12"/>
        <v>3.3333333333333335</v>
      </c>
      <c r="K69">
        <f>SUMIF(Planilha1!A:A, Plan1!D69, Planilha1!B:B)</f>
        <v>77.606960173333334</v>
      </c>
    </row>
    <row r="70" spans="1:11" x14ac:dyDescent="0.25">
      <c r="A70" s="3" t="s">
        <v>16</v>
      </c>
      <c r="B70">
        <v>4</v>
      </c>
      <c r="C70" s="3" t="s">
        <v>10</v>
      </c>
      <c r="D70" s="4">
        <v>45253</v>
      </c>
      <c r="E70" s="3">
        <v>2</v>
      </c>
      <c r="F70" s="5">
        <f t="shared" si="13"/>
        <v>43.1</v>
      </c>
      <c r="G70" s="3" t="s">
        <v>12</v>
      </c>
      <c r="H70" s="3">
        <v>8.1</v>
      </c>
      <c r="I70" s="3">
        <v>3</v>
      </c>
      <c r="J70" s="5">
        <f t="shared" si="12"/>
        <v>2.6999999999999997</v>
      </c>
      <c r="K70">
        <f>SUMIF(Planilha1!A:A, Plan1!D70, Planilha1!B:B)</f>
        <v>76.878747888333336</v>
      </c>
    </row>
    <row r="71" spans="1:11" x14ac:dyDescent="0.25">
      <c r="A71" s="3" t="s">
        <v>16</v>
      </c>
      <c r="B71">
        <v>4</v>
      </c>
      <c r="C71" s="3" t="s">
        <v>10</v>
      </c>
      <c r="D71" s="4">
        <v>45252</v>
      </c>
      <c r="E71" s="3">
        <v>2</v>
      </c>
      <c r="F71" s="5">
        <f t="shared" si="13"/>
        <v>43.1</v>
      </c>
      <c r="G71" s="3" t="s">
        <v>11</v>
      </c>
      <c r="H71" s="3">
        <v>3.3</v>
      </c>
      <c r="I71" s="3">
        <v>3</v>
      </c>
      <c r="J71" s="5">
        <f t="shared" si="12"/>
        <v>1.0999999999999999</v>
      </c>
      <c r="K71">
        <f>SUMIF(Planilha1!A:A, Plan1!D71, Planilha1!B:B)</f>
        <v>77.606960173333334</v>
      </c>
    </row>
    <row r="72" spans="1:11" x14ac:dyDescent="0.25">
      <c r="A72" s="3" t="s">
        <v>16</v>
      </c>
      <c r="B72">
        <v>4</v>
      </c>
      <c r="C72" s="3" t="s">
        <v>10</v>
      </c>
      <c r="D72" s="4">
        <v>45254</v>
      </c>
      <c r="E72" s="3">
        <v>2</v>
      </c>
      <c r="F72" s="5">
        <f t="shared" si="13"/>
        <v>43.1</v>
      </c>
      <c r="G72" s="3" t="s">
        <v>11</v>
      </c>
      <c r="H72" s="3">
        <v>2.2000000000000002</v>
      </c>
      <c r="I72" s="3">
        <v>3</v>
      </c>
      <c r="J72" s="5">
        <f t="shared" si="12"/>
        <v>0.73333333333333339</v>
      </c>
      <c r="K72">
        <f>SUMIF(Planilha1!A:A, Plan1!D72, Planilha1!B:B)</f>
        <v>71.016432365000014</v>
      </c>
    </row>
    <row r="73" spans="1:11" x14ac:dyDescent="0.25">
      <c r="A73" s="3" t="s">
        <v>16</v>
      </c>
      <c r="B73">
        <v>4</v>
      </c>
      <c r="C73" s="3" t="s">
        <v>10</v>
      </c>
      <c r="D73" s="4">
        <v>45253</v>
      </c>
      <c r="E73" s="3">
        <v>2</v>
      </c>
      <c r="F73" s="5">
        <f t="shared" si="13"/>
        <v>43.1</v>
      </c>
      <c r="G73" s="3" t="s">
        <v>11</v>
      </c>
      <c r="H73" s="3">
        <v>6.1</v>
      </c>
      <c r="I73" s="3">
        <v>3</v>
      </c>
      <c r="J73" s="5">
        <f t="shared" si="12"/>
        <v>2.0333333333333332</v>
      </c>
      <c r="K73">
        <f>SUMIF(Planilha1!A:A, Plan1!D73, Planilha1!B:B)</f>
        <v>76.878747888333336</v>
      </c>
    </row>
    <row r="74" spans="1:11" x14ac:dyDescent="0.25">
      <c r="A74" s="3" t="s">
        <v>17</v>
      </c>
      <c r="B74">
        <v>5</v>
      </c>
      <c r="C74" s="3" t="s">
        <v>14</v>
      </c>
      <c r="D74" s="4">
        <v>45253</v>
      </c>
      <c r="E74" s="3">
        <v>2</v>
      </c>
      <c r="F74" s="5">
        <f t="shared" ref="F74:F79" si="14">(28+31+27.8)/3</f>
        <v>28.933333333333334</v>
      </c>
      <c r="G74" s="3" t="s">
        <v>12</v>
      </c>
      <c r="H74" s="3">
        <v>1.6</v>
      </c>
      <c r="I74" s="3">
        <v>2</v>
      </c>
      <c r="J74" s="5">
        <f t="shared" si="12"/>
        <v>0.8</v>
      </c>
      <c r="K74">
        <f>SUMIF(Planilha1!A:A, Plan1!D74, Planilha1!B:B)</f>
        <v>76.878747888333336</v>
      </c>
    </row>
    <row r="75" spans="1:11" x14ac:dyDescent="0.25">
      <c r="A75" s="3" t="s">
        <v>17</v>
      </c>
      <c r="B75">
        <v>5</v>
      </c>
      <c r="C75" s="3" t="s">
        <v>14</v>
      </c>
      <c r="D75" s="4">
        <v>45254</v>
      </c>
      <c r="E75" s="3">
        <v>2</v>
      </c>
      <c r="F75" s="5">
        <f t="shared" si="14"/>
        <v>28.933333333333334</v>
      </c>
      <c r="G75" s="3" t="s">
        <v>12</v>
      </c>
      <c r="H75" s="3">
        <v>2.7</v>
      </c>
      <c r="I75" s="3">
        <v>2</v>
      </c>
      <c r="J75" s="5">
        <f t="shared" si="12"/>
        <v>1.35</v>
      </c>
      <c r="K75">
        <f>SUMIF(Planilha1!A:A, Plan1!D75, Planilha1!B:B)</f>
        <v>71.016432365000014</v>
      </c>
    </row>
    <row r="76" spans="1:11" x14ac:dyDescent="0.25">
      <c r="A76" s="3" t="s">
        <v>17</v>
      </c>
      <c r="B76">
        <v>5</v>
      </c>
      <c r="C76" s="3" t="s">
        <v>14</v>
      </c>
      <c r="D76" s="4">
        <v>45255</v>
      </c>
      <c r="E76" s="3">
        <v>2</v>
      </c>
      <c r="F76" s="5">
        <f t="shared" si="14"/>
        <v>28.933333333333334</v>
      </c>
      <c r="G76" s="3" t="s">
        <v>12</v>
      </c>
      <c r="H76" s="3">
        <v>2</v>
      </c>
      <c r="I76" s="3">
        <v>2</v>
      </c>
      <c r="J76" s="5">
        <f t="shared" si="12"/>
        <v>1</v>
      </c>
      <c r="K76">
        <f>SUMIF(Planilha1!A:A, Plan1!D76, Planilha1!B:B)</f>
        <v>68.097968356666669</v>
      </c>
    </row>
    <row r="77" spans="1:11" x14ac:dyDescent="0.25">
      <c r="A77" s="3" t="s">
        <v>17</v>
      </c>
      <c r="B77">
        <v>5</v>
      </c>
      <c r="C77" s="3" t="s">
        <v>14</v>
      </c>
      <c r="D77" s="4">
        <v>45254</v>
      </c>
      <c r="E77" s="3">
        <v>2</v>
      </c>
      <c r="F77" s="5">
        <f t="shared" si="14"/>
        <v>28.933333333333334</v>
      </c>
      <c r="G77" s="3" t="s">
        <v>11</v>
      </c>
      <c r="H77" s="3">
        <v>2.4</v>
      </c>
      <c r="I77" s="3">
        <v>2</v>
      </c>
      <c r="J77" s="5">
        <f t="shared" si="12"/>
        <v>1.2</v>
      </c>
      <c r="K77">
        <f>SUMIF(Planilha1!A:A, Plan1!D77, Planilha1!B:B)</f>
        <v>71.016432365000014</v>
      </c>
    </row>
    <row r="78" spans="1:11" x14ac:dyDescent="0.25">
      <c r="A78" s="3" t="s">
        <v>17</v>
      </c>
      <c r="B78">
        <v>5</v>
      </c>
      <c r="C78" s="3" t="s">
        <v>14</v>
      </c>
      <c r="D78" s="4">
        <v>45252</v>
      </c>
      <c r="E78" s="3">
        <v>2</v>
      </c>
      <c r="F78" s="5">
        <f t="shared" si="14"/>
        <v>28.933333333333334</v>
      </c>
      <c r="G78" s="3" t="s">
        <v>11</v>
      </c>
      <c r="H78" s="3">
        <v>2.1</v>
      </c>
      <c r="I78" s="3">
        <v>2</v>
      </c>
      <c r="J78" s="5">
        <f t="shared" si="12"/>
        <v>1.05</v>
      </c>
      <c r="K78">
        <f>SUMIF(Planilha1!A:A, Plan1!D78, Planilha1!B:B)</f>
        <v>77.606960173333334</v>
      </c>
    </row>
    <row r="79" spans="1:11" x14ac:dyDescent="0.25">
      <c r="A79" s="3" t="s">
        <v>17</v>
      </c>
      <c r="B79">
        <v>5</v>
      </c>
      <c r="C79" s="3" t="s">
        <v>14</v>
      </c>
      <c r="D79" s="4">
        <v>45253</v>
      </c>
      <c r="E79" s="3">
        <v>2</v>
      </c>
      <c r="F79" s="5">
        <f t="shared" si="14"/>
        <v>28.933333333333334</v>
      </c>
      <c r="G79" s="3" t="s">
        <v>11</v>
      </c>
      <c r="H79" s="3">
        <v>2.6</v>
      </c>
      <c r="I79" s="3">
        <v>2</v>
      </c>
      <c r="J79" s="5">
        <f t="shared" si="12"/>
        <v>1.3</v>
      </c>
      <c r="K79">
        <f>SUMIF(Planilha1!A:A, Plan1!D79, Planilha1!B:B)</f>
        <v>76.878747888333336</v>
      </c>
    </row>
    <row r="80" spans="1:11" x14ac:dyDescent="0.25">
      <c r="A80" s="3" t="s">
        <v>18</v>
      </c>
      <c r="B80" s="3">
        <v>5</v>
      </c>
      <c r="C80" s="3" t="s">
        <v>10</v>
      </c>
      <c r="D80" s="4">
        <v>45181</v>
      </c>
      <c r="E80" s="3">
        <v>2</v>
      </c>
      <c r="F80" s="5">
        <f t="shared" ref="F80:F85" si="15">(29.5+30+31.6)/3</f>
        <v>30.366666666666664</v>
      </c>
      <c r="G80" s="3" t="s">
        <v>12</v>
      </c>
      <c r="H80" s="3">
        <v>4.0999999999999996</v>
      </c>
      <c r="I80" s="3">
        <v>3</v>
      </c>
      <c r="J80" s="5">
        <f t="shared" si="12"/>
        <v>1.3666666666666665</v>
      </c>
      <c r="K80">
        <f>SUMIF(Planilha1!A:A, Plan1!D80, Planilha1!B:B)</f>
        <v>70.033606378333332</v>
      </c>
    </row>
    <row r="81" spans="1:11" x14ac:dyDescent="0.25">
      <c r="A81" s="3" t="s">
        <v>18</v>
      </c>
      <c r="B81" s="3">
        <v>5</v>
      </c>
      <c r="C81" s="3" t="s">
        <v>10</v>
      </c>
      <c r="D81" s="4">
        <v>45182</v>
      </c>
      <c r="E81" s="3">
        <v>2</v>
      </c>
      <c r="F81" s="5">
        <f t="shared" si="15"/>
        <v>30.366666666666664</v>
      </c>
      <c r="G81" s="3" t="s">
        <v>12</v>
      </c>
      <c r="H81" s="3">
        <v>2.1</v>
      </c>
      <c r="I81" s="3">
        <v>3</v>
      </c>
      <c r="J81" s="5">
        <f t="shared" si="12"/>
        <v>0.70000000000000007</v>
      </c>
      <c r="K81">
        <f>SUMIF(Planilha1!A:A, Plan1!D81, Planilha1!B:B)</f>
        <v>72.452966235000005</v>
      </c>
    </row>
    <row r="82" spans="1:11" x14ac:dyDescent="0.25">
      <c r="A82" s="3" t="s">
        <v>18</v>
      </c>
      <c r="B82" s="3">
        <v>5</v>
      </c>
      <c r="C82" s="3" t="s">
        <v>10</v>
      </c>
      <c r="D82" s="4">
        <v>45183</v>
      </c>
      <c r="E82" s="3">
        <v>2</v>
      </c>
      <c r="F82" s="5">
        <f t="shared" si="15"/>
        <v>30.366666666666664</v>
      </c>
      <c r="G82" s="3" t="s">
        <v>12</v>
      </c>
      <c r="H82" s="3">
        <v>3.3</v>
      </c>
      <c r="I82" s="3">
        <v>3</v>
      </c>
      <c r="J82" s="5">
        <f t="shared" si="12"/>
        <v>1.0999999999999999</v>
      </c>
      <c r="K82">
        <f>SUMIF(Planilha1!A:A, Plan1!D82, Planilha1!B:B)</f>
        <v>66.366236204999993</v>
      </c>
    </row>
    <row r="83" spans="1:11" x14ac:dyDescent="0.25">
      <c r="A83" s="3" t="s">
        <v>18</v>
      </c>
      <c r="B83" s="3">
        <v>5</v>
      </c>
      <c r="C83" s="3" t="s">
        <v>10</v>
      </c>
      <c r="D83" s="4">
        <v>45181</v>
      </c>
      <c r="E83" s="3">
        <v>2</v>
      </c>
      <c r="F83" s="5">
        <f t="shared" si="15"/>
        <v>30.366666666666664</v>
      </c>
      <c r="G83" s="3" t="s">
        <v>11</v>
      </c>
      <c r="H83" s="3">
        <v>1</v>
      </c>
      <c r="I83" s="3">
        <v>3</v>
      </c>
      <c r="J83" s="5">
        <f t="shared" si="12"/>
        <v>0.33333333333333331</v>
      </c>
      <c r="K83">
        <f>SUMIF(Planilha1!A:A, Plan1!D83, Planilha1!B:B)</f>
        <v>70.033606378333332</v>
      </c>
    </row>
    <row r="84" spans="1:11" x14ac:dyDescent="0.25">
      <c r="A84" s="3" t="s">
        <v>18</v>
      </c>
      <c r="B84" s="3">
        <v>5</v>
      </c>
      <c r="C84" s="3" t="s">
        <v>10</v>
      </c>
      <c r="D84" s="4">
        <v>45182</v>
      </c>
      <c r="E84" s="3">
        <v>2</v>
      </c>
      <c r="F84" s="5">
        <f t="shared" si="15"/>
        <v>30.366666666666664</v>
      </c>
      <c r="G84" s="3" t="s">
        <v>11</v>
      </c>
      <c r="H84" s="3">
        <v>3.1</v>
      </c>
      <c r="I84" s="3">
        <v>3</v>
      </c>
      <c r="J84" s="5">
        <f t="shared" si="12"/>
        <v>1.0333333333333334</v>
      </c>
      <c r="K84">
        <f>SUMIF(Planilha1!A:A, Plan1!D84, Planilha1!B:B)</f>
        <v>72.452966235000005</v>
      </c>
    </row>
    <row r="85" spans="1:11" x14ac:dyDescent="0.25">
      <c r="A85" s="3" t="s">
        <v>18</v>
      </c>
      <c r="B85" s="3">
        <v>5</v>
      </c>
      <c r="C85" s="3" t="s">
        <v>10</v>
      </c>
      <c r="D85" s="4">
        <v>45183</v>
      </c>
      <c r="E85" s="3">
        <v>2</v>
      </c>
      <c r="F85" s="5">
        <f t="shared" si="15"/>
        <v>30.366666666666664</v>
      </c>
      <c r="G85" s="3" t="s">
        <v>11</v>
      </c>
      <c r="H85" s="3">
        <v>2.2999999999999998</v>
      </c>
      <c r="I85" s="3">
        <v>3</v>
      </c>
      <c r="J85" s="5">
        <f t="shared" si="12"/>
        <v>0.76666666666666661</v>
      </c>
      <c r="K85">
        <f>SUMIF(Planilha1!A:A, Plan1!D85, Planilha1!B:B)</f>
        <v>66.366236204999993</v>
      </c>
    </row>
    <row r="86" spans="1:11" x14ac:dyDescent="0.25">
      <c r="A86" s="3" t="s">
        <v>19</v>
      </c>
      <c r="B86" s="3">
        <v>7</v>
      </c>
      <c r="C86" s="3" t="s">
        <v>14</v>
      </c>
      <c r="D86" s="4">
        <v>45153</v>
      </c>
      <c r="E86" s="3">
        <v>2</v>
      </c>
      <c r="F86" s="5">
        <f t="shared" ref="F86:F91" si="16">(39.4+37.6+32.8)/3</f>
        <v>36.6</v>
      </c>
      <c r="G86" s="3" t="s">
        <v>12</v>
      </c>
      <c r="H86" s="3">
        <v>2.7</v>
      </c>
      <c r="I86" s="3">
        <v>3</v>
      </c>
      <c r="J86" s="5">
        <f t="shared" si="12"/>
        <v>0.9</v>
      </c>
      <c r="K86">
        <f>SUMIF(Planilha1!A:A, Plan1!D86, Planilha1!B:B)</f>
        <v>65.965586279999997</v>
      </c>
    </row>
    <row r="87" spans="1:11" x14ac:dyDescent="0.25">
      <c r="A87" s="3" t="s">
        <v>19</v>
      </c>
      <c r="B87" s="3">
        <v>7</v>
      </c>
      <c r="C87" s="3" t="s">
        <v>14</v>
      </c>
      <c r="D87" s="4">
        <v>45156</v>
      </c>
      <c r="E87" s="3">
        <v>2</v>
      </c>
      <c r="F87" s="5">
        <f t="shared" si="16"/>
        <v>36.6</v>
      </c>
      <c r="G87" s="3" t="s">
        <v>12</v>
      </c>
      <c r="H87" s="3">
        <v>6.8</v>
      </c>
      <c r="I87" s="3">
        <v>3</v>
      </c>
      <c r="J87" s="5">
        <f t="shared" si="12"/>
        <v>2.2666666666666666</v>
      </c>
      <c r="K87">
        <f>SUMIF(Planilha1!A:A, Plan1!D87, Planilha1!B:B)</f>
        <v>67.960092055000004</v>
      </c>
    </row>
    <row r="88" spans="1:11" x14ac:dyDescent="0.25">
      <c r="A88" s="3" t="s">
        <v>19</v>
      </c>
      <c r="B88" s="3">
        <v>7</v>
      </c>
      <c r="C88" s="3" t="s">
        <v>14</v>
      </c>
      <c r="D88" s="4">
        <v>45158</v>
      </c>
      <c r="E88" s="3">
        <v>2</v>
      </c>
      <c r="F88" s="5">
        <f t="shared" si="16"/>
        <v>36.6</v>
      </c>
      <c r="G88" s="3" t="s">
        <v>12</v>
      </c>
      <c r="H88" s="3">
        <v>1.9</v>
      </c>
      <c r="I88" s="3">
        <v>3</v>
      </c>
      <c r="J88" s="5">
        <f t="shared" si="12"/>
        <v>0.6333333333333333</v>
      </c>
      <c r="K88">
        <f>SUMIF(Planilha1!A:A, Plan1!D88, Planilha1!B:B)</f>
        <v>64.913950115000006</v>
      </c>
    </row>
    <row r="89" spans="1:11" x14ac:dyDescent="0.25">
      <c r="A89" s="3" t="s">
        <v>19</v>
      </c>
      <c r="B89" s="3">
        <v>7</v>
      </c>
      <c r="C89" s="3" t="s">
        <v>14</v>
      </c>
      <c r="D89" s="4">
        <v>45154</v>
      </c>
      <c r="E89" s="3">
        <v>2</v>
      </c>
      <c r="F89" s="5">
        <f t="shared" si="16"/>
        <v>36.6</v>
      </c>
      <c r="G89" s="3" t="s">
        <v>11</v>
      </c>
      <c r="H89" s="3">
        <v>3.5</v>
      </c>
      <c r="I89" s="3">
        <v>3</v>
      </c>
      <c r="J89" s="5">
        <f t="shared" si="12"/>
        <v>1.1666666666666667</v>
      </c>
      <c r="K89">
        <f>SUMIF(Planilha1!A:A, Plan1!D89, Planilha1!B:B)</f>
        <v>66.392407846666671</v>
      </c>
    </row>
    <row r="90" spans="1:11" x14ac:dyDescent="0.25">
      <c r="A90" s="3" t="s">
        <v>19</v>
      </c>
      <c r="B90" s="3">
        <v>7</v>
      </c>
      <c r="C90" s="3" t="s">
        <v>14</v>
      </c>
      <c r="D90" s="4">
        <v>45155</v>
      </c>
      <c r="E90" s="3">
        <v>2</v>
      </c>
      <c r="F90" s="5">
        <f t="shared" si="16"/>
        <v>36.6</v>
      </c>
      <c r="G90" s="3" t="s">
        <v>11</v>
      </c>
      <c r="H90" s="3">
        <v>5.6</v>
      </c>
      <c r="I90" s="3">
        <v>3</v>
      </c>
      <c r="J90" s="5">
        <f t="shared" si="12"/>
        <v>1.8666666666666665</v>
      </c>
      <c r="K90">
        <f>SUMIF(Planilha1!A:A, Plan1!D90, Planilha1!B:B)</f>
        <v>67.681516200000004</v>
      </c>
    </row>
    <row r="91" spans="1:11" x14ac:dyDescent="0.25">
      <c r="A91" s="3" t="s">
        <v>19</v>
      </c>
      <c r="B91" s="3">
        <v>7</v>
      </c>
      <c r="C91" s="3" t="s">
        <v>14</v>
      </c>
      <c r="D91" s="4">
        <v>45157</v>
      </c>
      <c r="E91" s="3">
        <v>2</v>
      </c>
      <c r="F91" s="5">
        <f t="shared" si="16"/>
        <v>36.6</v>
      </c>
      <c r="G91" s="3" t="s">
        <v>11</v>
      </c>
      <c r="H91" s="3">
        <v>3.5</v>
      </c>
      <c r="I91" s="3">
        <v>3</v>
      </c>
      <c r="J91" s="5">
        <f t="shared" si="12"/>
        <v>1.1666666666666667</v>
      </c>
      <c r="K91">
        <f>SUMIF(Planilha1!A:A, Plan1!D91, Planilha1!B:B)</f>
        <v>67.187348045000007</v>
      </c>
    </row>
    <row r="92" spans="1:11" x14ac:dyDescent="0.25">
      <c r="A92" s="3" t="s">
        <v>20</v>
      </c>
      <c r="B92" s="3">
        <v>1</v>
      </c>
      <c r="C92" s="3" t="s">
        <v>10</v>
      </c>
      <c r="D92" s="4">
        <v>45218</v>
      </c>
      <c r="E92" s="3">
        <v>2</v>
      </c>
      <c r="F92" s="5">
        <f t="shared" ref="F92:F97" si="17">(39.3+40.5+38.9)/3</f>
        <v>39.566666666666663</v>
      </c>
      <c r="G92" s="3" t="s">
        <v>12</v>
      </c>
      <c r="H92" s="3">
        <v>11</v>
      </c>
      <c r="I92" s="3">
        <v>3</v>
      </c>
      <c r="J92" s="5">
        <f t="shared" si="12"/>
        <v>3.6666666666666665</v>
      </c>
      <c r="K92">
        <f>SUMIF(Planilha1!A:A, Plan1!D92, Planilha1!B:B)</f>
        <v>70.451578070000011</v>
      </c>
    </row>
    <row r="93" spans="1:11" x14ac:dyDescent="0.25">
      <c r="A93" s="3" t="s">
        <v>20</v>
      </c>
      <c r="B93" s="3">
        <v>1</v>
      </c>
      <c r="C93" s="3" t="s">
        <v>10</v>
      </c>
      <c r="D93" s="4">
        <v>45219</v>
      </c>
      <c r="E93" s="3">
        <v>2</v>
      </c>
      <c r="F93" s="5">
        <f t="shared" si="17"/>
        <v>39.566666666666663</v>
      </c>
      <c r="G93" s="3" t="s">
        <v>12</v>
      </c>
      <c r="H93" s="3">
        <v>12.2</v>
      </c>
      <c r="I93" s="3">
        <v>3</v>
      </c>
      <c r="J93" s="5">
        <f t="shared" si="12"/>
        <v>4.0666666666666664</v>
      </c>
      <c r="K93">
        <f>SUMIF(Planilha1!A:A, Plan1!D93, Planilha1!B:B)</f>
        <v>70.27087305500001</v>
      </c>
    </row>
    <row r="94" spans="1:11" x14ac:dyDescent="0.25">
      <c r="A94" s="3" t="s">
        <v>20</v>
      </c>
      <c r="B94" s="3">
        <v>1</v>
      </c>
      <c r="C94" s="3" t="s">
        <v>10</v>
      </c>
      <c r="D94" s="4">
        <v>45220</v>
      </c>
      <c r="E94" s="3">
        <v>2</v>
      </c>
      <c r="F94" s="5">
        <f t="shared" si="17"/>
        <v>39.566666666666663</v>
      </c>
      <c r="G94" s="3" t="s">
        <v>12</v>
      </c>
      <c r="H94" s="3">
        <v>2.2999999999999998</v>
      </c>
      <c r="I94" s="3">
        <v>3</v>
      </c>
      <c r="J94" s="5">
        <f t="shared" si="12"/>
        <v>0.76666666666666661</v>
      </c>
      <c r="K94">
        <f>SUMIF(Planilha1!A:A, Plan1!D94, Planilha1!B:B)</f>
        <v>69.746530490000012</v>
      </c>
    </row>
    <row r="95" spans="1:11" x14ac:dyDescent="0.25">
      <c r="A95" s="3" t="s">
        <v>20</v>
      </c>
      <c r="B95" s="3">
        <v>1</v>
      </c>
      <c r="C95" s="3" t="s">
        <v>10</v>
      </c>
      <c r="D95" s="4">
        <v>45215</v>
      </c>
      <c r="E95" s="3">
        <v>2</v>
      </c>
      <c r="F95" s="5">
        <f t="shared" si="17"/>
        <v>39.566666666666663</v>
      </c>
      <c r="G95" s="3" t="s">
        <v>11</v>
      </c>
      <c r="H95" s="3">
        <v>4</v>
      </c>
      <c r="I95" s="3">
        <v>3</v>
      </c>
      <c r="J95" s="5">
        <f t="shared" si="12"/>
        <v>1.3333333333333333</v>
      </c>
      <c r="K95">
        <f>SUMIF(Planilha1!A:A, Plan1!D95, Planilha1!B:B)</f>
        <v>76.78406279166667</v>
      </c>
    </row>
    <row r="96" spans="1:11" x14ac:dyDescent="0.25">
      <c r="A96" s="3" t="s">
        <v>20</v>
      </c>
      <c r="B96" s="3">
        <v>1</v>
      </c>
      <c r="C96" s="3" t="s">
        <v>10</v>
      </c>
      <c r="D96" s="4">
        <v>45216</v>
      </c>
      <c r="E96" s="3">
        <v>2</v>
      </c>
      <c r="F96" s="5">
        <f t="shared" si="17"/>
        <v>39.566666666666663</v>
      </c>
      <c r="G96" s="3" t="s">
        <v>11</v>
      </c>
      <c r="H96" s="3">
        <v>9.5</v>
      </c>
      <c r="I96" s="3">
        <v>3</v>
      </c>
      <c r="J96" s="5">
        <f t="shared" si="12"/>
        <v>3.1666666666666665</v>
      </c>
      <c r="K96">
        <f>SUMIF(Planilha1!A:A, Plan1!D96, Planilha1!B:B)</f>
        <v>75.552725431666673</v>
      </c>
    </row>
    <row r="97" spans="1:11" x14ac:dyDescent="0.25">
      <c r="A97" s="3" t="s">
        <v>20</v>
      </c>
      <c r="B97" s="3">
        <v>1</v>
      </c>
      <c r="C97" s="3" t="s">
        <v>10</v>
      </c>
      <c r="D97" s="4">
        <v>45218</v>
      </c>
      <c r="E97" s="3">
        <v>2</v>
      </c>
      <c r="F97" s="5">
        <f t="shared" si="17"/>
        <v>39.566666666666663</v>
      </c>
      <c r="G97" s="3" t="s">
        <v>11</v>
      </c>
      <c r="H97" s="3">
        <v>6.4</v>
      </c>
      <c r="I97" s="3">
        <v>3</v>
      </c>
      <c r="J97" s="5">
        <f t="shared" si="12"/>
        <v>2.1333333333333333</v>
      </c>
      <c r="K97">
        <f>SUMIF(Planilha1!A:A, Plan1!D97, Planilha1!B:B)</f>
        <v>70.451578070000011</v>
      </c>
    </row>
    <row r="98" spans="1:11" x14ac:dyDescent="0.25">
      <c r="A98" s="3" t="s">
        <v>9</v>
      </c>
      <c r="B98" s="3">
        <v>9</v>
      </c>
      <c r="C98" s="3" t="s">
        <v>10</v>
      </c>
      <c r="D98" s="4">
        <v>45170</v>
      </c>
      <c r="E98" s="3">
        <v>3</v>
      </c>
      <c r="F98" s="5">
        <f t="shared" ref="F98:F103" si="18">(46.5+39.5+46)/3</f>
        <v>44</v>
      </c>
      <c r="G98" s="3" t="s">
        <v>11</v>
      </c>
      <c r="H98" s="3">
        <v>10</v>
      </c>
      <c r="I98" s="3">
        <v>3</v>
      </c>
      <c r="J98" s="5">
        <f t="shared" si="12"/>
        <v>3.3333333333333335</v>
      </c>
      <c r="K98">
        <f>SUMIF(Planilha1!A:A, Plan1!D98, Planilha1!B:B)</f>
        <v>66.936242143333331</v>
      </c>
    </row>
    <row r="99" spans="1:11" x14ac:dyDescent="0.25">
      <c r="A99" s="3" t="s">
        <v>9</v>
      </c>
      <c r="B99" s="3">
        <v>9</v>
      </c>
      <c r="C99" s="3" t="s">
        <v>10</v>
      </c>
      <c r="D99" s="4">
        <v>45171</v>
      </c>
      <c r="E99" s="3">
        <v>3</v>
      </c>
      <c r="F99" s="5">
        <f t="shared" si="18"/>
        <v>44</v>
      </c>
      <c r="G99" s="3" t="s">
        <v>11</v>
      </c>
      <c r="H99" s="3">
        <v>4.3</v>
      </c>
      <c r="I99" s="3">
        <v>3</v>
      </c>
      <c r="J99" s="5">
        <f t="shared" si="12"/>
        <v>1.4333333333333333</v>
      </c>
      <c r="K99">
        <f>SUMIF(Planilha1!A:A, Plan1!D99, Planilha1!B:B)</f>
        <v>73.088972238333341</v>
      </c>
    </row>
    <row r="100" spans="1:11" x14ac:dyDescent="0.25">
      <c r="A100" s="3" t="s">
        <v>9</v>
      </c>
      <c r="B100" s="3">
        <v>9</v>
      </c>
      <c r="C100" s="3" t="s">
        <v>10</v>
      </c>
      <c r="D100" s="4">
        <v>45172</v>
      </c>
      <c r="E100" s="3">
        <v>3</v>
      </c>
      <c r="F100" s="5">
        <f t="shared" si="18"/>
        <v>44</v>
      </c>
      <c r="G100" s="3" t="s">
        <v>11</v>
      </c>
      <c r="H100" s="3">
        <v>4</v>
      </c>
      <c r="I100" s="3">
        <v>3</v>
      </c>
      <c r="J100" s="5">
        <f t="shared" si="12"/>
        <v>1.3333333333333333</v>
      </c>
      <c r="K100">
        <f>SUMIF(Planilha1!A:A, Plan1!D100, Planilha1!B:B)</f>
        <v>71.762686928333338</v>
      </c>
    </row>
    <row r="101" spans="1:11" x14ac:dyDescent="0.25">
      <c r="A101" s="3" t="s">
        <v>9</v>
      </c>
      <c r="B101" s="3">
        <v>9</v>
      </c>
      <c r="C101" s="3" t="s">
        <v>10</v>
      </c>
      <c r="D101" s="4">
        <v>45170</v>
      </c>
      <c r="E101" s="3">
        <v>3</v>
      </c>
      <c r="F101" s="5">
        <f t="shared" si="18"/>
        <v>44</v>
      </c>
      <c r="G101" s="3" t="s">
        <v>12</v>
      </c>
      <c r="H101" s="3">
        <v>5.7</v>
      </c>
      <c r="I101" s="3">
        <v>3</v>
      </c>
      <c r="J101" s="5">
        <f t="shared" si="12"/>
        <v>1.9000000000000001</v>
      </c>
      <c r="K101">
        <f>SUMIF(Planilha1!A:A, Plan1!D101, Planilha1!B:B)</f>
        <v>66.936242143333331</v>
      </c>
    </row>
    <row r="102" spans="1:11" x14ac:dyDescent="0.25">
      <c r="A102" s="3" t="s">
        <v>9</v>
      </c>
      <c r="B102" s="3">
        <v>9</v>
      </c>
      <c r="C102" s="3" t="s">
        <v>10</v>
      </c>
      <c r="D102" s="4">
        <v>45171</v>
      </c>
      <c r="E102" s="3">
        <v>3</v>
      </c>
      <c r="F102" s="5">
        <f t="shared" si="18"/>
        <v>44</v>
      </c>
      <c r="G102" s="3" t="s">
        <v>12</v>
      </c>
      <c r="H102" s="3">
        <v>4.0999999999999996</v>
      </c>
      <c r="I102" s="3">
        <v>3</v>
      </c>
      <c r="J102" s="5">
        <f t="shared" si="12"/>
        <v>1.3666666666666665</v>
      </c>
      <c r="K102">
        <f>SUMIF(Planilha1!A:A, Plan1!D102, Planilha1!B:B)</f>
        <v>73.088972238333341</v>
      </c>
    </row>
    <row r="103" spans="1:11" x14ac:dyDescent="0.25">
      <c r="A103" s="3" t="s">
        <v>9</v>
      </c>
      <c r="B103" s="3">
        <v>9</v>
      </c>
      <c r="C103" s="3" t="s">
        <v>10</v>
      </c>
      <c r="D103" s="4">
        <v>45173</v>
      </c>
      <c r="E103" s="3">
        <v>3</v>
      </c>
      <c r="F103" s="5">
        <f t="shared" si="18"/>
        <v>44</v>
      </c>
      <c r="G103" s="3" t="s">
        <v>12</v>
      </c>
      <c r="H103" s="3">
        <v>4.4000000000000004</v>
      </c>
      <c r="I103" s="3">
        <v>3</v>
      </c>
      <c r="J103" s="5">
        <f t="shared" si="12"/>
        <v>1.4666666666666668</v>
      </c>
      <c r="K103">
        <f>SUMIF(Planilha1!A:A, Plan1!D103, Planilha1!B:B)</f>
        <v>75.393938531666663</v>
      </c>
    </row>
    <row r="104" spans="1:11" x14ac:dyDescent="0.25">
      <c r="A104" s="3" t="s">
        <v>13</v>
      </c>
      <c r="B104" s="3">
        <v>10</v>
      </c>
      <c r="C104" s="3" t="s">
        <v>14</v>
      </c>
      <c r="D104" s="4">
        <v>45188</v>
      </c>
      <c r="E104" s="3">
        <v>3</v>
      </c>
      <c r="F104" s="5">
        <f t="shared" ref="F104:F109" si="19">(45+39+39)/3</f>
        <v>41</v>
      </c>
      <c r="G104" s="3" t="s">
        <v>12</v>
      </c>
      <c r="H104" s="3">
        <v>7.5</v>
      </c>
      <c r="I104" s="3">
        <v>3</v>
      </c>
      <c r="J104" s="5">
        <f t="shared" si="12"/>
        <v>2.5</v>
      </c>
      <c r="K104">
        <f>SUMIF(Planilha1!A:A, Plan1!D104, Planilha1!B:B)</f>
        <v>75.387723886666663</v>
      </c>
    </row>
    <row r="105" spans="1:11" x14ac:dyDescent="0.25">
      <c r="A105" s="3" t="s">
        <v>13</v>
      </c>
      <c r="B105" s="3">
        <v>10</v>
      </c>
      <c r="C105" s="3" t="s">
        <v>14</v>
      </c>
      <c r="D105" s="4">
        <v>45189</v>
      </c>
      <c r="E105" s="3">
        <v>3</v>
      </c>
      <c r="F105" s="5">
        <f t="shared" si="19"/>
        <v>41</v>
      </c>
      <c r="G105" s="3" t="s">
        <v>12</v>
      </c>
      <c r="H105" s="3">
        <v>10.3</v>
      </c>
      <c r="I105" s="3">
        <v>3</v>
      </c>
      <c r="J105" s="5">
        <f t="shared" si="12"/>
        <v>3.4333333333333336</v>
      </c>
      <c r="K105">
        <f>SUMIF(Planilha1!A:A, Plan1!D105, Planilha1!B:B)</f>
        <v>74.161847475000002</v>
      </c>
    </row>
    <row r="106" spans="1:11" x14ac:dyDescent="0.25">
      <c r="A106" s="3" t="s">
        <v>13</v>
      </c>
      <c r="B106" s="3">
        <v>10</v>
      </c>
      <c r="C106" s="3" t="s">
        <v>14</v>
      </c>
      <c r="D106" s="4">
        <v>45190</v>
      </c>
      <c r="E106" s="3">
        <v>3</v>
      </c>
      <c r="F106" s="5">
        <f t="shared" si="19"/>
        <v>41</v>
      </c>
      <c r="G106" s="3" t="s">
        <v>12</v>
      </c>
      <c r="H106" s="3">
        <v>10.9</v>
      </c>
      <c r="I106" s="3">
        <v>3</v>
      </c>
      <c r="J106" s="5">
        <f t="shared" si="12"/>
        <v>3.6333333333333333</v>
      </c>
      <c r="K106">
        <f>SUMIF(Planilha1!A:A, Plan1!D106, Planilha1!B:B)</f>
        <v>74.906525950000002</v>
      </c>
    </row>
    <row r="107" spans="1:11" x14ac:dyDescent="0.25">
      <c r="A107" s="3" t="s">
        <v>13</v>
      </c>
      <c r="B107" s="3">
        <v>10</v>
      </c>
      <c r="C107" s="3" t="s">
        <v>14</v>
      </c>
      <c r="D107" s="4">
        <v>45189</v>
      </c>
      <c r="E107" s="3">
        <v>3</v>
      </c>
      <c r="F107" s="5">
        <f t="shared" si="19"/>
        <v>41</v>
      </c>
      <c r="G107" s="3" t="s">
        <v>11</v>
      </c>
      <c r="H107" s="3">
        <v>6.9</v>
      </c>
      <c r="I107" s="3">
        <v>3</v>
      </c>
      <c r="J107" s="5">
        <f t="shared" si="12"/>
        <v>2.3000000000000003</v>
      </c>
      <c r="K107">
        <f>SUMIF(Planilha1!A:A, Plan1!D107, Planilha1!B:B)</f>
        <v>74.161847475000002</v>
      </c>
    </row>
    <row r="108" spans="1:11" x14ac:dyDescent="0.25">
      <c r="A108" s="3" t="s">
        <v>13</v>
      </c>
      <c r="B108" s="3">
        <v>10</v>
      </c>
      <c r="C108" s="3" t="s">
        <v>14</v>
      </c>
      <c r="D108" s="4">
        <v>45188</v>
      </c>
      <c r="E108" s="3">
        <v>3</v>
      </c>
      <c r="F108" s="5">
        <f t="shared" si="19"/>
        <v>41</v>
      </c>
      <c r="G108" s="3" t="s">
        <v>11</v>
      </c>
      <c r="H108" s="3">
        <v>6.5</v>
      </c>
      <c r="I108" s="3">
        <v>3</v>
      </c>
      <c r="J108" s="5">
        <f t="shared" si="12"/>
        <v>2.1666666666666665</v>
      </c>
      <c r="K108">
        <f>SUMIF(Planilha1!A:A, Plan1!D108, Planilha1!B:B)</f>
        <v>75.387723886666663</v>
      </c>
    </row>
    <row r="109" spans="1:11" x14ac:dyDescent="0.25">
      <c r="A109" s="3" t="s">
        <v>13</v>
      </c>
      <c r="B109" s="3">
        <v>10</v>
      </c>
      <c r="C109" s="3" t="s">
        <v>14</v>
      </c>
      <c r="D109" s="4">
        <v>45190</v>
      </c>
      <c r="E109" s="3">
        <v>3</v>
      </c>
      <c r="F109" s="5">
        <f t="shared" si="19"/>
        <v>41</v>
      </c>
      <c r="G109" s="3" t="s">
        <v>11</v>
      </c>
      <c r="H109" s="3">
        <v>4.9000000000000004</v>
      </c>
      <c r="I109" s="3">
        <v>3</v>
      </c>
      <c r="J109" s="5">
        <f t="shared" si="12"/>
        <v>1.6333333333333335</v>
      </c>
      <c r="K109">
        <f>SUMIF(Planilha1!A:A, Plan1!D109, Planilha1!B:B)</f>
        <v>74.906525950000002</v>
      </c>
    </row>
    <row r="110" spans="1:11" x14ac:dyDescent="0.25">
      <c r="A110" s="3" t="s">
        <v>15</v>
      </c>
      <c r="B110" s="3">
        <v>3</v>
      </c>
      <c r="C110" s="3" t="s">
        <v>14</v>
      </c>
      <c r="D110" s="4">
        <v>45181</v>
      </c>
      <c r="E110" s="3">
        <v>3</v>
      </c>
      <c r="F110" s="5">
        <f t="shared" ref="F110:F115" si="20">(33.5+48.5+46)/3</f>
        <v>42.666666666666664</v>
      </c>
      <c r="G110" s="3" t="s">
        <v>12</v>
      </c>
      <c r="H110" s="3">
        <v>5.7</v>
      </c>
      <c r="I110" s="3">
        <v>3</v>
      </c>
      <c r="J110" s="5">
        <f t="shared" si="12"/>
        <v>1.9000000000000001</v>
      </c>
      <c r="K110">
        <f>SUMIF(Planilha1!A:A, Plan1!D110, Planilha1!B:B)</f>
        <v>70.033606378333332</v>
      </c>
    </row>
    <row r="111" spans="1:11" x14ac:dyDescent="0.25">
      <c r="A111" s="3" t="s">
        <v>15</v>
      </c>
      <c r="B111" s="3">
        <v>3</v>
      </c>
      <c r="C111" s="3" t="s">
        <v>14</v>
      </c>
      <c r="D111" s="4">
        <v>45182</v>
      </c>
      <c r="E111" s="3">
        <v>3</v>
      </c>
      <c r="F111" s="5">
        <f t="shared" si="20"/>
        <v>42.666666666666664</v>
      </c>
      <c r="G111" s="3" t="s">
        <v>12</v>
      </c>
      <c r="H111" s="3">
        <v>3.6</v>
      </c>
      <c r="I111" s="3">
        <v>3</v>
      </c>
      <c r="J111" s="5">
        <f t="shared" si="12"/>
        <v>1.2</v>
      </c>
      <c r="K111">
        <f>SUMIF(Planilha1!A:A, Plan1!D111, Planilha1!B:B)</f>
        <v>72.452966235000005</v>
      </c>
    </row>
    <row r="112" spans="1:11" x14ac:dyDescent="0.25">
      <c r="A112" s="3" t="s">
        <v>15</v>
      </c>
      <c r="B112" s="3">
        <v>3</v>
      </c>
      <c r="C112" s="3" t="s">
        <v>14</v>
      </c>
      <c r="D112" s="4">
        <v>45183</v>
      </c>
      <c r="E112" s="3">
        <v>3</v>
      </c>
      <c r="F112" s="5">
        <f t="shared" si="20"/>
        <v>42.666666666666664</v>
      </c>
      <c r="G112" s="3" t="s">
        <v>12</v>
      </c>
      <c r="H112" s="3">
        <v>5.9</v>
      </c>
      <c r="I112" s="3">
        <v>3</v>
      </c>
      <c r="J112" s="5">
        <f t="shared" si="12"/>
        <v>1.9666666666666668</v>
      </c>
      <c r="K112">
        <f>SUMIF(Planilha1!A:A, Plan1!D112, Planilha1!B:B)</f>
        <v>66.366236204999993</v>
      </c>
    </row>
    <row r="113" spans="1:11" x14ac:dyDescent="0.25">
      <c r="A113" s="3" t="s">
        <v>15</v>
      </c>
      <c r="B113" s="3">
        <v>3</v>
      </c>
      <c r="C113" s="3" t="s">
        <v>14</v>
      </c>
      <c r="D113" s="4">
        <v>45181</v>
      </c>
      <c r="E113" s="3">
        <v>3</v>
      </c>
      <c r="F113" s="5">
        <f t="shared" si="20"/>
        <v>42.666666666666664</v>
      </c>
      <c r="G113" s="3" t="s">
        <v>11</v>
      </c>
      <c r="H113" s="3">
        <v>7</v>
      </c>
      <c r="I113" s="3">
        <v>3</v>
      </c>
      <c r="J113" s="5">
        <f t="shared" si="12"/>
        <v>2.3333333333333335</v>
      </c>
      <c r="K113">
        <f>SUMIF(Planilha1!A:A, Plan1!D113, Planilha1!B:B)</f>
        <v>70.033606378333332</v>
      </c>
    </row>
    <row r="114" spans="1:11" x14ac:dyDescent="0.25">
      <c r="A114" s="3" t="s">
        <v>15</v>
      </c>
      <c r="B114" s="3">
        <v>3</v>
      </c>
      <c r="C114" s="3" t="s">
        <v>14</v>
      </c>
      <c r="D114" s="4">
        <v>45182</v>
      </c>
      <c r="E114" s="3">
        <v>3</v>
      </c>
      <c r="F114" s="5">
        <f t="shared" si="20"/>
        <v>42.666666666666664</v>
      </c>
      <c r="G114" s="3" t="s">
        <v>11</v>
      </c>
      <c r="H114" s="3">
        <v>5.3</v>
      </c>
      <c r="I114" s="3">
        <v>3</v>
      </c>
      <c r="J114" s="5">
        <f t="shared" si="12"/>
        <v>1.7666666666666666</v>
      </c>
      <c r="K114">
        <f>SUMIF(Planilha1!A:A, Plan1!D114, Planilha1!B:B)</f>
        <v>72.452966235000005</v>
      </c>
    </row>
    <row r="115" spans="1:11" x14ac:dyDescent="0.25">
      <c r="A115" s="3" t="s">
        <v>15</v>
      </c>
      <c r="B115" s="3">
        <v>3</v>
      </c>
      <c r="C115" s="3" t="s">
        <v>14</v>
      </c>
      <c r="D115" s="4">
        <v>45182</v>
      </c>
      <c r="E115" s="3">
        <v>3</v>
      </c>
      <c r="F115" s="5">
        <f t="shared" si="20"/>
        <v>42.666666666666664</v>
      </c>
      <c r="G115" s="3" t="s">
        <v>11</v>
      </c>
      <c r="H115" s="3">
        <v>8.3000000000000007</v>
      </c>
      <c r="I115" s="3">
        <v>3</v>
      </c>
      <c r="J115" s="5">
        <f t="shared" si="12"/>
        <v>2.7666666666666671</v>
      </c>
      <c r="K115">
        <f>SUMIF(Planilha1!A:A, Plan1!D115, Planilha1!B:B)</f>
        <v>72.452966235000005</v>
      </c>
    </row>
    <row r="116" spans="1:11" x14ac:dyDescent="0.25">
      <c r="A116" s="3" t="s">
        <v>16</v>
      </c>
      <c r="B116">
        <v>8</v>
      </c>
      <c r="C116" s="3" t="s">
        <v>10</v>
      </c>
      <c r="D116" s="4">
        <v>45261</v>
      </c>
      <c r="E116" s="3">
        <v>3</v>
      </c>
      <c r="F116" s="5">
        <f t="shared" ref="F116:F121" si="21">(42+49.3+40.5)/3</f>
        <v>43.933333333333337</v>
      </c>
      <c r="G116" s="3" t="s">
        <v>12</v>
      </c>
      <c r="H116" s="3">
        <v>7.2</v>
      </c>
      <c r="I116" s="3">
        <v>3</v>
      </c>
      <c r="J116" s="5">
        <f t="shared" si="12"/>
        <v>2.4</v>
      </c>
      <c r="K116">
        <f>SUMIF(Planilha1!A:A, Plan1!D116, Planilha1!B:B)</f>
        <v>79.911540705000007</v>
      </c>
    </row>
    <row r="117" spans="1:11" x14ac:dyDescent="0.25">
      <c r="A117" s="3" t="s">
        <v>16</v>
      </c>
      <c r="B117">
        <v>8</v>
      </c>
      <c r="C117" s="3" t="s">
        <v>10</v>
      </c>
      <c r="D117" s="4">
        <v>45259</v>
      </c>
      <c r="E117" s="3">
        <v>3</v>
      </c>
      <c r="F117" s="5">
        <f t="shared" si="21"/>
        <v>43.933333333333337</v>
      </c>
      <c r="G117" s="3" t="s">
        <v>12</v>
      </c>
      <c r="H117" s="3">
        <v>6</v>
      </c>
      <c r="I117" s="3">
        <v>3</v>
      </c>
      <c r="J117" s="5">
        <f t="shared" si="12"/>
        <v>2</v>
      </c>
      <c r="K117">
        <f>SUMIF(Planilha1!A:A, Plan1!D117, Planilha1!B:B)</f>
        <v>72.998537415000001</v>
      </c>
    </row>
    <row r="118" spans="1:11" x14ac:dyDescent="0.25">
      <c r="A118" s="3" t="s">
        <v>16</v>
      </c>
      <c r="B118">
        <v>8</v>
      </c>
      <c r="C118" s="3" t="s">
        <v>10</v>
      </c>
      <c r="D118" s="4">
        <v>45263</v>
      </c>
      <c r="E118" s="3">
        <v>3</v>
      </c>
      <c r="F118" s="5">
        <f t="shared" si="21"/>
        <v>43.933333333333337</v>
      </c>
      <c r="G118" s="3" t="s">
        <v>12</v>
      </c>
      <c r="H118" s="3">
        <v>5.9</v>
      </c>
      <c r="I118" s="3">
        <v>3</v>
      </c>
      <c r="J118" s="5">
        <f t="shared" si="12"/>
        <v>1.9666666666666668</v>
      </c>
      <c r="K118">
        <f>SUMIF(Planilha1!A:A, Plan1!D118, Planilha1!B:B)</f>
        <v>80.546709703333349</v>
      </c>
    </row>
    <row r="119" spans="1:11" x14ac:dyDescent="0.25">
      <c r="A119" s="3" t="s">
        <v>16</v>
      </c>
      <c r="B119">
        <v>8</v>
      </c>
      <c r="C119" s="3" t="s">
        <v>10</v>
      </c>
      <c r="D119" s="4">
        <v>45259</v>
      </c>
      <c r="E119" s="3">
        <v>3</v>
      </c>
      <c r="F119" s="5">
        <f t="shared" si="21"/>
        <v>43.933333333333337</v>
      </c>
      <c r="G119" s="3" t="s">
        <v>11</v>
      </c>
      <c r="H119" s="3">
        <v>2.8</v>
      </c>
      <c r="I119" s="3">
        <v>3</v>
      </c>
      <c r="J119" s="5">
        <f t="shared" si="12"/>
        <v>0.93333333333333324</v>
      </c>
      <c r="K119">
        <f>SUMIF(Planilha1!A:A, Plan1!D119, Planilha1!B:B)</f>
        <v>72.998537415000001</v>
      </c>
    </row>
    <row r="120" spans="1:11" x14ac:dyDescent="0.25">
      <c r="A120" s="3" t="s">
        <v>16</v>
      </c>
      <c r="B120">
        <v>8</v>
      </c>
      <c r="C120" s="3" t="s">
        <v>10</v>
      </c>
      <c r="D120" s="4">
        <v>45261</v>
      </c>
      <c r="E120" s="3">
        <v>3</v>
      </c>
      <c r="F120" s="5">
        <f t="shared" si="21"/>
        <v>43.933333333333337</v>
      </c>
      <c r="G120" s="3" t="s">
        <v>11</v>
      </c>
      <c r="H120" s="3">
        <v>1.3</v>
      </c>
      <c r="I120" s="3">
        <v>3</v>
      </c>
      <c r="J120" s="5">
        <f t="shared" si="12"/>
        <v>0.43333333333333335</v>
      </c>
      <c r="K120">
        <f>SUMIF(Planilha1!A:A, Plan1!D120, Planilha1!B:B)</f>
        <v>79.911540705000007</v>
      </c>
    </row>
    <row r="121" spans="1:11" x14ac:dyDescent="0.25">
      <c r="A121" s="3" t="s">
        <v>16</v>
      </c>
      <c r="B121">
        <v>8</v>
      </c>
      <c r="C121" s="3" t="s">
        <v>10</v>
      </c>
      <c r="D121" s="4">
        <v>45262</v>
      </c>
      <c r="E121" s="3">
        <v>3</v>
      </c>
      <c r="F121" s="5">
        <f t="shared" si="21"/>
        <v>43.933333333333337</v>
      </c>
      <c r="G121" s="3" t="s">
        <v>11</v>
      </c>
      <c r="H121" s="3">
        <v>1.7</v>
      </c>
      <c r="I121" s="3">
        <v>3</v>
      </c>
      <c r="J121" s="5">
        <f t="shared" si="12"/>
        <v>0.56666666666666665</v>
      </c>
      <c r="K121">
        <f>SUMIF(Planilha1!A:A, Plan1!D121, Planilha1!B:B)</f>
        <v>80.494152005000004</v>
      </c>
    </row>
    <row r="122" spans="1:11" x14ac:dyDescent="0.25">
      <c r="A122" s="3" t="s">
        <v>17</v>
      </c>
      <c r="B122">
        <v>2</v>
      </c>
      <c r="C122" s="3" t="s">
        <v>14</v>
      </c>
      <c r="D122" s="4">
        <v>45258</v>
      </c>
      <c r="E122" s="3">
        <v>3</v>
      </c>
      <c r="F122" s="5">
        <f t="shared" ref="F122:F127" si="22">(32.5+31.5+32.3)/3</f>
        <v>32.1</v>
      </c>
      <c r="G122" s="3" t="s">
        <v>11</v>
      </c>
      <c r="H122" s="3">
        <v>3.3</v>
      </c>
      <c r="I122" s="3">
        <v>3</v>
      </c>
      <c r="J122" s="5">
        <f t="shared" si="12"/>
        <v>1.0999999999999999</v>
      </c>
      <c r="K122">
        <f>SUMIF(Planilha1!A:A, Plan1!D122, Planilha1!B:B)</f>
        <v>74.867799178333328</v>
      </c>
    </row>
    <row r="123" spans="1:11" x14ac:dyDescent="0.25">
      <c r="A123" s="3" t="s">
        <v>17</v>
      </c>
      <c r="B123">
        <v>2</v>
      </c>
      <c r="C123" s="3" t="s">
        <v>14</v>
      </c>
      <c r="D123" s="4">
        <v>45259</v>
      </c>
      <c r="E123" s="3">
        <v>3</v>
      </c>
      <c r="F123" s="5">
        <f t="shared" si="22"/>
        <v>32.1</v>
      </c>
      <c r="G123" s="3" t="s">
        <v>12</v>
      </c>
      <c r="H123" s="3">
        <v>6</v>
      </c>
      <c r="I123" s="3">
        <v>3</v>
      </c>
      <c r="J123" s="5">
        <f t="shared" si="12"/>
        <v>2</v>
      </c>
      <c r="K123">
        <f>SUMIF(Planilha1!A:A, Plan1!D123, Planilha1!B:B)</f>
        <v>72.998537415000001</v>
      </c>
    </row>
    <row r="124" spans="1:11" x14ac:dyDescent="0.25">
      <c r="A124" s="3" t="s">
        <v>17</v>
      </c>
      <c r="B124">
        <v>2</v>
      </c>
      <c r="C124" s="3" t="s">
        <v>14</v>
      </c>
      <c r="D124" s="4">
        <v>45260</v>
      </c>
      <c r="E124" s="3">
        <v>3</v>
      </c>
      <c r="F124" s="5">
        <f t="shared" si="22"/>
        <v>32.1</v>
      </c>
      <c r="G124" s="3" t="s">
        <v>12</v>
      </c>
      <c r="H124" s="3">
        <v>5.3</v>
      </c>
      <c r="I124" s="3">
        <v>3</v>
      </c>
      <c r="J124" s="5">
        <f t="shared" si="12"/>
        <v>1.7666666666666666</v>
      </c>
      <c r="K124">
        <f>SUMIF(Planilha1!A:A, Plan1!D124, Planilha1!B:B)</f>
        <v>76.16079527666669</v>
      </c>
    </row>
    <row r="125" spans="1:11" x14ac:dyDescent="0.25">
      <c r="A125" s="3" t="s">
        <v>17</v>
      </c>
      <c r="B125">
        <v>2</v>
      </c>
      <c r="C125" s="3" t="s">
        <v>14</v>
      </c>
      <c r="D125" s="4">
        <v>45258</v>
      </c>
      <c r="E125" s="3">
        <v>3</v>
      </c>
      <c r="F125" s="5">
        <f t="shared" si="22"/>
        <v>32.1</v>
      </c>
      <c r="G125" s="3" t="s">
        <v>11</v>
      </c>
      <c r="H125" s="3">
        <v>3</v>
      </c>
      <c r="I125" s="3">
        <v>3</v>
      </c>
      <c r="J125" s="5">
        <f t="shared" si="12"/>
        <v>1</v>
      </c>
      <c r="K125">
        <f>SUMIF(Planilha1!A:A, Plan1!D125, Planilha1!B:B)</f>
        <v>74.867799178333328</v>
      </c>
    </row>
    <row r="126" spans="1:11" x14ac:dyDescent="0.25">
      <c r="A126" s="3" t="s">
        <v>17</v>
      </c>
      <c r="B126">
        <v>2</v>
      </c>
      <c r="C126" s="3" t="s">
        <v>14</v>
      </c>
      <c r="D126" s="4">
        <v>45259</v>
      </c>
      <c r="E126" s="3">
        <v>3</v>
      </c>
      <c r="F126" s="5">
        <f t="shared" si="22"/>
        <v>32.1</v>
      </c>
      <c r="G126" s="3" t="s">
        <v>11</v>
      </c>
      <c r="H126" s="3">
        <v>4.3</v>
      </c>
      <c r="I126" s="3">
        <v>3</v>
      </c>
      <c r="J126" s="5">
        <f t="shared" si="12"/>
        <v>1.4333333333333333</v>
      </c>
      <c r="K126">
        <f>SUMIF(Planilha1!A:A, Plan1!D126, Planilha1!B:B)</f>
        <v>72.998537415000001</v>
      </c>
    </row>
    <row r="127" spans="1:11" x14ac:dyDescent="0.25">
      <c r="A127" s="3" t="s">
        <v>17</v>
      </c>
      <c r="B127">
        <v>2</v>
      </c>
      <c r="C127" s="3" t="s">
        <v>14</v>
      </c>
      <c r="D127" s="4">
        <v>45260</v>
      </c>
      <c r="E127" s="3">
        <v>3</v>
      </c>
      <c r="F127" s="5">
        <f t="shared" si="22"/>
        <v>32.1</v>
      </c>
      <c r="G127" s="3" t="s">
        <v>11</v>
      </c>
      <c r="H127" s="3">
        <v>5.4</v>
      </c>
      <c r="I127" s="3">
        <v>3</v>
      </c>
      <c r="J127" s="5">
        <f t="shared" si="12"/>
        <v>1.8</v>
      </c>
      <c r="K127">
        <f>SUMIF(Planilha1!A:A, Plan1!D127, Planilha1!B:B)</f>
        <v>76.16079527666669</v>
      </c>
    </row>
    <row r="128" spans="1:11" x14ac:dyDescent="0.25">
      <c r="A128" s="3" t="s">
        <v>18</v>
      </c>
      <c r="B128" s="3">
        <v>1</v>
      </c>
      <c r="C128" s="3" t="s">
        <v>10</v>
      </c>
      <c r="D128" s="4">
        <v>45191</v>
      </c>
      <c r="E128" s="3">
        <v>3</v>
      </c>
      <c r="F128" s="5">
        <f>(32.3+34.5)/2</f>
        <v>33.4</v>
      </c>
      <c r="G128" s="3" t="s">
        <v>11</v>
      </c>
      <c r="H128" s="3">
        <v>2.1</v>
      </c>
      <c r="I128" s="3">
        <v>2</v>
      </c>
      <c r="J128" s="5">
        <f t="shared" si="12"/>
        <v>1.05</v>
      </c>
      <c r="K128">
        <f>SUMIF(Planilha1!A:A, Plan1!D128, Planilha1!B:B)</f>
        <v>77.11923492166666</v>
      </c>
    </row>
    <row r="129" spans="1:11" x14ac:dyDescent="0.25">
      <c r="A129" s="3" t="s">
        <v>18</v>
      </c>
      <c r="B129" s="3">
        <v>1</v>
      </c>
      <c r="C129" s="3" t="s">
        <v>10</v>
      </c>
      <c r="D129" s="4">
        <v>45193</v>
      </c>
      <c r="E129" s="3">
        <v>3</v>
      </c>
      <c r="F129" s="5">
        <f>(32.3+34.5+30.5)/3</f>
        <v>32.43333333333333</v>
      </c>
      <c r="G129" s="3" t="s">
        <v>11</v>
      </c>
      <c r="H129" s="3">
        <v>3.4</v>
      </c>
      <c r="I129" s="3">
        <v>3</v>
      </c>
      <c r="J129" s="5">
        <f t="shared" si="12"/>
        <v>1.1333333333333333</v>
      </c>
      <c r="K129">
        <f>SUMIF(Planilha1!A:A, Plan1!D129, Planilha1!B:B)</f>
        <v>78.325212963333342</v>
      </c>
    </row>
    <row r="130" spans="1:11" x14ac:dyDescent="0.25">
      <c r="A130" s="3" t="s">
        <v>18</v>
      </c>
      <c r="B130" s="3">
        <v>1</v>
      </c>
      <c r="C130" s="3" t="s">
        <v>10</v>
      </c>
      <c r="D130" s="4">
        <v>45189</v>
      </c>
      <c r="E130" s="3">
        <v>3</v>
      </c>
      <c r="F130" s="5">
        <f>(32.3+34.5)/2</f>
        <v>33.4</v>
      </c>
      <c r="G130" s="3" t="s">
        <v>11</v>
      </c>
      <c r="H130" s="3">
        <v>1.4</v>
      </c>
      <c r="I130" s="3">
        <v>2</v>
      </c>
      <c r="J130" s="5">
        <f t="shared" ref="J130:J193" si="23">H130/I130</f>
        <v>0.7</v>
      </c>
      <c r="K130">
        <f>SUMIF(Planilha1!A:A, Plan1!D130, Planilha1!B:B)</f>
        <v>74.161847475000002</v>
      </c>
    </row>
    <row r="131" spans="1:11" x14ac:dyDescent="0.25">
      <c r="A131" s="3" t="s">
        <v>18</v>
      </c>
      <c r="B131" s="3">
        <v>1</v>
      </c>
      <c r="C131" s="3" t="s">
        <v>10</v>
      </c>
      <c r="D131" s="4">
        <v>45190</v>
      </c>
      <c r="E131" s="3">
        <v>3</v>
      </c>
      <c r="F131" s="5">
        <f>(32.3+34.5)/2</f>
        <v>33.4</v>
      </c>
      <c r="G131" s="3" t="s">
        <v>12</v>
      </c>
      <c r="H131" s="3">
        <v>3.9</v>
      </c>
      <c r="I131" s="3">
        <v>2</v>
      </c>
      <c r="J131" s="5">
        <f t="shared" si="23"/>
        <v>1.95</v>
      </c>
      <c r="K131">
        <f>SUMIF(Planilha1!A:A, Plan1!D131, Planilha1!B:B)</f>
        <v>74.906525950000002</v>
      </c>
    </row>
    <row r="132" spans="1:11" x14ac:dyDescent="0.25">
      <c r="A132" s="3" t="s">
        <v>18</v>
      </c>
      <c r="B132" s="3">
        <v>1</v>
      </c>
      <c r="C132" s="3" t="s">
        <v>10</v>
      </c>
      <c r="D132" s="4">
        <v>45191</v>
      </c>
      <c r="E132" s="3">
        <v>3</v>
      </c>
      <c r="F132" s="5">
        <f>(32.3+34.5)/2</f>
        <v>33.4</v>
      </c>
      <c r="G132" s="3" t="s">
        <v>12</v>
      </c>
      <c r="H132" s="3">
        <v>3.1</v>
      </c>
      <c r="I132" s="3">
        <v>2</v>
      </c>
      <c r="J132" s="5">
        <f t="shared" si="23"/>
        <v>1.55</v>
      </c>
      <c r="K132">
        <f>SUMIF(Planilha1!A:A, Plan1!D132, Planilha1!B:B)</f>
        <v>77.11923492166666</v>
      </c>
    </row>
    <row r="133" spans="1:11" x14ac:dyDescent="0.25">
      <c r="A133" s="3" t="s">
        <v>18</v>
      </c>
      <c r="B133" s="3">
        <v>1</v>
      </c>
      <c r="C133" s="3" t="s">
        <v>10</v>
      </c>
      <c r="D133" s="4">
        <v>45188</v>
      </c>
      <c r="E133" s="3">
        <v>3</v>
      </c>
      <c r="F133" s="5">
        <f>(32.3+34.5)/2</f>
        <v>33.4</v>
      </c>
      <c r="G133" s="3" t="s">
        <v>12</v>
      </c>
      <c r="H133" s="3">
        <v>2.4</v>
      </c>
      <c r="I133" s="3">
        <v>2</v>
      </c>
      <c r="J133" s="5">
        <f t="shared" si="23"/>
        <v>1.2</v>
      </c>
      <c r="K133">
        <f>SUMIF(Planilha1!A:A, Plan1!D133, Planilha1!B:B)</f>
        <v>75.387723886666663</v>
      </c>
    </row>
    <row r="134" spans="1:11" x14ac:dyDescent="0.25">
      <c r="A134" s="3" t="s">
        <v>19</v>
      </c>
      <c r="B134" s="3">
        <v>2</v>
      </c>
      <c r="C134" s="3" t="s">
        <v>14</v>
      </c>
      <c r="D134" s="4">
        <v>45161</v>
      </c>
      <c r="E134" s="3">
        <v>3</v>
      </c>
      <c r="F134" s="5">
        <f t="shared" ref="F134:F139" si="24">(45.7+41+33.5)/3</f>
        <v>40.06666666666667</v>
      </c>
      <c r="G134" s="3" t="s">
        <v>12</v>
      </c>
      <c r="H134" s="3">
        <v>3.5</v>
      </c>
      <c r="I134" s="3">
        <v>3</v>
      </c>
      <c r="J134" s="5">
        <f t="shared" si="23"/>
        <v>1.1666666666666667</v>
      </c>
      <c r="K134">
        <f>SUMIF(Planilha1!A:A, Plan1!D134, Planilha1!B:B)</f>
        <v>70.955558443333345</v>
      </c>
    </row>
    <row r="135" spans="1:11" x14ac:dyDescent="0.25">
      <c r="A135" s="3" t="s">
        <v>19</v>
      </c>
      <c r="B135" s="3">
        <v>2</v>
      </c>
      <c r="C135" s="3" t="s">
        <v>14</v>
      </c>
      <c r="D135" s="4">
        <v>45162</v>
      </c>
      <c r="E135" s="3">
        <v>3</v>
      </c>
      <c r="F135" s="5">
        <f t="shared" si="24"/>
        <v>40.06666666666667</v>
      </c>
      <c r="G135" s="3" t="s">
        <v>12</v>
      </c>
      <c r="H135" s="3">
        <v>6.4</v>
      </c>
      <c r="I135" s="3">
        <v>3</v>
      </c>
      <c r="J135" s="5">
        <f t="shared" si="23"/>
        <v>2.1333333333333333</v>
      </c>
      <c r="K135">
        <f>SUMIF(Planilha1!A:A, Plan1!D135, Planilha1!B:B)</f>
        <v>73.86414607333333</v>
      </c>
    </row>
    <row r="136" spans="1:11" x14ac:dyDescent="0.25">
      <c r="A136" s="3" t="s">
        <v>19</v>
      </c>
      <c r="B136" s="3">
        <v>2</v>
      </c>
      <c r="C136" s="3" t="s">
        <v>14</v>
      </c>
      <c r="D136" s="4">
        <v>45163</v>
      </c>
      <c r="E136" s="3">
        <v>3</v>
      </c>
      <c r="F136" s="5">
        <f t="shared" si="24"/>
        <v>40.06666666666667</v>
      </c>
      <c r="G136" s="3" t="s">
        <v>12</v>
      </c>
      <c r="H136" s="3">
        <v>4.5</v>
      </c>
      <c r="I136" s="3">
        <v>3</v>
      </c>
      <c r="J136" s="5">
        <f t="shared" si="23"/>
        <v>1.5</v>
      </c>
      <c r="K136">
        <f>SUMIF(Planilha1!A:A, Plan1!D136, Planilha1!B:B)</f>
        <v>73.758573808333338</v>
      </c>
    </row>
    <row r="137" spans="1:11" x14ac:dyDescent="0.25">
      <c r="A137" s="3" t="s">
        <v>19</v>
      </c>
      <c r="B137" s="3">
        <v>2</v>
      </c>
      <c r="C137" s="3" t="s">
        <v>14</v>
      </c>
      <c r="D137" s="4">
        <v>45161</v>
      </c>
      <c r="E137" s="3">
        <v>3</v>
      </c>
      <c r="F137" s="5">
        <f t="shared" si="24"/>
        <v>40.06666666666667</v>
      </c>
      <c r="G137" s="3" t="s">
        <v>11</v>
      </c>
      <c r="H137" s="3">
        <v>8</v>
      </c>
      <c r="I137" s="3">
        <v>3</v>
      </c>
      <c r="J137" s="5">
        <f t="shared" si="23"/>
        <v>2.6666666666666665</v>
      </c>
      <c r="K137">
        <f>SUMIF(Planilha1!A:A, Plan1!D137, Planilha1!B:B)</f>
        <v>70.955558443333345</v>
      </c>
    </row>
    <row r="138" spans="1:11" x14ac:dyDescent="0.25">
      <c r="A138" s="3" t="s">
        <v>19</v>
      </c>
      <c r="B138" s="3">
        <v>2</v>
      </c>
      <c r="C138" s="3" t="s">
        <v>14</v>
      </c>
      <c r="D138" s="4">
        <v>45162</v>
      </c>
      <c r="E138" s="3">
        <v>3</v>
      </c>
      <c r="F138" s="5">
        <f t="shared" si="24"/>
        <v>40.06666666666667</v>
      </c>
      <c r="G138" s="3" t="s">
        <v>11</v>
      </c>
      <c r="H138" s="3">
        <v>6.2</v>
      </c>
      <c r="I138" s="3">
        <v>3</v>
      </c>
      <c r="J138" s="5">
        <f t="shared" si="23"/>
        <v>2.0666666666666669</v>
      </c>
      <c r="K138">
        <f>SUMIF(Planilha1!A:A, Plan1!D138, Planilha1!B:B)</f>
        <v>73.86414607333333</v>
      </c>
    </row>
    <row r="139" spans="1:11" x14ac:dyDescent="0.25">
      <c r="A139" s="3" t="s">
        <v>19</v>
      </c>
      <c r="B139" s="3">
        <v>2</v>
      </c>
      <c r="C139" s="3" t="s">
        <v>14</v>
      </c>
      <c r="D139" s="4">
        <v>45163</v>
      </c>
      <c r="E139" s="3">
        <v>3</v>
      </c>
      <c r="F139" s="5">
        <f t="shared" si="24"/>
        <v>40.06666666666667</v>
      </c>
      <c r="G139" s="3" t="s">
        <v>11</v>
      </c>
      <c r="H139" s="3">
        <v>4.8</v>
      </c>
      <c r="I139" s="3">
        <v>3</v>
      </c>
      <c r="J139" s="5">
        <f t="shared" si="23"/>
        <v>1.5999999999999999</v>
      </c>
      <c r="K139">
        <f>SUMIF(Planilha1!A:A, Plan1!D139, Planilha1!B:B)</f>
        <v>73.758573808333338</v>
      </c>
    </row>
    <row r="140" spans="1:11" x14ac:dyDescent="0.25">
      <c r="A140" s="3" t="s">
        <v>20</v>
      </c>
      <c r="B140" s="3">
        <v>5</v>
      </c>
      <c r="C140" s="3" t="s">
        <v>10</v>
      </c>
      <c r="D140" s="4">
        <v>45224</v>
      </c>
      <c r="E140" s="3">
        <v>3</v>
      </c>
      <c r="F140" s="5">
        <f t="shared" ref="F140:F145" si="25">(40.5+45.3+39.5)/3</f>
        <v>41.766666666666666</v>
      </c>
      <c r="G140" s="3" t="s">
        <v>12</v>
      </c>
      <c r="H140" s="3">
        <v>7.9</v>
      </c>
      <c r="I140" s="3">
        <v>3</v>
      </c>
      <c r="J140" s="5">
        <f t="shared" si="23"/>
        <v>2.6333333333333333</v>
      </c>
      <c r="K140">
        <f>SUMIF(Planilha1!A:A, Plan1!D140, Planilha1!B:B)</f>
        <v>76.358909188333328</v>
      </c>
    </row>
    <row r="141" spans="1:11" x14ac:dyDescent="0.25">
      <c r="A141" s="3" t="s">
        <v>20</v>
      </c>
      <c r="B141" s="3">
        <v>5</v>
      </c>
      <c r="C141" s="3" t="s">
        <v>10</v>
      </c>
      <c r="D141" s="4">
        <v>45225</v>
      </c>
      <c r="E141" s="3">
        <v>3</v>
      </c>
      <c r="F141" s="5">
        <f t="shared" si="25"/>
        <v>41.766666666666666</v>
      </c>
      <c r="G141" s="3" t="s">
        <v>12</v>
      </c>
      <c r="H141" s="3">
        <v>6.8</v>
      </c>
      <c r="I141" s="3">
        <v>3</v>
      </c>
      <c r="J141" s="5">
        <f t="shared" si="23"/>
        <v>2.2666666666666666</v>
      </c>
      <c r="K141">
        <f>SUMIF(Planilha1!A:A, Plan1!D141, Planilha1!B:B)</f>
        <v>75.466586561666659</v>
      </c>
    </row>
    <row r="142" spans="1:11" x14ac:dyDescent="0.25">
      <c r="A142" s="3" t="s">
        <v>20</v>
      </c>
      <c r="B142" s="3">
        <v>5</v>
      </c>
      <c r="C142" s="3" t="s">
        <v>10</v>
      </c>
      <c r="D142" s="4">
        <v>45226</v>
      </c>
      <c r="E142" s="3">
        <v>3</v>
      </c>
      <c r="F142" s="5">
        <f t="shared" si="25"/>
        <v>41.766666666666666</v>
      </c>
      <c r="G142" s="3" t="s">
        <v>12</v>
      </c>
      <c r="H142" s="3">
        <v>5.5</v>
      </c>
      <c r="I142" s="3">
        <v>3</v>
      </c>
      <c r="J142" s="5">
        <f t="shared" si="23"/>
        <v>1.8333333333333333</v>
      </c>
      <c r="K142">
        <f>SUMIF(Planilha1!A:A, Plan1!D142, Planilha1!B:B)</f>
        <v>74.220367953333337</v>
      </c>
    </row>
    <row r="143" spans="1:11" x14ac:dyDescent="0.25">
      <c r="A143" s="3" t="s">
        <v>20</v>
      </c>
      <c r="B143" s="3">
        <v>5</v>
      </c>
      <c r="C143" s="3" t="s">
        <v>10</v>
      </c>
      <c r="D143" s="4">
        <v>45225</v>
      </c>
      <c r="E143" s="3">
        <v>3</v>
      </c>
      <c r="F143" s="5">
        <f t="shared" si="25"/>
        <v>41.766666666666666</v>
      </c>
      <c r="G143" s="3" t="s">
        <v>11</v>
      </c>
      <c r="H143" s="3">
        <v>3.2</v>
      </c>
      <c r="I143" s="3">
        <v>3</v>
      </c>
      <c r="J143" s="5">
        <f t="shared" si="23"/>
        <v>1.0666666666666667</v>
      </c>
      <c r="K143">
        <f>SUMIF(Planilha1!A:A, Plan1!D143, Planilha1!B:B)</f>
        <v>75.466586561666659</v>
      </c>
    </row>
    <row r="144" spans="1:11" x14ac:dyDescent="0.25">
      <c r="A144" s="3" t="s">
        <v>20</v>
      </c>
      <c r="B144" s="3">
        <v>5</v>
      </c>
      <c r="C144" s="3" t="s">
        <v>10</v>
      </c>
      <c r="D144" s="4">
        <v>45226</v>
      </c>
      <c r="E144" s="3">
        <v>3</v>
      </c>
      <c r="F144" s="5">
        <f t="shared" si="25"/>
        <v>41.766666666666666</v>
      </c>
      <c r="G144" s="3" t="s">
        <v>11</v>
      </c>
      <c r="H144" s="3">
        <v>1.7</v>
      </c>
      <c r="I144" s="3">
        <v>3</v>
      </c>
      <c r="J144" s="5">
        <f t="shared" si="23"/>
        <v>0.56666666666666665</v>
      </c>
      <c r="K144">
        <f>SUMIF(Planilha1!A:A, Plan1!D144, Planilha1!B:B)</f>
        <v>74.220367953333337</v>
      </c>
    </row>
    <row r="145" spans="1:11" x14ac:dyDescent="0.25">
      <c r="A145" s="3" t="s">
        <v>20</v>
      </c>
      <c r="B145" s="3">
        <v>5</v>
      </c>
      <c r="C145" s="3" t="s">
        <v>10</v>
      </c>
      <c r="D145" s="4">
        <v>45227</v>
      </c>
      <c r="E145" s="3">
        <v>3</v>
      </c>
      <c r="F145" s="5">
        <f t="shared" si="25"/>
        <v>41.766666666666666</v>
      </c>
      <c r="G145" s="3" t="s">
        <v>11</v>
      </c>
      <c r="H145" s="3">
        <v>1.4</v>
      </c>
      <c r="I145" s="3">
        <v>3</v>
      </c>
      <c r="J145" s="5">
        <f t="shared" si="23"/>
        <v>0.46666666666666662</v>
      </c>
      <c r="K145">
        <f>SUMIF(Planilha1!A:A, Plan1!D145, Planilha1!B:B)</f>
        <v>74.879430410000012</v>
      </c>
    </row>
    <row r="146" spans="1:11" x14ac:dyDescent="0.25">
      <c r="A146" s="3" t="s">
        <v>9</v>
      </c>
      <c r="B146" s="3">
        <v>9</v>
      </c>
      <c r="C146" s="3" t="s">
        <v>10</v>
      </c>
      <c r="D146" s="4">
        <v>45176</v>
      </c>
      <c r="E146" s="3">
        <v>4</v>
      </c>
      <c r="F146" s="5">
        <f t="shared" ref="F146:F151" si="26">(49.5+44.5+49.5)/3</f>
        <v>47.833333333333336</v>
      </c>
      <c r="G146" s="3" t="s">
        <v>11</v>
      </c>
      <c r="H146" s="3">
        <v>3.2</v>
      </c>
      <c r="I146" s="3">
        <v>3</v>
      </c>
      <c r="J146" s="5">
        <f t="shared" si="23"/>
        <v>1.0666666666666667</v>
      </c>
      <c r="K146">
        <f>SUMIF(Planilha1!A:A, Plan1!D146, Planilha1!B:B)</f>
        <v>66.657536766666666</v>
      </c>
    </row>
    <row r="147" spans="1:11" x14ac:dyDescent="0.25">
      <c r="A147" s="3" t="s">
        <v>9</v>
      </c>
      <c r="B147" s="3">
        <v>9</v>
      </c>
      <c r="C147" s="3" t="s">
        <v>10</v>
      </c>
      <c r="D147" s="4">
        <v>45177</v>
      </c>
      <c r="E147" s="3">
        <v>4</v>
      </c>
      <c r="F147" s="5">
        <f t="shared" si="26"/>
        <v>47.833333333333336</v>
      </c>
      <c r="G147" s="3" t="s">
        <v>11</v>
      </c>
      <c r="H147" s="3">
        <v>2</v>
      </c>
      <c r="I147" s="3">
        <v>3</v>
      </c>
      <c r="J147" s="5">
        <f t="shared" si="23"/>
        <v>0.66666666666666663</v>
      </c>
      <c r="K147">
        <f>SUMIF(Planilha1!A:A, Plan1!D147, Planilha1!B:B)</f>
        <v>69.01980846333332</v>
      </c>
    </row>
    <row r="148" spans="1:11" x14ac:dyDescent="0.25">
      <c r="A148" s="3" t="s">
        <v>9</v>
      </c>
      <c r="B148" s="3">
        <v>9</v>
      </c>
      <c r="C148" s="3" t="s">
        <v>10</v>
      </c>
      <c r="D148" s="4">
        <v>45178</v>
      </c>
      <c r="E148" s="3">
        <v>4</v>
      </c>
      <c r="F148" s="5">
        <f t="shared" si="26"/>
        <v>47.833333333333336</v>
      </c>
      <c r="G148" s="3" t="s">
        <v>11</v>
      </c>
      <c r="H148" s="3">
        <v>0.8</v>
      </c>
      <c r="I148" s="3">
        <v>3</v>
      </c>
      <c r="J148" s="5">
        <f t="shared" si="23"/>
        <v>0.26666666666666666</v>
      </c>
      <c r="K148">
        <f>SUMIF(Planilha1!A:A, Plan1!D148, Planilha1!B:B)</f>
        <v>69.240977786666676</v>
      </c>
    </row>
    <row r="149" spans="1:11" x14ac:dyDescent="0.25">
      <c r="A149" s="3" t="s">
        <v>9</v>
      </c>
      <c r="B149" s="3">
        <v>9</v>
      </c>
      <c r="C149" s="3" t="s">
        <v>10</v>
      </c>
      <c r="D149" s="4">
        <v>45176</v>
      </c>
      <c r="E149" s="3">
        <v>4</v>
      </c>
      <c r="F149" s="5">
        <f t="shared" si="26"/>
        <v>47.833333333333336</v>
      </c>
      <c r="G149" s="3" t="s">
        <v>12</v>
      </c>
      <c r="H149" s="3">
        <v>2.5</v>
      </c>
      <c r="I149" s="3">
        <v>3</v>
      </c>
      <c r="J149" s="5">
        <f t="shared" si="23"/>
        <v>0.83333333333333337</v>
      </c>
      <c r="K149">
        <f>SUMIF(Planilha1!A:A, Plan1!D149, Planilha1!B:B)</f>
        <v>66.657536766666666</v>
      </c>
    </row>
    <row r="150" spans="1:11" x14ac:dyDescent="0.25">
      <c r="A150" s="3" t="s">
        <v>9</v>
      </c>
      <c r="B150" s="3">
        <v>9</v>
      </c>
      <c r="C150" s="3" t="s">
        <v>10</v>
      </c>
      <c r="D150" s="4">
        <v>45177</v>
      </c>
      <c r="E150" s="3">
        <v>4</v>
      </c>
      <c r="F150" s="5">
        <f t="shared" si="26"/>
        <v>47.833333333333336</v>
      </c>
      <c r="G150" s="3" t="s">
        <v>12</v>
      </c>
      <c r="H150" s="3">
        <v>2.1</v>
      </c>
      <c r="I150" s="3">
        <v>3</v>
      </c>
      <c r="J150" s="5">
        <f t="shared" si="23"/>
        <v>0.70000000000000007</v>
      </c>
      <c r="K150">
        <f>SUMIF(Planilha1!A:A, Plan1!D150, Planilha1!B:B)</f>
        <v>69.01980846333332</v>
      </c>
    </row>
    <row r="151" spans="1:11" x14ac:dyDescent="0.25">
      <c r="A151" s="3" t="s">
        <v>9</v>
      </c>
      <c r="B151" s="3">
        <v>9</v>
      </c>
      <c r="C151" s="3" t="s">
        <v>10</v>
      </c>
      <c r="D151" s="4">
        <v>45178</v>
      </c>
      <c r="E151" s="3">
        <v>4</v>
      </c>
      <c r="F151" s="5">
        <f t="shared" si="26"/>
        <v>47.833333333333336</v>
      </c>
      <c r="G151" s="3" t="s">
        <v>12</v>
      </c>
      <c r="H151" s="3">
        <v>1.7</v>
      </c>
      <c r="I151" s="3">
        <v>3</v>
      </c>
      <c r="J151" s="5">
        <f t="shared" si="23"/>
        <v>0.56666666666666665</v>
      </c>
      <c r="K151">
        <f>SUMIF(Planilha1!A:A, Plan1!D151, Planilha1!B:B)</f>
        <v>69.240977786666676</v>
      </c>
    </row>
    <row r="152" spans="1:11" x14ac:dyDescent="0.25">
      <c r="A152" s="3" t="s">
        <v>13</v>
      </c>
      <c r="B152" s="3">
        <v>10</v>
      </c>
      <c r="C152" s="3" t="s">
        <v>14</v>
      </c>
      <c r="D152" s="4">
        <v>45198</v>
      </c>
      <c r="E152" s="3">
        <v>4</v>
      </c>
      <c r="F152" s="5">
        <f t="shared" ref="F152:F157" si="27">(47.5+42.5+41)/3</f>
        <v>43.666666666666664</v>
      </c>
      <c r="G152" s="3" t="s">
        <v>12</v>
      </c>
      <c r="H152" s="3">
        <v>10.5</v>
      </c>
      <c r="I152" s="3">
        <v>3</v>
      </c>
      <c r="J152" s="5">
        <f t="shared" si="23"/>
        <v>3.5</v>
      </c>
      <c r="K152">
        <f>SUMIF(Planilha1!A:A, Plan1!D152, Planilha1!B:B)</f>
        <v>67.82726283833334</v>
      </c>
    </row>
    <row r="153" spans="1:11" x14ac:dyDescent="0.25">
      <c r="A153" s="3" t="s">
        <v>13</v>
      </c>
      <c r="B153" s="3">
        <v>10</v>
      </c>
      <c r="C153" s="3" t="s">
        <v>14</v>
      </c>
      <c r="D153" s="4">
        <v>45196</v>
      </c>
      <c r="E153" s="3">
        <v>4</v>
      </c>
      <c r="F153" s="5">
        <f t="shared" si="27"/>
        <v>43.666666666666664</v>
      </c>
      <c r="G153" s="3" t="s">
        <v>12</v>
      </c>
      <c r="H153" s="3">
        <v>8.5</v>
      </c>
      <c r="I153" s="3">
        <v>3</v>
      </c>
      <c r="J153" s="5">
        <f t="shared" si="23"/>
        <v>2.8333333333333335</v>
      </c>
      <c r="K153">
        <f>SUMIF(Planilha1!A:A, Plan1!D153, Planilha1!B:B)</f>
        <v>80.442775738333339</v>
      </c>
    </row>
    <row r="154" spans="1:11" x14ac:dyDescent="0.25">
      <c r="A154" s="3" t="s">
        <v>13</v>
      </c>
      <c r="B154" s="3">
        <v>10</v>
      </c>
      <c r="C154" s="3" t="s">
        <v>14</v>
      </c>
      <c r="D154" s="4">
        <v>45200</v>
      </c>
      <c r="E154" s="3">
        <v>4</v>
      </c>
      <c r="F154" s="5">
        <f t="shared" si="27"/>
        <v>43.666666666666664</v>
      </c>
      <c r="G154" s="3" t="s">
        <v>12</v>
      </c>
      <c r="H154" s="3">
        <v>7.7</v>
      </c>
      <c r="I154" s="3">
        <v>3</v>
      </c>
      <c r="J154" s="5">
        <f t="shared" si="23"/>
        <v>2.5666666666666669</v>
      </c>
      <c r="K154">
        <f>SUMIF(Planilha1!A:A, Plan1!D154, Planilha1!B:B)</f>
        <v>74.560323253333351</v>
      </c>
    </row>
    <row r="155" spans="1:11" x14ac:dyDescent="0.25">
      <c r="A155" s="3" t="s">
        <v>13</v>
      </c>
      <c r="B155" s="3">
        <v>10</v>
      </c>
      <c r="C155" s="3" t="s">
        <v>14</v>
      </c>
      <c r="D155" s="4">
        <v>45196</v>
      </c>
      <c r="E155" s="3">
        <v>4</v>
      </c>
      <c r="F155" s="5">
        <f t="shared" si="27"/>
        <v>43.666666666666664</v>
      </c>
      <c r="G155" s="3" t="s">
        <v>11</v>
      </c>
      <c r="H155" s="3">
        <v>4.0999999999999996</v>
      </c>
      <c r="I155" s="3">
        <v>3</v>
      </c>
      <c r="J155" s="5">
        <f t="shared" si="23"/>
        <v>1.3666666666666665</v>
      </c>
      <c r="K155">
        <f>SUMIF(Planilha1!A:A, Plan1!D155, Planilha1!B:B)</f>
        <v>80.442775738333339</v>
      </c>
    </row>
    <row r="156" spans="1:11" x14ac:dyDescent="0.25">
      <c r="A156" s="3" t="s">
        <v>13</v>
      </c>
      <c r="B156" s="3">
        <v>10</v>
      </c>
      <c r="C156" s="3" t="s">
        <v>14</v>
      </c>
      <c r="D156" s="4">
        <v>45198</v>
      </c>
      <c r="E156" s="3">
        <v>4</v>
      </c>
      <c r="F156" s="5">
        <f t="shared" si="27"/>
        <v>43.666666666666664</v>
      </c>
      <c r="G156" s="3" t="s">
        <v>11</v>
      </c>
      <c r="H156" s="3">
        <v>3.1</v>
      </c>
      <c r="I156" s="3">
        <v>3</v>
      </c>
      <c r="J156" s="5">
        <f t="shared" si="23"/>
        <v>1.0333333333333334</v>
      </c>
      <c r="K156">
        <f>SUMIF(Planilha1!A:A, Plan1!D156, Planilha1!B:B)</f>
        <v>67.82726283833334</v>
      </c>
    </row>
    <row r="157" spans="1:11" x14ac:dyDescent="0.25">
      <c r="A157" s="3" t="s">
        <v>13</v>
      </c>
      <c r="B157" s="3">
        <v>10</v>
      </c>
      <c r="C157" s="3" t="s">
        <v>14</v>
      </c>
      <c r="D157" s="4">
        <v>45199</v>
      </c>
      <c r="E157" s="3">
        <v>4</v>
      </c>
      <c r="F157" s="5">
        <f t="shared" si="27"/>
        <v>43.666666666666664</v>
      </c>
      <c r="G157" s="3" t="s">
        <v>11</v>
      </c>
      <c r="H157" s="3">
        <v>3.4</v>
      </c>
      <c r="I157" s="3">
        <v>3</v>
      </c>
      <c r="J157" s="5">
        <f t="shared" si="23"/>
        <v>1.1333333333333333</v>
      </c>
      <c r="K157">
        <f>SUMIF(Planilha1!A:A, Plan1!D157, Planilha1!B:B)</f>
        <v>74.104036316666679</v>
      </c>
    </row>
    <row r="158" spans="1:11" x14ac:dyDescent="0.25">
      <c r="A158" s="3" t="s">
        <v>15</v>
      </c>
      <c r="B158" s="3">
        <v>6</v>
      </c>
      <c r="C158" s="3" t="s">
        <v>14</v>
      </c>
      <c r="D158" s="4">
        <v>45191</v>
      </c>
      <c r="E158" s="3">
        <v>4</v>
      </c>
      <c r="F158" s="5">
        <f t="shared" ref="F158:F163" si="28">(33.2+49.8+48.5)/3</f>
        <v>43.833333333333336</v>
      </c>
      <c r="G158" s="3" t="s">
        <v>12</v>
      </c>
      <c r="H158" s="3">
        <v>3.9</v>
      </c>
      <c r="I158" s="3">
        <v>3</v>
      </c>
      <c r="J158" s="5">
        <f t="shared" si="23"/>
        <v>1.3</v>
      </c>
      <c r="K158">
        <f>SUMIF(Planilha1!A:A, Plan1!D158, Planilha1!B:B)</f>
        <v>77.11923492166666</v>
      </c>
    </row>
    <row r="159" spans="1:11" x14ac:dyDescent="0.25">
      <c r="A159" s="3" t="s">
        <v>15</v>
      </c>
      <c r="B159" s="3">
        <v>6</v>
      </c>
      <c r="C159" s="3" t="s">
        <v>14</v>
      </c>
      <c r="D159" s="4">
        <v>45192</v>
      </c>
      <c r="E159" s="3">
        <v>4</v>
      </c>
      <c r="F159" s="5">
        <f t="shared" si="28"/>
        <v>43.833333333333336</v>
      </c>
      <c r="G159" s="3" t="s">
        <v>11</v>
      </c>
      <c r="H159" s="3">
        <v>4.0999999999999996</v>
      </c>
      <c r="I159" s="3">
        <v>3</v>
      </c>
      <c r="J159" s="5">
        <f t="shared" si="23"/>
        <v>1.3666666666666665</v>
      </c>
      <c r="K159">
        <f>SUMIF(Planilha1!A:A, Plan1!D159, Planilha1!B:B)</f>
        <v>77.425910911666676</v>
      </c>
    </row>
    <row r="160" spans="1:11" x14ac:dyDescent="0.25">
      <c r="A160" s="3" t="s">
        <v>15</v>
      </c>
      <c r="B160" s="3">
        <v>6</v>
      </c>
      <c r="C160" s="3" t="s">
        <v>14</v>
      </c>
      <c r="D160" s="4">
        <v>45192</v>
      </c>
      <c r="E160" s="3">
        <v>4</v>
      </c>
      <c r="F160" s="5">
        <f t="shared" si="28"/>
        <v>43.833333333333336</v>
      </c>
      <c r="G160" s="3" t="s">
        <v>12</v>
      </c>
      <c r="H160" s="3">
        <v>5.5</v>
      </c>
      <c r="I160" s="3">
        <v>3</v>
      </c>
      <c r="J160" s="5">
        <f t="shared" si="23"/>
        <v>1.8333333333333333</v>
      </c>
      <c r="K160">
        <f>SUMIF(Planilha1!A:A, Plan1!D160, Planilha1!B:B)</f>
        <v>77.425910911666676</v>
      </c>
    </row>
    <row r="161" spans="1:11" x14ac:dyDescent="0.25">
      <c r="A161" s="3" t="s">
        <v>15</v>
      </c>
      <c r="B161" s="3">
        <v>6</v>
      </c>
      <c r="C161" s="3" t="s">
        <v>14</v>
      </c>
      <c r="D161" s="4">
        <v>45193</v>
      </c>
      <c r="E161" s="3">
        <v>4</v>
      </c>
      <c r="F161" s="5">
        <f t="shared" si="28"/>
        <v>43.833333333333336</v>
      </c>
      <c r="G161" s="3" t="s">
        <v>11</v>
      </c>
      <c r="H161" s="3">
        <v>4.4000000000000004</v>
      </c>
      <c r="I161" s="3">
        <v>3</v>
      </c>
      <c r="J161" s="5">
        <f t="shared" si="23"/>
        <v>1.4666666666666668</v>
      </c>
      <c r="K161">
        <f>SUMIF(Planilha1!A:A, Plan1!D161, Planilha1!B:B)</f>
        <v>78.325212963333342</v>
      </c>
    </row>
    <row r="162" spans="1:11" x14ac:dyDescent="0.25">
      <c r="A162" s="3" t="s">
        <v>15</v>
      </c>
      <c r="B162" s="3">
        <v>6</v>
      </c>
      <c r="C162" s="3" t="s">
        <v>14</v>
      </c>
      <c r="D162" s="4">
        <v>45190</v>
      </c>
      <c r="E162" s="3">
        <v>4</v>
      </c>
      <c r="F162" s="5">
        <f t="shared" si="28"/>
        <v>43.833333333333336</v>
      </c>
      <c r="G162" s="3" t="s">
        <v>12</v>
      </c>
      <c r="H162" s="3">
        <v>3.1</v>
      </c>
      <c r="I162" s="3">
        <v>3</v>
      </c>
      <c r="J162" s="5">
        <f t="shared" si="23"/>
        <v>1.0333333333333334</v>
      </c>
      <c r="K162">
        <f>SUMIF(Planilha1!A:A, Plan1!D162, Planilha1!B:B)</f>
        <v>74.906525950000002</v>
      </c>
    </row>
    <row r="163" spans="1:11" x14ac:dyDescent="0.25">
      <c r="A163" s="3" t="s">
        <v>15</v>
      </c>
      <c r="B163" s="3">
        <v>6</v>
      </c>
      <c r="C163" s="3" t="s">
        <v>14</v>
      </c>
      <c r="D163" s="4">
        <v>45189</v>
      </c>
      <c r="E163" s="3">
        <v>4</v>
      </c>
      <c r="F163" s="5">
        <f t="shared" si="28"/>
        <v>43.833333333333336</v>
      </c>
      <c r="G163" s="3" t="s">
        <v>11</v>
      </c>
      <c r="H163" s="3">
        <v>6.1</v>
      </c>
      <c r="I163" s="3">
        <v>3</v>
      </c>
      <c r="J163" s="5">
        <f t="shared" si="23"/>
        <v>2.0333333333333332</v>
      </c>
      <c r="K163">
        <f>SUMIF(Planilha1!A:A, Plan1!D163, Planilha1!B:B)</f>
        <v>74.161847475000002</v>
      </c>
    </row>
    <row r="164" spans="1:11" x14ac:dyDescent="0.25">
      <c r="A164" s="3" t="s">
        <v>16</v>
      </c>
      <c r="B164">
        <v>8</v>
      </c>
      <c r="C164" s="3" t="s">
        <v>10</v>
      </c>
      <c r="D164" s="4">
        <v>45268</v>
      </c>
      <c r="E164" s="3">
        <v>4</v>
      </c>
      <c r="F164" s="5">
        <f t="shared" ref="F164:F169" si="29">(45+49.5)/2</f>
        <v>47.25</v>
      </c>
      <c r="G164" s="3" t="s">
        <v>11</v>
      </c>
      <c r="H164" s="3">
        <v>1.4</v>
      </c>
      <c r="I164" s="3">
        <v>2</v>
      </c>
      <c r="J164" s="5">
        <f t="shared" si="23"/>
        <v>0.7</v>
      </c>
      <c r="K164">
        <f>SUMIF(Planilha1!A:A, Plan1!D164, Planilha1!B:B)</f>
        <v>78.229343549999996</v>
      </c>
    </row>
    <row r="165" spans="1:11" x14ac:dyDescent="0.25">
      <c r="A165" s="3" t="s">
        <v>16</v>
      </c>
      <c r="B165">
        <v>8</v>
      </c>
      <c r="C165" s="3" t="s">
        <v>10</v>
      </c>
      <c r="D165" s="4">
        <v>45269</v>
      </c>
      <c r="E165" s="3">
        <v>4</v>
      </c>
      <c r="F165" s="5">
        <f t="shared" si="29"/>
        <v>47.25</v>
      </c>
      <c r="G165" s="3" t="s">
        <v>12</v>
      </c>
      <c r="H165" s="3">
        <v>1</v>
      </c>
      <c r="I165" s="3">
        <v>2</v>
      </c>
      <c r="J165" s="5">
        <f t="shared" si="23"/>
        <v>0.5</v>
      </c>
      <c r="K165">
        <f>SUMIF(Planilha1!A:A, Plan1!D165, Planilha1!B:B)</f>
        <v>74.47286622</v>
      </c>
    </row>
    <row r="166" spans="1:11" x14ac:dyDescent="0.25">
      <c r="A166" s="3" t="s">
        <v>16</v>
      </c>
      <c r="B166">
        <v>8</v>
      </c>
      <c r="C166" s="3" t="s">
        <v>10</v>
      </c>
      <c r="D166" s="4">
        <v>45269</v>
      </c>
      <c r="E166" s="3">
        <v>4</v>
      </c>
      <c r="F166" s="5">
        <f t="shared" si="29"/>
        <v>47.25</v>
      </c>
      <c r="G166" s="3" t="s">
        <v>11</v>
      </c>
      <c r="H166" s="3">
        <v>1.5</v>
      </c>
      <c r="I166" s="3">
        <v>2</v>
      </c>
      <c r="J166" s="5">
        <f t="shared" si="23"/>
        <v>0.75</v>
      </c>
      <c r="K166">
        <f>SUMIF(Planilha1!A:A, Plan1!D166, Planilha1!B:B)</f>
        <v>74.47286622</v>
      </c>
    </row>
    <row r="167" spans="1:11" x14ac:dyDescent="0.25">
      <c r="A167" s="3" t="s">
        <v>16</v>
      </c>
      <c r="B167">
        <v>8</v>
      </c>
      <c r="C167" s="3" t="s">
        <v>10</v>
      </c>
      <c r="D167" s="4">
        <v>45270</v>
      </c>
      <c r="E167" s="3">
        <v>4</v>
      </c>
      <c r="F167" s="5">
        <f t="shared" si="29"/>
        <v>47.25</v>
      </c>
      <c r="G167" s="3" t="s">
        <v>12</v>
      </c>
      <c r="H167" s="3">
        <v>1.3</v>
      </c>
      <c r="I167" s="3">
        <v>2</v>
      </c>
      <c r="J167" s="5">
        <f t="shared" si="23"/>
        <v>0.65</v>
      </c>
      <c r="K167">
        <f>SUMIF(Planilha1!A:A, Plan1!D167, Planilha1!B:B)</f>
        <v>74.367766188333334</v>
      </c>
    </row>
    <row r="168" spans="1:11" x14ac:dyDescent="0.25">
      <c r="A168" s="3" t="s">
        <v>16</v>
      </c>
      <c r="B168">
        <v>8</v>
      </c>
      <c r="C168" s="3" t="s">
        <v>10</v>
      </c>
      <c r="D168" s="4">
        <v>45270</v>
      </c>
      <c r="E168" s="3">
        <v>4</v>
      </c>
      <c r="F168" s="5">
        <f t="shared" si="29"/>
        <v>47.25</v>
      </c>
      <c r="G168" s="3" t="s">
        <v>11</v>
      </c>
      <c r="H168" s="3">
        <v>2.2000000000000002</v>
      </c>
      <c r="I168" s="3">
        <v>2</v>
      </c>
      <c r="J168" s="5">
        <f t="shared" si="23"/>
        <v>1.1000000000000001</v>
      </c>
      <c r="K168">
        <f>SUMIF(Planilha1!A:A, Plan1!D168, Planilha1!B:B)</f>
        <v>74.367766188333334</v>
      </c>
    </row>
    <row r="169" spans="1:11" x14ac:dyDescent="0.25">
      <c r="A169" s="3" t="s">
        <v>16</v>
      </c>
      <c r="B169">
        <v>8</v>
      </c>
      <c r="C169" s="3" t="s">
        <v>10</v>
      </c>
      <c r="D169" s="4">
        <v>45267</v>
      </c>
      <c r="E169" s="3">
        <v>4</v>
      </c>
      <c r="F169" s="5">
        <f t="shared" si="29"/>
        <v>47.25</v>
      </c>
      <c r="G169" s="3" t="s">
        <v>12</v>
      </c>
      <c r="H169" s="3">
        <v>0.9</v>
      </c>
      <c r="I169" s="3">
        <v>2</v>
      </c>
      <c r="J169" s="5">
        <f t="shared" si="23"/>
        <v>0.45</v>
      </c>
      <c r="K169">
        <f>SUMIF(Planilha1!A:A, Plan1!D169, Planilha1!B:B)</f>
        <v>78.781078858333345</v>
      </c>
    </row>
    <row r="170" spans="1:11" x14ac:dyDescent="0.25">
      <c r="A170" s="3" t="s">
        <v>17</v>
      </c>
      <c r="B170">
        <v>2</v>
      </c>
      <c r="C170" s="3" t="s">
        <v>14</v>
      </c>
      <c r="D170" s="4">
        <v>45268</v>
      </c>
      <c r="E170" s="3">
        <v>4</v>
      </c>
      <c r="F170" s="5">
        <f t="shared" ref="F170:F175" si="30">(34.5+35.5+30)/3</f>
        <v>33.333333333333336</v>
      </c>
      <c r="G170" s="3" t="s">
        <v>12</v>
      </c>
      <c r="H170" s="3">
        <v>2.7</v>
      </c>
      <c r="I170" s="3">
        <v>3</v>
      </c>
      <c r="J170" s="5">
        <f t="shared" si="23"/>
        <v>0.9</v>
      </c>
      <c r="K170">
        <f>SUMIF(Planilha1!A:A, Plan1!D170, Planilha1!B:B)</f>
        <v>78.229343549999996</v>
      </c>
    </row>
    <row r="171" spans="1:11" x14ac:dyDescent="0.25">
      <c r="A171" s="3" t="s">
        <v>17</v>
      </c>
      <c r="B171">
        <v>2</v>
      </c>
      <c r="C171" s="3" t="s">
        <v>14</v>
      </c>
      <c r="D171" s="4">
        <v>45269</v>
      </c>
      <c r="E171" s="3">
        <v>4</v>
      </c>
      <c r="F171" s="5">
        <f t="shared" si="30"/>
        <v>33.333333333333336</v>
      </c>
      <c r="G171" s="3" t="s">
        <v>12</v>
      </c>
      <c r="H171" s="3">
        <v>2.9</v>
      </c>
      <c r="I171" s="3">
        <v>3</v>
      </c>
      <c r="J171" s="5">
        <f t="shared" si="23"/>
        <v>0.96666666666666667</v>
      </c>
      <c r="K171">
        <f>SUMIF(Planilha1!A:A, Plan1!D171, Planilha1!B:B)</f>
        <v>74.47286622</v>
      </c>
    </row>
    <row r="172" spans="1:11" x14ac:dyDescent="0.25">
      <c r="A172" s="3" t="s">
        <v>17</v>
      </c>
      <c r="B172">
        <v>2</v>
      </c>
      <c r="C172" s="3" t="s">
        <v>14</v>
      </c>
      <c r="D172" s="4">
        <v>45270</v>
      </c>
      <c r="E172" s="3">
        <v>4</v>
      </c>
      <c r="F172" s="5">
        <f t="shared" si="30"/>
        <v>33.333333333333336</v>
      </c>
      <c r="G172" s="3" t="s">
        <v>12</v>
      </c>
      <c r="H172" s="3">
        <v>2.7</v>
      </c>
      <c r="I172" s="3">
        <v>3</v>
      </c>
      <c r="J172" s="5">
        <f t="shared" si="23"/>
        <v>0.9</v>
      </c>
      <c r="K172">
        <f>SUMIF(Planilha1!A:A, Plan1!D172, Planilha1!B:B)</f>
        <v>74.367766188333334</v>
      </c>
    </row>
    <row r="173" spans="1:11" x14ac:dyDescent="0.25">
      <c r="A173" s="3" t="s">
        <v>17</v>
      </c>
      <c r="B173">
        <v>2</v>
      </c>
      <c r="C173" s="3" t="s">
        <v>14</v>
      </c>
      <c r="D173" s="4">
        <v>45270</v>
      </c>
      <c r="E173" s="3">
        <v>4</v>
      </c>
      <c r="F173" s="5">
        <f t="shared" si="30"/>
        <v>33.333333333333336</v>
      </c>
      <c r="G173" s="3" t="s">
        <v>11</v>
      </c>
      <c r="H173" s="3">
        <v>5.6</v>
      </c>
      <c r="I173" s="3">
        <v>3</v>
      </c>
      <c r="J173" s="5">
        <f t="shared" si="23"/>
        <v>1.8666666666666665</v>
      </c>
      <c r="K173">
        <f>SUMIF(Planilha1!A:A, Plan1!D173, Planilha1!B:B)</f>
        <v>74.367766188333334</v>
      </c>
    </row>
    <row r="174" spans="1:11" x14ac:dyDescent="0.25">
      <c r="A174" s="3" t="s">
        <v>17</v>
      </c>
      <c r="B174">
        <v>2</v>
      </c>
      <c r="C174" s="3" t="s">
        <v>14</v>
      </c>
      <c r="D174" s="4">
        <v>45267</v>
      </c>
      <c r="E174" s="3">
        <v>4</v>
      </c>
      <c r="F174" s="5">
        <f t="shared" si="30"/>
        <v>33.333333333333336</v>
      </c>
      <c r="G174" s="3" t="s">
        <v>11</v>
      </c>
      <c r="H174" s="3">
        <v>4.5</v>
      </c>
      <c r="I174" s="3">
        <v>3</v>
      </c>
      <c r="J174" s="5">
        <f t="shared" si="23"/>
        <v>1.5</v>
      </c>
      <c r="K174">
        <f>SUMIF(Planilha1!A:A, Plan1!D174, Planilha1!B:B)</f>
        <v>78.781078858333345</v>
      </c>
    </row>
    <row r="175" spans="1:11" x14ac:dyDescent="0.25">
      <c r="A175" s="3" t="s">
        <v>17</v>
      </c>
      <c r="B175">
        <v>2</v>
      </c>
      <c r="C175" s="3" t="s">
        <v>14</v>
      </c>
      <c r="D175" s="4">
        <v>45269</v>
      </c>
      <c r="E175" s="3">
        <v>4</v>
      </c>
      <c r="F175" s="5">
        <f t="shared" si="30"/>
        <v>33.333333333333336</v>
      </c>
      <c r="G175" s="3" t="s">
        <v>11</v>
      </c>
      <c r="H175" s="3">
        <v>3.2</v>
      </c>
      <c r="I175" s="3">
        <v>3</v>
      </c>
      <c r="J175" s="5">
        <f t="shared" si="23"/>
        <v>1.0666666666666667</v>
      </c>
      <c r="K175">
        <f>SUMIF(Planilha1!A:A, Plan1!D175, Planilha1!B:B)</f>
        <v>74.47286622</v>
      </c>
    </row>
    <row r="176" spans="1:11" x14ac:dyDescent="0.25">
      <c r="A176" s="3" t="s">
        <v>18</v>
      </c>
      <c r="B176" s="3">
        <v>1</v>
      </c>
      <c r="C176" s="3" t="s">
        <v>10</v>
      </c>
      <c r="D176" s="4">
        <v>45197</v>
      </c>
      <c r="E176" s="3">
        <v>4</v>
      </c>
      <c r="F176" s="5">
        <f t="shared" ref="F176:F181" si="31">(33.5+35+31.5)/3</f>
        <v>33.333333333333336</v>
      </c>
      <c r="G176" s="3" t="s">
        <v>11</v>
      </c>
      <c r="H176" s="3">
        <v>3.9</v>
      </c>
      <c r="I176" s="3">
        <v>3</v>
      </c>
      <c r="J176" s="5">
        <f t="shared" si="23"/>
        <v>1.3</v>
      </c>
      <c r="K176">
        <f>SUMIF(Planilha1!A:A, Plan1!D176, Planilha1!B:B)</f>
        <v>67.555743408333342</v>
      </c>
    </row>
    <row r="177" spans="1:11" x14ac:dyDescent="0.25">
      <c r="A177" s="3" t="s">
        <v>18</v>
      </c>
      <c r="B177" s="3">
        <v>1</v>
      </c>
      <c r="C177" s="3" t="s">
        <v>10</v>
      </c>
      <c r="D177" s="4">
        <v>45198</v>
      </c>
      <c r="E177" s="3">
        <v>4</v>
      </c>
      <c r="F177" s="5">
        <f t="shared" si="31"/>
        <v>33.333333333333336</v>
      </c>
      <c r="G177" s="3" t="s">
        <v>11</v>
      </c>
      <c r="H177" s="3">
        <v>3.4</v>
      </c>
      <c r="I177" s="3">
        <v>3</v>
      </c>
      <c r="J177" s="5">
        <f t="shared" si="23"/>
        <v>1.1333333333333333</v>
      </c>
      <c r="K177">
        <f>SUMIF(Planilha1!A:A, Plan1!D177, Planilha1!B:B)</f>
        <v>67.82726283833334</v>
      </c>
    </row>
    <row r="178" spans="1:11" x14ac:dyDescent="0.25">
      <c r="A178" s="3" t="s">
        <v>18</v>
      </c>
      <c r="B178" s="3">
        <v>1</v>
      </c>
      <c r="C178" s="3" t="s">
        <v>10</v>
      </c>
      <c r="D178" s="4">
        <v>45199</v>
      </c>
      <c r="E178" s="3">
        <v>4</v>
      </c>
      <c r="F178" s="5">
        <f t="shared" si="31"/>
        <v>33.333333333333336</v>
      </c>
      <c r="G178" s="3" t="s">
        <v>11</v>
      </c>
      <c r="H178" s="3">
        <v>4.0999999999999996</v>
      </c>
      <c r="I178" s="3">
        <v>3</v>
      </c>
      <c r="J178" s="5">
        <f t="shared" si="23"/>
        <v>1.3666666666666665</v>
      </c>
      <c r="K178">
        <f>SUMIF(Planilha1!A:A, Plan1!D178, Planilha1!B:B)</f>
        <v>74.104036316666679</v>
      </c>
    </row>
    <row r="179" spans="1:11" x14ac:dyDescent="0.25">
      <c r="A179" s="3" t="s">
        <v>18</v>
      </c>
      <c r="B179" s="3">
        <v>1</v>
      </c>
      <c r="C179" s="3" t="s">
        <v>10</v>
      </c>
      <c r="D179" s="4">
        <v>45200</v>
      </c>
      <c r="E179" s="3">
        <v>4</v>
      </c>
      <c r="F179" s="5">
        <f t="shared" si="31"/>
        <v>33.333333333333336</v>
      </c>
      <c r="G179" s="3" t="s">
        <v>12</v>
      </c>
      <c r="H179" s="3">
        <v>3.5</v>
      </c>
      <c r="I179" s="3">
        <v>3</v>
      </c>
      <c r="J179" s="5">
        <f t="shared" si="23"/>
        <v>1.1666666666666667</v>
      </c>
      <c r="K179">
        <f>SUMIF(Planilha1!A:A, Plan1!D179, Planilha1!B:B)</f>
        <v>74.560323253333351</v>
      </c>
    </row>
    <row r="180" spans="1:11" x14ac:dyDescent="0.25">
      <c r="A180" s="3" t="s">
        <v>18</v>
      </c>
      <c r="B180" s="3">
        <v>1</v>
      </c>
      <c r="C180" s="3" t="s">
        <v>10</v>
      </c>
      <c r="D180" s="4">
        <v>45195</v>
      </c>
      <c r="E180" s="3">
        <v>4</v>
      </c>
      <c r="F180" s="5">
        <f t="shared" si="31"/>
        <v>33.333333333333336</v>
      </c>
      <c r="G180" s="3" t="s">
        <v>12</v>
      </c>
      <c r="H180" s="3">
        <v>1.9</v>
      </c>
      <c r="I180" s="3">
        <v>3</v>
      </c>
      <c r="J180" s="5">
        <f t="shared" si="23"/>
        <v>0.6333333333333333</v>
      </c>
      <c r="K180">
        <f>SUMIF(Planilha1!A:A, Plan1!D180, Planilha1!B:B)</f>
        <v>79.226508705000001</v>
      </c>
    </row>
    <row r="181" spans="1:11" x14ac:dyDescent="0.25">
      <c r="A181" s="3" t="s">
        <v>18</v>
      </c>
      <c r="B181" s="3">
        <v>1</v>
      </c>
      <c r="C181" s="3" t="s">
        <v>10</v>
      </c>
      <c r="D181" s="4">
        <v>45196</v>
      </c>
      <c r="E181" s="3">
        <v>4</v>
      </c>
      <c r="F181" s="5">
        <f t="shared" si="31"/>
        <v>33.333333333333336</v>
      </c>
      <c r="G181" s="3" t="s">
        <v>12</v>
      </c>
      <c r="H181" s="3">
        <v>2.5</v>
      </c>
      <c r="I181" s="3">
        <v>3</v>
      </c>
      <c r="J181" s="5">
        <f t="shared" si="23"/>
        <v>0.83333333333333337</v>
      </c>
      <c r="K181">
        <f>SUMIF(Planilha1!A:A, Plan1!D181, Planilha1!B:B)</f>
        <v>80.442775738333339</v>
      </c>
    </row>
    <row r="182" spans="1:11" x14ac:dyDescent="0.25">
      <c r="A182" s="3" t="s">
        <v>19</v>
      </c>
      <c r="B182" s="3">
        <v>10</v>
      </c>
      <c r="C182" s="3" t="s">
        <v>14</v>
      </c>
      <c r="D182" s="4">
        <v>45167</v>
      </c>
      <c r="E182" s="3">
        <v>4</v>
      </c>
      <c r="F182" s="5">
        <f t="shared" ref="F182:F187" si="32">(49.5+44.5+32)/3</f>
        <v>42</v>
      </c>
      <c r="G182" s="3" t="s">
        <v>11</v>
      </c>
      <c r="H182" s="3">
        <v>4.3</v>
      </c>
      <c r="I182" s="3">
        <v>3</v>
      </c>
      <c r="J182" s="5">
        <f t="shared" si="23"/>
        <v>1.4333333333333333</v>
      </c>
      <c r="K182">
        <f>SUMIF(Planilha1!A:A, Plan1!D182, Planilha1!B:B)</f>
        <v>57.977048261666688</v>
      </c>
    </row>
    <row r="183" spans="1:11" x14ac:dyDescent="0.25">
      <c r="A183" s="3" t="s">
        <v>19</v>
      </c>
      <c r="B183" s="3">
        <v>10</v>
      </c>
      <c r="C183" s="3" t="s">
        <v>14</v>
      </c>
      <c r="D183" s="4">
        <v>45168</v>
      </c>
      <c r="E183" s="3">
        <v>4</v>
      </c>
      <c r="F183" s="5">
        <f t="shared" si="32"/>
        <v>42</v>
      </c>
      <c r="G183" s="3" t="s">
        <v>11</v>
      </c>
      <c r="H183" s="3">
        <v>5.0999999999999996</v>
      </c>
      <c r="I183" s="3">
        <v>3</v>
      </c>
      <c r="J183" s="5">
        <f t="shared" si="23"/>
        <v>1.7</v>
      </c>
      <c r="K183">
        <f>SUMIF(Planilha1!A:A, Plan1!D183, Planilha1!B:B)</f>
        <v>59.993190118333331</v>
      </c>
    </row>
    <row r="184" spans="1:11" x14ac:dyDescent="0.25">
      <c r="A184" s="3" t="s">
        <v>19</v>
      </c>
      <c r="B184" s="3">
        <v>10</v>
      </c>
      <c r="C184" s="3" t="s">
        <v>14</v>
      </c>
      <c r="D184" s="4">
        <v>45170</v>
      </c>
      <c r="E184" s="3">
        <v>4</v>
      </c>
      <c r="F184" s="5">
        <f t="shared" si="32"/>
        <v>42</v>
      </c>
      <c r="G184" s="3" t="s">
        <v>11</v>
      </c>
      <c r="H184" s="3">
        <v>5.3</v>
      </c>
      <c r="I184" s="3">
        <v>3</v>
      </c>
      <c r="J184" s="5">
        <f t="shared" si="23"/>
        <v>1.7666666666666666</v>
      </c>
      <c r="K184">
        <f>SUMIF(Planilha1!A:A, Plan1!D184, Planilha1!B:B)</f>
        <v>66.936242143333331</v>
      </c>
    </row>
    <row r="185" spans="1:11" x14ac:dyDescent="0.25">
      <c r="A185" s="3" t="s">
        <v>19</v>
      </c>
      <c r="B185" s="3">
        <v>10</v>
      </c>
      <c r="C185" s="3" t="s">
        <v>14</v>
      </c>
      <c r="D185" s="4">
        <v>45167</v>
      </c>
      <c r="E185" s="3">
        <v>4</v>
      </c>
      <c r="F185" s="5">
        <f t="shared" si="32"/>
        <v>42</v>
      </c>
      <c r="G185" s="3" t="s">
        <v>12</v>
      </c>
      <c r="H185" s="3">
        <v>4.2</v>
      </c>
      <c r="I185" s="3">
        <v>3</v>
      </c>
      <c r="J185" s="5">
        <f t="shared" si="23"/>
        <v>1.4000000000000001</v>
      </c>
      <c r="K185">
        <f>SUMIF(Planilha1!A:A, Plan1!D185, Planilha1!B:B)</f>
        <v>57.977048261666688</v>
      </c>
    </row>
    <row r="186" spans="1:11" x14ac:dyDescent="0.25">
      <c r="A186" s="3" t="s">
        <v>19</v>
      </c>
      <c r="B186" s="3">
        <v>10</v>
      </c>
      <c r="C186" s="3" t="s">
        <v>14</v>
      </c>
      <c r="D186" s="4">
        <v>45168</v>
      </c>
      <c r="E186" s="3">
        <v>4</v>
      </c>
      <c r="F186" s="5">
        <f t="shared" si="32"/>
        <v>42</v>
      </c>
      <c r="G186" s="3" t="s">
        <v>12</v>
      </c>
      <c r="H186" s="3">
        <v>3.9</v>
      </c>
      <c r="I186" s="3">
        <v>3</v>
      </c>
      <c r="J186" s="5">
        <f t="shared" si="23"/>
        <v>1.3</v>
      </c>
      <c r="K186">
        <f>SUMIF(Planilha1!A:A, Plan1!D186, Planilha1!B:B)</f>
        <v>59.993190118333331</v>
      </c>
    </row>
    <row r="187" spans="1:11" x14ac:dyDescent="0.25">
      <c r="A187" s="3" t="s">
        <v>19</v>
      </c>
      <c r="B187" s="3">
        <v>10</v>
      </c>
      <c r="C187" s="3" t="s">
        <v>14</v>
      </c>
      <c r="D187" s="4">
        <v>45169</v>
      </c>
      <c r="E187" s="3">
        <v>4</v>
      </c>
      <c r="F187" s="5">
        <f t="shared" si="32"/>
        <v>42</v>
      </c>
      <c r="G187" s="3" t="s">
        <v>12</v>
      </c>
      <c r="H187" s="3">
        <v>4.5</v>
      </c>
      <c r="I187" s="3">
        <v>3</v>
      </c>
      <c r="J187" s="5">
        <f t="shared" si="23"/>
        <v>1.5</v>
      </c>
      <c r="K187">
        <f>SUMIF(Planilha1!A:A, Plan1!D187, Planilha1!B:B)</f>
        <v>63.315898055000012</v>
      </c>
    </row>
    <row r="188" spans="1:11" x14ac:dyDescent="0.25">
      <c r="A188" s="3" t="s">
        <v>20</v>
      </c>
      <c r="B188" s="3">
        <v>5</v>
      </c>
      <c r="C188" s="3" t="s">
        <v>10</v>
      </c>
      <c r="D188" s="4">
        <v>45232</v>
      </c>
      <c r="E188" s="3">
        <v>4</v>
      </c>
      <c r="F188" s="5">
        <f t="shared" ref="F188:F193" si="33">(45.5+46.5+46)/3</f>
        <v>46</v>
      </c>
      <c r="G188" s="3" t="s">
        <v>12</v>
      </c>
      <c r="H188" s="3">
        <v>5.4</v>
      </c>
      <c r="I188" s="3">
        <v>3</v>
      </c>
      <c r="J188" s="5">
        <f t="shared" si="23"/>
        <v>1.8</v>
      </c>
      <c r="K188">
        <f>SUMIF(Planilha1!A:A, Plan1!D188, Planilha1!B:B)</f>
        <v>72.178008776666672</v>
      </c>
    </row>
    <row r="189" spans="1:11" x14ac:dyDescent="0.25">
      <c r="A189" s="3" t="s">
        <v>20</v>
      </c>
      <c r="B189" s="3">
        <v>5</v>
      </c>
      <c r="C189" s="3" t="s">
        <v>10</v>
      </c>
      <c r="D189" s="4">
        <v>45233</v>
      </c>
      <c r="E189" s="3">
        <v>4</v>
      </c>
      <c r="F189" s="5">
        <f t="shared" si="33"/>
        <v>46</v>
      </c>
      <c r="G189" s="3" t="s">
        <v>12</v>
      </c>
      <c r="H189" s="3">
        <v>3.1</v>
      </c>
      <c r="I189" s="3">
        <v>3</v>
      </c>
      <c r="J189" s="5">
        <f t="shared" si="23"/>
        <v>1.0333333333333334</v>
      </c>
      <c r="K189">
        <f>SUMIF(Planilha1!A:A, Plan1!D189, Planilha1!B:B)</f>
        <v>76.669772671666664</v>
      </c>
    </row>
    <row r="190" spans="1:11" x14ac:dyDescent="0.25">
      <c r="A190" s="3" t="s">
        <v>20</v>
      </c>
      <c r="B190" s="3">
        <v>5</v>
      </c>
      <c r="C190" s="3" t="s">
        <v>10</v>
      </c>
      <c r="D190" s="4">
        <v>45230</v>
      </c>
      <c r="E190" s="3">
        <v>4</v>
      </c>
      <c r="F190" s="5">
        <f t="shared" si="33"/>
        <v>46</v>
      </c>
      <c r="G190" s="3" t="s">
        <v>12</v>
      </c>
      <c r="H190" s="3">
        <v>4.2</v>
      </c>
      <c r="I190" s="3">
        <v>3</v>
      </c>
      <c r="J190" s="5">
        <f t="shared" si="23"/>
        <v>1.4000000000000001</v>
      </c>
      <c r="K190">
        <f>SUMIF(Planilha1!A:A, Plan1!D190, Planilha1!B:B)</f>
        <v>76.619448705000011</v>
      </c>
    </row>
    <row r="191" spans="1:11" x14ac:dyDescent="0.25">
      <c r="A191" s="3" t="s">
        <v>20</v>
      </c>
      <c r="B191" s="3">
        <v>5</v>
      </c>
      <c r="C191" s="3" t="s">
        <v>10</v>
      </c>
      <c r="D191" s="4">
        <v>45233</v>
      </c>
      <c r="E191" s="3">
        <v>4</v>
      </c>
      <c r="F191" s="5">
        <f t="shared" si="33"/>
        <v>46</v>
      </c>
      <c r="G191" s="3" t="s">
        <v>11</v>
      </c>
      <c r="H191" s="3">
        <v>2.2999999999999998</v>
      </c>
      <c r="I191" s="3">
        <v>3</v>
      </c>
      <c r="J191" s="5">
        <f t="shared" si="23"/>
        <v>0.76666666666666661</v>
      </c>
      <c r="K191">
        <f>SUMIF(Planilha1!A:A, Plan1!D191, Planilha1!B:B)</f>
        <v>76.669772671666664</v>
      </c>
    </row>
    <row r="192" spans="1:11" x14ac:dyDescent="0.25">
      <c r="A192" s="3" t="s">
        <v>20</v>
      </c>
      <c r="B192" s="3">
        <v>5</v>
      </c>
      <c r="C192" s="3" t="s">
        <v>10</v>
      </c>
      <c r="D192" s="4">
        <v>45230</v>
      </c>
      <c r="E192" s="3">
        <v>4</v>
      </c>
      <c r="F192" s="5">
        <f t="shared" si="33"/>
        <v>46</v>
      </c>
      <c r="G192" s="3" t="s">
        <v>11</v>
      </c>
      <c r="H192" s="3">
        <v>4.3</v>
      </c>
      <c r="I192" s="3">
        <v>3</v>
      </c>
      <c r="J192" s="5">
        <f t="shared" si="23"/>
        <v>1.4333333333333333</v>
      </c>
      <c r="K192">
        <f>SUMIF(Planilha1!A:A, Plan1!D192, Planilha1!B:B)</f>
        <v>76.619448705000011</v>
      </c>
    </row>
    <row r="193" spans="1:11" x14ac:dyDescent="0.25">
      <c r="A193" s="3" t="s">
        <v>20</v>
      </c>
      <c r="B193" s="3">
        <v>5</v>
      </c>
      <c r="C193" s="3" t="s">
        <v>10</v>
      </c>
      <c r="D193" s="4">
        <v>45232</v>
      </c>
      <c r="E193" s="3">
        <v>4</v>
      </c>
      <c r="F193" s="5">
        <f t="shared" si="33"/>
        <v>46</v>
      </c>
      <c r="G193" s="3" t="s">
        <v>11</v>
      </c>
      <c r="H193" s="3">
        <v>1.6</v>
      </c>
      <c r="I193" s="3">
        <v>3</v>
      </c>
      <c r="J193" s="5">
        <f t="shared" si="23"/>
        <v>0.53333333333333333</v>
      </c>
      <c r="K193">
        <f>SUMIF(Planilha1!A:A, Plan1!D193, Planilha1!B:B)</f>
        <v>72.178008776666672</v>
      </c>
    </row>
    <row r="194" spans="1:11" x14ac:dyDescent="0.25">
      <c r="A194" s="3" t="s">
        <v>9</v>
      </c>
      <c r="B194" s="3">
        <v>8</v>
      </c>
      <c r="C194" s="3" t="s">
        <v>10</v>
      </c>
      <c r="D194" s="4">
        <v>45181</v>
      </c>
      <c r="E194" s="3">
        <v>5</v>
      </c>
      <c r="F194" s="5">
        <f t="shared" ref="F194:F199" si="34">(54.2+51.3+54.4)/3</f>
        <v>53.300000000000004</v>
      </c>
      <c r="G194" s="3" t="s">
        <v>11</v>
      </c>
      <c r="H194" s="3">
        <v>3.4</v>
      </c>
      <c r="I194" s="3">
        <v>3</v>
      </c>
      <c r="J194" s="5">
        <f t="shared" ref="J194:J257" si="35">H194/I194</f>
        <v>1.1333333333333333</v>
      </c>
      <c r="K194">
        <f>SUMIF(Planilha1!A:A, Plan1!D194, Planilha1!B:B)</f>
        <v>70.033606378333332</v>
      </c>
    </row>
    <row r="195" spans="1:11" x14ac:dyDescent="0.25">
      <c r="A195" s="3" t="s">
        <v>9</v>
      </c>
      <c r="B195" s="3">
        <v>8</v>
      </c>
      <c r="C195" s="3" t="s">
        <v>10</v>
      </c>
      <c r="D195" s="4">
        <v>45182</v>
      </c>
      <c r="E195" s="3">
        <v>5</v>
      </c>
      <c r="F195" s="5">
        <f t="shared" si="34"/>
        <v>53.300000000000004</v>
      </c>
      <c r="G195" s="3" t="s">
        <v>11</v>
      </c>
      <c r="H195" s="3">
        <v>1.6</v>
      </c>
      <c r="I195" s="3">
        <v>3</v>
      </c>
      <c r="J195" s="5">
        <f t="shared" si="35"/>
        <v>0.53333333333333333</v>
      </c>
      <c r="K195">
        <f>SUMIF(Planilha1!A:A, Plan1!D195, Planilha1!B:B)</f>
        <v>72.452966235000005</v>
      </c>
    </row>
    <row r="196" spans="1:11" x14ac:dyDescent="0.25">
      <c r="A196" s="3" t="s">
        <v>9</v>
      </c>
      <c r="B196" s="3">
        <v>8</v>
      </c>
      <c r="C196" s="3" t="s">
        <v>10</v>
      </c>
      <c r="D196" s="4">
        <v>45183</v>
      </c>
      <c r="E196" s="3">
        <v>5</v>
      </c>
      <c r="F196" s="5">
        <f t="shared" si="34"/>
        <v>53.300000000000004</v>
      </c>
      <c r="G196" s="3" t="s">
        <v>11</v>
      </c>
      <c r="H196" s="3">
        <v>2.4</v>
      </c>
      <c r="I196" s="3">
        <v>3</v>
      </c>
      <c r="J196" s="5">
        <f t="shared" si="35"/>
        <v>0.79999999999999993</v>
      </c>
      <c r="K196">
        <f>SUMIF(Planilha1!A:A, Plan1!D196, Planilha1!B:B)</f>
        <v>66.366236204999993</v>
      </c>
    </row>
    <row r="197" spans="1:11" x14ac:dyDescent="0.25">
      <c r="A197" s="3" t="s">
        <v>9</v>
      </c>
      <c r="B197" s="3">
        <v>8</v>
      </c>
      <c r="C197" s="3" t="s">
        <v>10</v>
      </c>
      <c r="D197" s="4">
        <v>45181</v>
      </c>
      <c r="E197" s="3">
        <v>5</v>
      </c>
      <c r="F197" s="5">
        <f t="shared" si="34"/>
        <v>53.300000000000004</v>
      </c>
      <c r="G197" s="3" t="s">
        <v>12</v>
      </c>
      <c r="H197" s="3">
        <v>1.5</v>
      </c>
      <c r="I197" s="3">
        <v>3</v>
      </c>
      <c r="J197" s="5">
        <f t="shared" si="35"/>
        <v>0.5</v>
      </c>
      <c r="K197">
        <f>SUMIF(Planilha1!A:A, Plan1!D197, Planilha1!B:B)</f>
        <v>70.033606378333332</v>
      </c>
    </row>
    <row r="198" spans="1:11" x14ac:dyDescent="0.25">
      <c r="A198" s="3" t="s">
        <v>9</v>
      </c>
      <c r="B198" s="3">
        <v>8</v>
      </c>
      <c r="C198" s="3" t="s">
        <v>10</v>
      </c>
      <c r="D198" s="4">
        <v>45182</v>
      </c>
      <c r="E198" s="3">
        <v>5</v>
      </c>
      <c r="F198" s="5">
        <f t="shared" si="34"/>
        <v>53.300000000000004</v>
      </c>
      <c r="G198" s="3" t="s">
        <v>12</v>
      </c>
      <c r="H198" s="3">
        <v>2.4</v>
      </c>
      <c r="I198" s="3">
        <v>3</v>
      </c>
      <c r="J198" s="5">
        <f t="shared" si="35"/>
        <v>0.79999999999999993</v>
      </c>
      <c r="K198">
        <f>SUMIF(Planilha1!A:A, Plan1!D198, Planilha1!B:B)</f>
        <v>72.452966235000005</v>
      </c>
    </row>
    <row r="199" spans="1:11" x14ac:dyDescent="0.25">
      <c r="A199" s="3" t="s">
        <v>9</v>
      </c>
      <c r="B199" s="3">
        <v>8</v>
      </c>
      <c r="C199" s="3" t="s">
        <v>10</v>
      </c>
      <c r="D199" s="4">
        <v>45183</v>
      </c>
      <c r="E199" s="3">
        <v>5</v>
      </c>
      <c r="F199" s="5">
        <f t="shared" si="34"/>
        <v>53.300000000000004</v>
      </c>
      <c r="G199" s="3" t="s">
        <v>12</v>
      </c>
      <c r="H199" s="3">
        <v>1.3</v>
      </c>
      <c r="I199" s="3">
        <v>3</v>
      </c>
      <c r="J199" s="5">
        <f t="shared" si="35"/>
        <v>0.43333333333333335</v>
      </c>
      <c r="K199">
        <f>SUMIF(Planilha1!A:A, Plan1!D199, Planilha1!B:B)</f>
        <v>66.366236204999993</v>
      </c>
    </row>
    <row r="200" spans="1:11" x14ac:dyDescent="0.25">
      <c r="A200" s="3" t="s">
        <v>13</v>
      </c>
      <c r="B200" s="3">
        <v>7</v>
      </c>
      <c r="C200" s="3" t="s">
        <v>14</v>
      </c>
      <c r="D200" s="4">
        <v>45202</v>
      </c>
      <c r="E200" s="3">
        <v>5</v>
      </c>
      <c r="F200" s="5">
        <f t="shared" ref="F200:F205" si="36">(51.3+43+43)/3</f>
        <v>45.766666666666673</v>
      </c>
      <c r="G200" s="3" t="s">
        <v>12</v>
      </c>
      <c r="H200" s="3">
        <v>7.9</v>
      </c>
      <c r="I200" s="3">
        <v>3</v>
      </c>
      <c r="J200" s="5">
        <f t="shared" si="35"/>
        <v>2.6333333333333333</v>
      </c>
      <c r="K200">
        <f>SUMIF(Planilha1!A:A, Plan1!D200, Planilha1!B:B)</f>
        <v>76.364289368333331</v>
      </c>
    </row>
    <row r="201" spans="1:11" x14ac:dyDescent="0.25">
      <c r="A201" s="3" t="s">
        <v>13</v>
      </c>
      <c r="B201" s="3">
        <v>7</v>
      </c>
      <c r="C201" s="3" t="s">
        <v>14</v>
      </c>
      <c r="D201" s="4">
        <v>45203</v>
      </c>
      <c r="E201" s="3">
        <v>5</v>
      </c>
      <c r="F201" s="5">
        <f t="shared" si="36"/>
        <v>45.766666666666673</v>
      </c>
      <c r="G201" s="3" t="s">
        <v>11</v>
      </c>
      <c r="H201" s="3">
        <v>3.4</v>
      </c>
      <c r="I201" s="3">
        <v>3</v>
      </c>
      <c r="J201" s="5">
        <f t="shared" si="35"/>
        <v>1.1333333333333333</v>
      </c>
      <c r="K201">
        <f>SUMIF(Planilha1!A:A, Plan1!D201, Planilha1!B:B)</f>
        <v>77.480711834999994</v>
      </c>
    </row>
    <row r="202" spans="1:11" x14ac:dyDescent="0.25">
      <c r="A202" s="3" t="s">
        <v>13</v>
      </c>
      <c r="B202" s="3">
        <v>7</v>
      </c>
      <c r="C202" s="3" t="s">
        <v>14</v>
      </c>
      <c r="D202" s="4">
        <v>45205</v>
      </c>
      <c r="E202" s="3">
        <v>5</v>
      </c>
      <c r="F202" s="5">
        <f t="shared" si="36"/>
        <v>45.766666666666673</v>
      </c>
      <c r="G202" s="3" t="s">
        <v>12</v>
      </c>
      <c r="H202" s="3">
        <v>6.6</v>
      </c>
      <c r="I202" s="3">
        <v>3</v>
      </c>
      <c r="J202" s="5">
        <f t="shared" si="35"/>
        <v>2.1999999999999997</v>
      </c>
      <c r="K202">
        <f>SUMIF(Planilha1!A:A, Plan1!D202, Planilha1!B:B)</f>
        <v>79.063527735000022</v>
      </c>
    </row>
    <row r="203" spans="1:11" x14ac:dyDescent="0.25">
      <c r="A203" s="3" t="s">
        <v>13</v>
      </c>
      <c r="B203" s="3">
        <v>7</v>
      </c>
      <c r="C203" s="3" t="s">
        <v>14</v>
      </c>
      <c r="D203" s="4">
        <v>45206</v>
      </c>
      <c r="E203" s="3">
        <v>5</v>
      </c>
      <c r="F203" s="5">
        <f t="shared" si="36"/>
        <v>45.766666666666673</v>
      </c>
      <c r="G203" s="3" t="s">
        <v>12</v>
      </c>
      <c r="H203" s="3">
        <v>6.3</v>
      </c>
      <c r="I203" s="3">
        <v>3</v>
      </c>
      <c r="J203" s="5">
        <f t="shared" si="35"/>
        <v>2.1</v>
      </c>
      <c r="K203">
        <f>SUMIF(Planilha1!A:A, Plan1!D203, Planilha1!B:B)</f>
        <v>78.713969811666672</v>
      </c>
    </row>
    <row r="204" spans="1:11" x14ac:dyDescent="0.25">
      <c r="A204" s="3" t="s">
        <v>13</v>
      </c>
      <c r="B204" s="3">
        <v>7</v>
      </c>
      <c r="C204" s="3" t="s">
        <v>14</v>
      </c>
      <c r="D204" s="4">
        <v>45202</v>
      </c>
      <c r="E204" s="3">
        <v>5</v>
      </c>
      <c r="F204" s="5">
        <f t="shared" si="36"/>
        <v>45.766666666666673</v>
      </c>
      <c r="G204" s="3" t="s">
        <v>11</v>
      </c>
      <c r="H204" s="3">
        <v>4.8</v>
      </c>
      <c r="I204" s="3">
        <v>3</v>
      </c>
      <c r="J204" s="5">
        <f t="shared" si="35"/>
        <v>1.5999999999999999</v>
      </c>
      <c r="K204">
        <f>SUMIF(Planilha1!A:A, Plan1!D204, Planilha1!B:B)</f>
        <v>76.364289368333331</v>
      </c>
    </row>
    <row r="205" spans="1:11" x14ac:dyDescent="0.25">
      <c r="A205" s="3" t="s">
        <v>13</v>
      </c>
      <c r="B205" s="3">
        <v>7</v>
      </c>
      <c r="C205" s="3" t="s">
        <v>14</v>
      </c>
      <c r="D205" s="4">
        <v>45205</v>
      </c>
      <c r="E205" s="3">
        <v>5</v>
      </c>
      <c r="F205" s="5">
        <f t="shared" si="36"/>
        <v>45.766666666666673</v>
      </c>
      <c r="G205" s="3" t="s">
        <v>11</v>
      </c>
      <c r="H205" s="3">
        <v>2.8</v>
      </c>
      <c r="I205" s="3">
        <v>3</v>
      </c>
      <c r="J205" s="5">
        <f t="shared" si="35"/>
        <v>0.93333333333333324</v>
      </c>
      <c r="K205">
        <f>SUMIF(Planilha1!A:A, Plan1!D205, Planilha1!B:B)</f>
        <v>79.063527735000022</v>
      </c>
    </row>
    <row r="206" spans="1:11" x14ac:dyDescent="0.25">
      <c r="A206" s="3" t="s">
        <v>15</v>
      </c>
      <c r="B206" s="3">
        <v>6</v>
      </c>
      <c r="C206" s="3" t="s">
        <v>14</v>
      </c>
      <c r="D206" s="4">
        <v>45196</v>
      </c>
      <c r="E206" s="3">
        <v>5</v>
      </c>
      <c r="F206" s="5">
        <f t="shared" ref="F206:F211" si="37">(37.5+55.8+51)/3</f>
        <v>48.1</v>
      </c>
      <c r="G206" s="3" t="s">
        <v>11</v>
      </c>
      <c r="H206" s="3">
        <v>5.0999999999999996</v>
      </c>
      <c r="I206" s="3">
        <v>3</v>
      </c>
      <c r="J206" s="5">
        <f t="shared" si="35"/>
        <v>1.7</v>
      </c>
      <c r="K206">
        <f>SUMIF(Planilha1!A:A, Plan1!D206, Planilha1!B:B)</f>
        <v>80.442775738333339</v>
      </c>
    </row>
    <row r="207" spans="1:11" x14ac:dyDescent="0.25">
      <c r="A207" s="3" t="s">
        <v>15</v>
      </c>
      <c r="B207" s="3">
        <v>6</v>
      </c>
      <c r="C207" s="3" t="s">
        <v>14</v>
      </c>
      <c r="D207" s="4">
        <v>45198</v>
      </c>
      <c r="E207" s="3">
        <v>5</v>
      </c>
      <c r="F207" s="5">
        <f t="shared" si="37"/>
        <v>48.1</v>
      </c>
      <c r="G207" s="3" t="s">
        <v>11</v>
      </c>
      <c r="H207" s="3">
        <v>4.3</v>
      </c>
      <c r="I207" s="3">
        <v>3</v>
      </c>
      <c r="J207" s="5">
        <f t="shared" si="35"/>
        <v>1.4333333333333333</v>
      </c>
      <c r="K207">
        <f>SUMIF(Planilha1!A:A, Plan1!D207, Planilha1!B:B)</f>
        <v>67.82726283833334</v>
      </c>
    </row>
    <row r="208" spans="1:11" x14ac:dyDescent="0.25">
      <c r="A208" s="3" t="s">
        <v>15</v>
      </c>
      <c r="B208" s="3">
        <v>6</v>
      </c>
      <c r="C208" s="3" t="s">
        <v>14</v>
      </c>
      <c r="D208" s="4">
        <v>45200</v>
      </c>
      <c r="E208" s="3">
        <v>5</v>
      </c>
      <c r="F208" s="5">
        <f t="shared" si="37"/>
        <v>48.1</v>
      </c>
      <c r="G208" s="3" t="s">
        <v>11</v>
      </c>
      <c r="H208" s="3">
        <v>6.1</v>
      </c>
      <c r="I208" s="3">
        <v>3</v>
      </c>
      <c r="J208" s="5">
        <f t="shared" si="35"/>
        <v>2.0333333333333332</v>
      </c>
      <c r="K208">
        <f>SUMIF(Planilha1!A:A, Plan1!D208, Planilha1!B:B)</f>
        <v>74.560323253333351</v>
      </c>
    </row>
    <row r="209" spans="1:11" x14ac:dyDescent="0.25">
      <c r="A209" s="3" t="s">
        <v>15</v>
      </c>
      <c r="B209" s="3">
        <v>6</v>
      </c>
      <c r="C209" s="3" t="s">
        <v>14</v>
      </c>
      <c r="D209" s="4">
        <v>45196</v>
      </c>
      <c r="E209" s="3">
        <v>5</v>
      </c>
      <c r="F209" s="5">
        <f t="shared" si="37"/>
        <v>48.1</v>
      </c>
      <c r="G209" s="3" t="s">
        <v>12</v>
      </c>
      <c r="H209" s="3">
        <v>3.9</v>
      </c>
      <c r="I209" s="3">
        <v>3</v>
      </c>
      <c r="J209" s="5">
        <f t="shared" si="35"/>
        <v>1.3</v>
      </c>
      <c r="K209">
        <f>SUMIF(Planilha1!A:A, Plan1!D209, Planilha1!B:B)</f>
        <v>80.442775738333339</v>
      </c>
    </row>
    <row r="210" spans="1:11" x14ac:dyDescent="0.25">
      <c r="A210" s="3" t="s">
        <v>15</v>
      </c>
      <c r="B210" s="3">
        <v>6</v>
      </c>
      <c r="C210" s="3" t="s">
        <v>14</v>
      </c>
      <c r="D210" s="4">
        <v>45198</v>
      </c>
      <c r="E210" s="3">
        <v>5</v>
      </c>
      <c r="F210" s="5">
        <f t="shared" si="37"/>
        <v>48.1</v>
      </c>
      <c r="G210" s="3" t="s">
        <v>12</v>
      </c>
      <c r="H210" s="3">
        <v>4.0999999999999996</v>
      </c>
      <c r="I210" s="3">
        <v>3</v>
      </c>
      <c r="J210" s="5">
        <f t="shared" si="35"/>
        <v>1.3666666666666665</v>
      </c>
      <c r="K210">
        <f>SUMIF(Planilha1!A:A, Plan1!D210, Planilha1!B:B)</f>
        <v>67.82726283833334</v>
      </c>
    </row>
    <row r="211" spans="1:11" x14ac:dyDescent="0.25">
      <c r="A211" s="3" t="s">
        <v>15</v>
      </c>
      <c r="B211" s="3">
        <v>6</v>
      </c>
      <c r="C211" s="3" t="s">
        <v>14</v>
      </c>
      <c r="D211" s="4">
        <v>45199</v>
      </c>
      <c r="E211" s="3">
        <v>5</v>
      </c>
      <c r="F211" s="5">
        <f t="shared" si="37"/>
        <v>48.1</v>
      </c>
      <c r="G211" s="3" t="s">
        <v>12</v>
      </c>
      <c r="H211" s="3">
        <v>1.4</v>
      </c>
      <c r="I211" s="3">
        <v>3</v>
      </c>
      <c r="J211" s="5">
        <f t="shared" si="35"/>
        <v>0.46666666666666662</v>
      </c>
      <c r="K211">
        <f>SUMIF(Planilha1!A:A, Plan1!D211, Planilha1!B:B)</f>
        <v>74.104036316666679</v>
      </c>
    </row>
    <row r="212" spans="1:11" x14ac:dyDescent="0.25">
      <c r="A212" s="3" t="s">
        <v>16</v>
      </c>
      <c r="B212">
        <v>8</v>
      </c>
      <c r="C212" s="3" t="s">
        <v>10</v>
      </c>
      <c r="D212" s="4">
        <v>45272</v>
      </c>
      <c r="E212" s="3">
        <v>5</v>
      </c>
      <c r="F212" s="5">
        <f t="shared" ref="F212:F217" si="38">(52+54)/2</f>
        <v>53</v>
      </c>
      <c r="G212" s="3" t="s">
        <v>12</v>
      </c>
      <c r="H212" s="3">
        <v>3.8</v>
      </c>
      <c r="I212" s="3">
        <v>2</v>
      </c>
      <c r="J212" s="5">
        <f t="shared" si="35"/>
        <v>1.9</v>
      </c>
      <c r="K212">
        <f>SUMIF(Planilha1!A:A, Plan1!D212, Planilha1!B:B)</f>
        <v>71.805522295000003</v>
      </c>
    </row>
    <row r="213" spans="1:11" x14ac:dyDescent="0.25">
      <c r="A213" s="3" t="s">
        <v>16</v>
      </c>
      <c r="B213">
        <v>8</v>
      </c>
      <c r="C213" s="3" t="s">
        <v>10</v>
      </c>
      <c r="D213" s="4">
        <v>45273</v>
      </c>
      <c r="E213" s="3">
        <v>5</v>
      </c>
      <c r="F213" s="5">
        <f t="shared" si="38"/>
        <v>53</v>
      </c>
      <c r="G213" s="3" t="s">
        <v>12</v>
      </c>
      <c r="H213" s="3">
        <v>3.1</v>
      </c>
      <c r="I213" s="3">
        <v>2</v>
      </c>
      <c r="J213" s="5">
        <f t="shared" si="35"/>
        <v>1.55</v>
      </c>
      <c r="K213">
        <f>SUMIF(Planilha1!A:A, Plan1!D213, Planilha1!B:B)</f>
        <v>71.664508674999993</v>
      </c>
    </row>
    <row r="214" spans="1:11" x14ac:dyDescent="0.25">
      <c r="A214" s="3" t="s">
        <v>16</v>
      </c>
      <c r="B214">
        <v>8</v>
      </c>
      <c r="C214" s="3" t="s">
        <v>10</v>
      </c>
      <c r="D214" s="4">
        <v>45277</v>
      </c>
      <c r="E214" s="3">
        <v>5</v>
      </c>
      <c r="F214" s="5">
        <f t="shared" si="38"/>
        <v>53</v>
      </c>
      <c r="G214" s="3" t="s">
        <v>12</v>
      </c>
      <c r="H214" s="3">
        <v>8.4</v>
      </c>
      <c r="I214" s="3">
        <v>2</v>
      </c>
      <c r="J214" s="5">
        <f t="shared" si="35"/>
        <v>4.2</v>
      </c>
      <c r="K214">
        <f>SUMIF(Planilha1!A:A, Plan1!D214, Planilha1!B:B)</f>
        <v>79.049454958333328</v>
      </c>
    </row>
    <row r="215" spans="1:11" x14ac:dyDescent="0.25">
      <c r="A215" s="3" t="s">
        <v>16</v>
      </c>
      <c r="B215">
        <v>8</v>
      </c>
      <c r="C215" s="3" t="s">
        <v>10</v>
      </c>
      <c r="D215" s="4">
        <v>45272</v>
      </c>
      <c r="E215" s="3">
        <v>5</v>
      </c>
      <c r="F215" s="5">
        <f t="shared" si="38"/>
        <v>53</v>
      </c>
      <c r="G215" s="3" t="s">
        <v>11</v>
      </c>
      <c r="H215" s="3">
        <v>3.6</v>
      </c>
      <c r="I215" s="3">
        <v>2</v>
      </c>
      <c r="J215" s="5">
        <f t="shared" si="35"/>
        <v>1.8</v>
      </c>
      <c r="K215">
        <f>SUMIF(Planilha1!A:A, Plan1!D215, Planilha1!B:B)</f>
        <v>71.805522295000003</v>
      </c>
    </row>
    <row r="216" spans="1:11" x14ac:dyDescent="0.25">
      <c r="A216" s="3" t="s">
        <v>16</v>
      </c>
      <c r="B216">
        <v>8</v>
      </c>
      <c r="C216" s="3" t="s">
        <v>10</v>
      </c>
      <c r="D216" s="4">
        <v>45275</v>
      </c>
      <c r="E216" s="3">
        <v>5</v>
      </c>
      <c r="F216" s="5">
        <f t="shared" si="38"/>
        <v>53</v>
      </c>
      <c r="G216" s="3" t="s">
        <v>11</v>
      </c>
      <c r="H216" s="3">
        <v>4.3</v>
      </c>
      <c r="I216" s="3">
        <v>2</v>
      </c>
      <c r="J216" s="5">
        <f t="shared" si="35"/>
        <v>2.15</v>
      </c>
      <c r="K216">
        <f>SUMIF(Planilha1!A:A, Plan1!D216, Planilha1!B:B)</f>
        <v>79.320876525000031</v>
      </c>
    </row>
    <row r="217" spans="1:11" x14ac:dyDescent="0.25">
      <c r="A217" s="3" t="s">
        <v>16</v>
      </c>
      <c r="B217">
        <v>8</v>
      </c>
      <c r="C217" s="3" t="s">
        <v>10</v>
      </c>
      <c r="D217" s="4">
        <v>45277</v>
      </c>
      <c r="E217" s="3">
        <v>5</v>
      </c>
      <c r="F217" s="5">
        <f t="shared" si="38"/>
        <v>53</v>
      </c>
      <c r="G217" s="3" t="s">
        <v>11</v>
      </c>
      <c r="H217" s="3">
        <v>2.1</v>
      </c>
      <c r="I217" s="3">
        <v>2</v>
      </c>
      <c r="J217" s="5">
        <f t="shared" si="35"/>
        <v>1.05</v>
      </c>
      <c r="K217">
        <f>SUMIF(Planilha1!A:A, Plan1!D217, Planilha1!B:B)</f>
        <v>79.049454958333328</v>
      </c>
    </row>
    <row r="218" spans="1:11" x14ac:dyDescent="0.25">
      <c r="A218" s="3" t="s">
        <v>17</v>
      </c>
      <c r="B218">
        <v>1</v>
      </c>
      <c r="C218" s="3" t="s">
        <v>14</v>
      </c>
      <c r="D218" s="4">
        <v>45272</v>
      </c>
      <c r="E218" s="3">
        <v>5</v>
      </c>
      <c r="F218" s="5">
        <f t="shared" ref="F218:F223" si="39">(37.3+40.5+27)/3</f>
        <v>34.93333333333333</v>
      </c>
      <c r="G218" s="3" t="s">
        <v>12</v>
      </c>
      <c r="H218" s="3">
        <v>2.8</v>
      </c>
      <c r="I218" s="3">
        <v>3</v>
      </c>
      <c r="J218" s="5">
        <f t="shared" si="35"/>
        <v>0.93333333333333324</v>
      </c>
      <c r="K218">
        <f>SUMIF(Planilha1!A:A, Plan1!D218, Planilha1!B:B)</f>
        <v>71.805522295000003</v>
      </c>
    </row>
    <row r="219" spans="1:11" x14ac:dyDescent="0.25">
      <c r="A219" s="3" t="s">
        <v>17</v>
      </c>
      <c r="B219">
        <v>1</v>
      </c>
      <c r="C219" s="3" t="s">
        <v>14</v>
      </c>
      <c r="D219" s="4">
        <v>45275</v>
      </c>
      <c r="E219" s="3">
        <v>5</v>
      </c>
      <c r="F219" s="5">
        <f t="shared" si="39"/>
        <v>34.93333333333333</v>
      </c>
      <c r="G219" s="3" t="s">
        <v>12</v>
      </c>
      <c r="H219" s="3">
        <v>3</v>
      </c>
      <c r="I219" s="3">
        <v>3</v>
      </c>
      <c r="J219" s="5">
        <f t="shared" si="35"/>
        <v>1</v>
      </c>
      <c r="K219">
        <f>SUMIF(Planilha1!A:A, Plan1!D219, Planilha1!B:B)</f>
        <v>79.320876525000031</v>
      </c>
    </row>
    <row r="220" spans="1:11" x14ac:dyDescent="0.25">
      <c r="A220" s="3" t="s">
        <v>17</v>
      </c>
      <c r="B220">
        <v>1</v>
      </c>
      <c r="C220" s="3" t="s">
        <v>14</v>
      </c>
      <c r="D220" s="4">
        <v>45277</v>
      </c>
      <c r="E220" s="3">
        <v>5</v>
      </c>
      <c r="F220" s="5">
        <f t="shared" si="39"/>
        <v>34.93333333333333</v>
      </c>
      <c r="G220" s="3" t="s">
        <v>12</v>
      </c>
      <c r="H220" s="3">
        <v>4.8</v>
      </c>
      <c r="I220" s="3">
        <v>3</v>
      </c>
      <c r="J220" s="5">
        <f t="shared" si="35"/>
        <v>1.5999999999999999</v>
      </c>
      <c r="K220">
        <f>SUMIF(Planilha1!A:A, Plan1!D220, Planilha1!B:B)</f>
        <v>79.049454958333328</v>
      </c>
    </row>
    <row r="221" spans="1:11" x14ac:dyDescent="0.25">
      <c r="A221" s="3" t="s">
        <v>17</v>
      </c>
      <c r="B221">
        <v>1</v>
      </c>
      <c r="C221" s="3" t="s">
        <v>14</v>
      </c>
      <c r="D221" s="4">
        <v>45272</v>
      </c>
      <c r="E221" s="3">
        <v>5</v>
      </c>
      <c r="F221" s="5">
        <f t="shared" si="39"/>
        <v>34.93333333333333</v>
      </c>
      <c r="G221" s="3" t="s">
        <v>11</v>
      </c>
      <c r="H221" s="3">
        <v>4.5999999999999996</v>
      </c>
      <c r="I221" s="3">
        <v>3</v>
      </c>
      <c r="J221" s="5">
        <f t="shared" si="35"/>
        <v>1.5333333333333332</v>
      </c>
      <c r="K221">
        <f>SUMIF(Planilha1!A:A, Plan1!D221, Planilha1!B:B)</f>
        <v>71.805522295000003</v>
      </c>
    </row>
    <row r="222" spans="1:11" x14ac:dyDescent="0.25">
      <c r="A222" s="3" t="s">
        <v>17</v>
      </c>
      <c r="B222">
        <v>1</v>
      </c>
      <c r="C222" s="3" t="s">
        <v>14</v>
      </c>
      <c r="D222" s="4">
        <v>45275</v>
      </c>
      <c r="E222" s="3">
        <v>5</v>
      </c>
      <c r="F222" s="5">
        <f t="shared" si="39"/>
        <v>34.93333333333333</v>
      </c>
      <c r="G222" s="3" t="s">
        <v>11</v>
      </c>
      <c r="H222" s="3">
        <v>6.1</v>
      </c>
      <c r="I222" s="3">
        <v>3</v>
      </c>
      <c r="J222" s="5">
        <f t="shared" si="35"/>
        <v>2.0333333333333332</v>
      </c>
      <c r="K222">
        <f>SUMIF(Planilha1!A:A, Plan1!D222, Planilha1!B:B)</f>
        <v>79.320876525000031</v>
      </c>
    </row>
    <row r="223" spans="1:11" x14ac:dyDescent="0.25">
      <c r="A223" s="3" t="s">
        <v>17</v>
      </c>
      <c r="B223">
        <v>1</v>
      </c>
      <c r="C223" s="3" t="s">
        <v>14</v>
      </c>
      <c r="D223" s="4">
        <v>45276</v>
      </c>
      <c r="E223" s="3">
        <v>5</v>
      </c>
      <c r="F223" s="5">
        <f t="shared" si="39"/>
        <v>34.93333333333333</v>
      </c>
      <c r="G223" s="3" t="s">
        <v>11</v>
      </c>
      <c r="H223" s="3">
        <v>5.3</v>
      </c>
      <c r="I223" s="3">
        <v>3</v>
      </c>
      <c r="J223" s="5">
        <f t="shared" si="35"/>
        <v>1.7666666666666666</v>
      </c>
      <c r="K223">
        <f>SUMIF(Planilha1!A:A, Plan1!D223, Planilha1!B:B)</f>
        <v>78.843023403333333</v>
      </c>
    </row>
    <row r="224" spans="1:11" x14ac:dyDescent="0.25">
      <c r="A224" s="3" t="s">
        <v>18</v>
      </c>
      <c r="B224" s="3">
        <v>8</v>
      </c>
      <c r="C224" s="3" t="s">
        <v>10</v>
      </c>
      <c r="D224" s="4">
        <v>45204</v>
      </c>
      <c r="E224" s="3">
        <v>5</v>
      </c>
      <c r="F224" s="5">
        <f t="shared" ref="F224:F229" si="40">(34.5+36.5+35.5)/3</f>
        <v>35.5</v>
      </c>
      <c r="G224" s="3" t="s">
        <v>12</v>
      </c>
      <c r="H224" s="3">
        <v>3.8</v>
      </c>
      <c r="I224" s="3">
        <v>3</v>
      </c>
      <c r="J224" s="5">
        <f t="shared" si="35"/>
        <v>1.2666666666666666</v>
      </c>
      <c r="K224">
        <f>SUMIF(Planilha1!A:A, Plan1!D224, Planilha1!B:B)</f>
        <v>79.130188060000009</v>
      </c>
    </row>
    <row r="225" spans="1:11" x14ac:dyDescent="0.25">
      <c r="A225" s="3" t="s">
        <v>18</v>
      </c>
      <c r="B225" s="3">
        <v>8</v>
      </c>
      <c r="C225" s="3" t="s">
        <v>10</v>
      </c>
      <c r="D225" s="4">
        <v>45205</v>
      </c>
      <c r="E225" s="3">
        <v>5</v>
      </c>
      <c r="F225" s="5">
        <f t="shared" si="40"/>
        <v>35.5</v>
      </c>
      <c r="G225" s="3" t="s">
        <v>12</v>
      </c>
      <c r="H225" s="3">
        <v>1.4</v>
      </c>
      <c r="I225" s="3">
        <v>3</v>
      </c>
      <c r="J225" s="5">
        <f t="shared" si="35"/>
        <v>0.46666666666666662</v>
      </c>
      <c r="K225">
        <f>SUMIF(Planilha1!A:A, Plan1!D225, Planilha1!B:B)</f>
        <v>79.063527735000022</v>
      </c>
    </row>
    <row r="226" spans="1:11" x14ac:dyDescent="0.25">
      <c r="A226" s="3" t="s">
        <v>18</v>
      </c>
      <c r="B226" s="3">
        <v>8</v>
      </c>
      <c r="C226" s="3" t="s">
        <v>10</v>
      </c>
      <c r="D226" s="4">
        <v>45206</v>
      </c>
      <c r="E226" s="3">
        <v>5</v>
      </c>
      <c r="F226" s="5">
        <f t="shared" si="40"/>
        <v>35.5</v>
      </c>
      <c r="G226" s="3" t="s">
        <v>12</v>
      </c>
      <c r="H226" s="3">
        <v>9.1</v>
      </c>
      <c r="I226" s="3">
        <v>3</v>
      </c>
      <c r="J226" s="5">
        <f t="shared" si="35"/>
        <v>3.0333333333333332</v>
      </c>
      <c r="K226">
        <f>SUMIF(Planilha1!A:A, Plan1!D226, Planilha1!B:B)</f>
        <v>78.713969811666672</v>
      </c>
    </row>
    <row r="227" spans="1:11" x14ac:dyDescent="0.25">
      <c r="A227" s="3" t="s">
        <v>18</v>
      </c>
      <c r="B227" s="3">
        <v>8</v>
      </c>
      <c r="C227" s="3" t="s">
        <v>10</v>
      </c>
      <c r="D227" s="4">
        <v>45202</v>
      </c>
      <c r="E227" s="3">
        <v>5</v>
      </c>
      <c r="F227" s="5">
        <f t="shared" si="40"/>
        <v>35.5</v>
      </c>
      <c r="G227" s="3" t="s">
        <v>11</v>
      </c>
      <c r="H227" s="3">
        <v>3.1</v>
      </c>
      <c r="I227" s="3">
        <v>3</v>
      </c>
      <c r="J227" s="5">
        <f t="shared" si="35"/>
        <v>1.0333333333333334</v>
      </c>
      <c r="K227">
        <f>SUMIF(Planilha1!A:A, Plan1!D227, Planilha1!B:B)</f>
        <v>76.364289368333331</v>
      </c>
    </row>
    <row r="228" spans="1:11" x14ac:dyDescent="0.25">
      <c r="A228" s="3" t="s">
        <v>18</v>
      </c>
      <c r="B228" s="3">
        <v>8</v>
      </c>
      <c r="C228" s="3" t="s">
        <v>10</v>
      </c>
      <c r="D228" s="4">
        <v>45205</v>
      </c>
      <c r="E228" s="3">
        <v>5</v>
      </c>
      <c r="F228" s="5">
        <f t="shared" si="40"/>
        <v>35.5</v>
      </c>
      <c r="G228" s="3" t="s">
        <v>11</v>
      </c>
      <c r="H228" s="3">
        <v>4.5</v>
      </c>
      <c r="I228" s="3">
        <v>3</v>
      </c>
      <c r="J228" s="5">
        <f t="shared" si="35"/>
        <v>1.5</v>
      </c>
      <c r="K228">
        <f>SUMIF(Planilha1!A:A, Plan1!D228, Planilha1!B:B)</f>
        <v>79.063527735000022</v>
      </c>
    </row>
    <row r="229" spans="1:11" x14ac:dyDescent="0.25">
      <c r="A229" s="3" t="s">
        <v>18</v>
      </c>
      <c r="B229" s="3">
        <v>8</v>
      </c>
      <c r="C229" s="3" t="s">
        <v>10</v>
      </c>
      <c r="D229" s="4">
        <v>45206</v>
      </c>
      <c r="E229" s="3">
        <v>5</v>
      </c>
      <c r="F229" s="5">
        <f t="shared" si="40"/>
        <v>35.5</v>
      </c>
      <c r="G229" s="3" t="s">
        <v>11</v>
      </c>
      <c r="H229" s="3">
        <v>4.2</v>
      </c>
      <c r="I229" s="3">
        <v>3</v>
      </c>
      <c r="J229" s="5">
        <f t="shared" si="35"/>
        <v>1.4000000000000001</v>
      </c>
      <c r="K229">
        <f>SUMIF(Planilha1!A:A, Plan1!D229, Planilha1!B:B)</f>
        <v>78.713969811666672</v>
      </c>
    </row>
    <row r="230" spans="1:11" x14ac:dyDescent="0.25">
      <c r="A230" s="3" t="s">
        <v>19</v>
      </c>
      <c r="B230" s="3">
        <v>6</v>
      </c>
      <c r="C230" s="3" t="s">
        <v>14</v>
      </c>
      <c r="D230" s="4">
        <v>45176</v>
      </c>
      <c r="E230" s="3">
        <v>5</v>
      </c>
      <c r="F230" s="5">
        <f t="shared" ref="F230:F235" si="41">(54.5+48+36.5)/3</f>
        <v>46.333333333333336</v>
      </c>
      <c r="G230" s="3" t="s">
        <v>12</v>
      </c>
      <c r="H230" s="3">
        <v>4.5999999999999996</v>
      </c>
      <c r="I230" s="3">
        <v>3</v>
      </c>
      <c r="J230" s="5">
        <f t="shared" si="35"/>
        <v>1.5333333333333332</v>
      </c>
      <c r="K230">
        <f>SUMIF(Planilha1!A:A, Plan1!D230, Planilha1!B:B)</f>
        <v>66.657536766666666</v>
      </c>
    </row>
    <row r="231" spans="1:11" x14ac:dyDescent="0.25">
      <c r="A231" s="3" t="s">
        <v>19</v>
      </c>
      <c r="B231" s="3">
        <v>6</v>
      </c>
      <c r="C231" s="3" t="s">
        <v>14</v>
      </c>
      <c r="D231" s="4">
        <v>45177</v>
      </c>
      <c r="E231" s="3">
        <v>5</v>
      </c>
      <c r="F231" s="5">
        <f t="shared" si="41"/>
        <v>46.333333333333336</v>
      </c>
      <c r="G231" s="3" t="s">
        <v>12</v>
      </c>
      <c r="H231" s="3">
        <v>4.3</v>
      </c>
      <c r="I231" s="3">
        <v>3</v>
      </c>
      <c r="J231" s="5">
        <f t="shared" si="35"/>
        <v>1.4333333333333333</v>
      </c>
      <c r="K231">
        <f>SUMIF(Planilha1!A:A, Plan1!D231, Planilha1!B:B)</f>
        <v>69.01980846333332</v>
      </c>
    </row>
    <row r="232" spans="1:11" x14ac:dyDescent="0.25">
      <c r="A232" s="3" t="s">
        <v>19</v>
      </c>
      <c r="B232" s="3">
        <v>6</v>
      </c>
      <c r="C232" s="3" t="s">
        <v>14</v>
      </c>
      <c r="D232" s="4">
        <v>45178</v>
      </c>
      <c r="E232" s="3">
        <v>5</v>
      </c>
      <c r="F232" s="5">
        <f t="shared" si="41"/>
        <v>46.333333333333336</v>
      </c>
      <c r="G232" s="3" t="s">
        <v>12</v>
      </c>
      <c r="H232" s="3">
        <v>3.8</v>
      </c>
      <c r="I232" s="3">
        <v>3</v>
      </c>
      <c r="J232" s="5">
        <f t="shared" si="35"/>
        <v>1.2666666666666666</v>
      </c>
      <c r="K232">
        <f>SUMIF(Planilha1!A:A, Plan1!D232, Planilha1!B:B)</f>
        <v>69.240977786666676</v>
      </c>
    </row>
    <row r="233" spans="1:11" x14ac:dyDescent="0.25">
      <c r="A233" s="3" t="s">
        <v>19</v>
      </c>
      <c r="B233" s="3">
        <v>6</v>
      </c>
      <c r="C233" s="3" t="s">
        <v>14</v>
      </c>
      <c r="D233" s="4">
        <v>45175</v>
      </c>
      <c r="E233" s="3">
        <v>5</v>
      </c>
      <c r="F233" s="5">
        <f t="shared" si="41"/>
        <v>46.333333333333336</v>
      </c>
      <c r="G233" s="3" t="s">
        <v>11</v>
      </c>
      <c r="H233" s="3">
        <v>5.3</v>
      </c>
      <c r="I233" s="3">
        <v>3</v>
      </c>
      <c r="J233" s="5">
        <f t="shared" si="35"/>
        <v>1.7666666666666666</v>
      </c>
      <c r="K233">
        <f>SUMIF(Planilha1!A:A, Plan1!D233, Planilha1!B:B)</f>
        <v>65.299134666666689</v>
      </c>
    </row>
    <row r="234" spans="1:11" x14ac:dyDescent="0.25">
      <c r="A234" s="3" t="s">
        <v>19</v>
      </c>
      <c r="B234" s="3">
        <v>6</v>
      </c>
      <c r="C234" s="3" t="s">
        <v>14</v>
      </c>
      <c r="D234" s="4">
        <v>45176</v>
      </c>
      <c r="E234" s="3">
        <v>5</v>
      </c>
      <c r="F234" s="5">
        <f t="shared" si="41"/>
        <v>46.333333333333336</v>
      </c>
      <c r="G234" s="3" t="s">
        <v>11</v>
      </c>
      <c r="H234" s="3">
        <v>4.5</v>
      </c>
      <c r="I234" s="3">
        <v>3</v>
      </c>
      <c r="J234" s="5">
        <f t="shared" si="35"/>
        <v>1.5</v>
      </c>
      <c r="K234">
        <f>SUMIF(Planilha1!A:A, Plan1!D234, Planilha1!B:B)</f>
        <v>66.657536766666666</v>
      </c>
    </row>
    <row r="235" spans="1:11" x14ac:dyDescent="0.25">
      <c r="A235" s="3" t="s">
        <v>19</v>
      </c>
      <c r="B235" s="3">
        <v>6</v>
      </c>
      <c r="C235" s="3" t="s">
        <v>14</v>
      </c>
      <c r="D235" s="4">
        <v>45177</v>
      </c>
      <c r="E235" s="3">
        <v>5</v>
      </c>
      <c r="F235" s="5">
        <f t="shared" si="41"/>
        <v>46.333333333333336</v>
      </c>
      <c r="G235" s="3" t="s">
        <v>11</v>
      </c>
      <c r="H235" s="3">
        <v>4.5</v>
      </c>
      <c r="I235" s="3">
        <v>3</v>
      </c>
      <c r="J235" s="5">
        <f t="shared" si="35"/>
        <v>1.5</v>
      </c>
      <c r="K235">
        <f>SUMIF(Planilha1!A:A, Plan1!D235, Planilha1!B:B)</f>
        <v>69.01980846333332</v>
      </c>
    </row>
    <row r="236" spans="1:11" x14ac:dyDescent="0.25">
      <c r="A236" s="3" t="s">
        <v>20</v>
      </c>
      <c r="B236" s="3">
        <v>8</v>
      </c>
      <c r="C236" s="3" t="s">
        <v>10</v>
      </c>
      <c r="D236" s="4">
        <v>45239</v>
      </c>
      <c r="E236" s="3">
        <v>5</v>
      </c>
      <c r="F236" s="5">
        <f t="shared" ref="F236:F241" si="42">(49.8+52.7)/2</f>
        <v>51.25</v>
      </c>
      <c r="G236" s="3" t="s">
        <v>12</v>
      </c>
      <c r="H236" s="3">
        <v>6</v>
      </c>
      <c r="I236" s="3">
        <v>2</v>
      </c>
      <c r="J236" s="5">
        <f t="shared" si="35"/>
        <v>3</v>
      </c>
      <c r="K236">
        <f>SUMIF(Planilha1!A:A, Plan1!D236, Planilha1!B:B)</f>
        <v>77.893376751666693</v>
      </c>
    </row>
    <row r="237" spans="1:11" x14ac:dyDescent="0.25">
      <c r="A237" s="3" t="s">
        <v>20</v>
      </c>
      <c r="B237" s="3">
        <v>8</v>
      </c>
      <c r="C237" s="3" t="s">
        <v>10</v>
      </c>
      <c r="D237" s="4">
        <v>45240</v>
      </c>
      <c r="E237" s="3">
        <v>5</v>
      </c>
      <c r="F237" s="5">
        <f t="shared" si="42"/>
        <v>51.25</v>
      </c>
      <c r="G237" s="3" t="s">
        <v>12</v>
      </c>
      <c r="H237" s="3">
        <v>5.6</v>
      </c>
      <c r="I237" s="3">
        <v>2</v>
      </c>
      <c r="J237" s="5">
        <f t="shared" si="35"/>
        <v>2.8</v>
      </c>
      <c r="K237">
        <f>SUMIF(Planilha1!A:A, Plan1!D237, Planilha1!B:B)</f>
        <v>78.632634151666664</v>
      </c>
    </row>
    <row r="238" spans="1:11" x14ac:dyDescent="0.25">
      <c r="A238" s="3" t="s">
        <v>20</v>
      </c>
      <c r="B238" s="3">
        <v>8</v>
      </c>
      <c r="C238" s="3" t="s">
        <v>10</v>
      </c>
      <c r="D238" s="4">
        <v>45241</v>
      </c>
      <c r="E238" s="3">
        <v>5</v>
      </c>
      <c r="F238" s="5">
        <f t="shared" si="42"/>
        <v>51.25</v>
      </c>
      <c r="G238" s="3" t="s">
        <v>12</v>
      </c>
      <c r="H238" s="3">
        <v>6.2</v>
      </c>
      <c r="I238" s="3">
        <v>2</v>
      </c>
      <c r="J238" s="5">
        <f t="shared" si="35"/>
        <v>3.1</v>
      </c>
      <c r="K238">
        <f>SUMIF(Planilha1!A:A, Plan1!D238, Planilha1!B:B)</f>
        <v>76.486406233333327</v>
      </c>
    </row>
    <row r="239" spans="1:11" x14ac:dyDescent="0.25">
      <c r="A239" s="3" t="s">
        <v>20</v>
      </c>
      <c r="B239" s="3">
        <v>8</v>
      </c>
      <c r="C239" s="3" t="s">
        <v>10</v>
      </c>
      <c r="D239" s="4">
        <v>45239</v>
      </c>
      <c r="E239" s="3">
        <v>5</v>
      </c>
      <c r="F239" s="5">
        <f t="shared" si="42"/>
        <v>51.25</v>
      </c>
      <c r="G239" s="3" t="s">
        <v>11</v>
      </c>
      <c r="H239" s="3">
        <v>1.8</v>
      </c>
      <c r="I239" s="3">
        <v>2</v>
      </c>
      <c r="J239" s="5">
        <f t="shared" si="35"/>
        <v>0.9</v>
      </c>
      <c r="K239">
        <f>SUMIF(Planilha1!A:A, Plan1!D239, Planilha1!B:B)</f>
        <v>77.893376751666693</v>
      </c>
    </row>
    <row r="240" spans="1:11" x14ac:dyDescent="0.25">
      <c r="A240" s="3" t="s">
        <v>20</v>
      </c>
      <c r="B240" s="3">
        <v>8</v>
      </c>
      <c r="C240" s="3" t="s">
        <v>10</v>
      </c>
      <c r="D240" s="4">
        <v>45240</v>
      </c>
      <c r="E240" s="3">
        <v>5</v>
      </c>
      <c r="F240" s="5">
        <f t="shared" si="42"/>
        <v>51.25</v>
      </c>
      <c r="G240" s="3" t="s">
        <v>11</v>
      </c>
      <c r="H240" s="3">
        <v>1.2</v>
      </c>
      <c r="I240" s="3">
        <v>2</v>
      </c>
      <c r="J240" s="5">
        <f t="shared" si="35"/>
        <v>0.6</v>
      </c>
      <c r="K240">
        <f>SUMIF(Planilha1!A:A, Plan1!D240, Planilha1!B:B)</f>
        <v>78.632634151666664</v>
      </c>
    </row>
    <row r="241" spans="1:11" x14ac:dyDescent="0.25">
      <c r="A241" s="3" t="s">
        <v>20</v>
      </c>
      <c r="B241" s="3">
        <v>8</v>
      </c>
      <c r="C241" s="3" t="s">
        <v>10</v>
      </c>
      <c r="D241" s="4">
        <v>45241</v>
      </c>
      <c r="E241" s="3">
        <v>5</v>
      </c>
      <c r="F241" s="5">
        <f t="shared" si="42"/>
        <v>51.25</v>
      </c>
      <c r="G241" s="3" t="s">
        <v>11</v>
      </c>
      <c r="H241" s="3">
        <v>5.8</v>
      </c>
      <c r="I241" s="3">
        <v>2</v>
      </c>
      <c r="J241" s="5">
        <f t="shared" si="35"/>
        <v>2.9</v>
      </c>
      <c r="K241">
        <f>SUMIF(Planilha1!A:A, Plan1!D241, Planilha1!B:B)</f>
        <v>76.486406233333327</v>
      </c>
    </row>
    <row r="242" spans="1:11" x14ac:dyDescent="0.25">
      <c r="A242" s="3" t="s">
        <v>9</v>
      </c>
      <c r="B242" s="3">
        <v>8</v>
      </c>
      <c r="C242" s="3" t="s">
        <v>10</v>
      </c>
      <c r="D242" s="4">
        <v>45188</v>
      </c>
      <c r="E242" s="3">
        <v>6</v>
      </c>
      <c r="F242" s="5">
        <f t="shared" ref="F242:F247" si="43">(60+52+57)/3</f>
        <v>56.333333333333336</v>
      </c>
      <c r="G242" s="3" t="s">
        <v>11</v>
      </c>
      <c r="H242" s="3">
        <v>1.9</v>
      </c>
      <c r="I242" s="3">
        <v>3</v>
      </c>
      <c r="J242" s="5">
        <f t="shared" si="35"/>
        <v>0.6333333333333333</v>
      </c>
      <c r="K242">
        <f>SUMIF(Planilha1!A:A, Plan1!D242, Planilha1!B:B)</f>
        <v>75.387723886666663</v>
      </c>
    </row>
    <row r="243" spans="1:11" x14ac:dyDescent="0.25">
      <c r="A243" s="3" t="s">
        <v>9</v>
      </c>
      <c r="B243" s="3">
        <v>8</v>
      </c>
      <c r="C243" s="3" t="s">
        <v>10</v>
      </c>
      <c r="D243" s="4">
        <v>45189</v>
      </c>
      <c r="E243" s="3">
        <v>6</v>
      </c>
      <c r="F243" s="5">
        <f t="shared" si="43"/>
        <v>56.333333333333336</v>
      </c>
      <c r="G243" s="3" t="s">
        <v>11</v>
      </c>
      <c r="H243" s="3">
        <v>1.3</v>
      </c>
      <c r="I243" s="3">
        <v>3</v>
      </c>
      <c r="J243" s="5">
        <f t="shared" si="35"/>
        <v>0.43333333333333335</v>
      </c>
      <c r="K243">
        <f>SUMIF(Planilha1!A:A, Plan1!D243, Planilha1!B:B)</f>
        <v>74.161847475000002</v>
      </c>
    </row>
    <row r="244" spans="1:11" x14ac:dyDescent="0.25">
      <c r="A244" s="3" t="s">
        <v>9</v>
      </c>
      <c r="B244" s="3">
        <v>8</v>
      </c>
      <c r="C244" s="3" t="s">
        <v>10</v>
      </c>
      <c r="D244" s="4">
        <v>45190</v>
      </c>
      <c r="E244" s="3">
        <v>6</v>
      </c>
      <c r="F244" s="5">
        <f t="shared" si="43"/>
        <v>56.333333333333336</v>
      </c>
      <c r="G244" s="3" t="s">
        <v>11</v>
      </c>
      <c r="H244" s="3">
        <v>2.1</v>
      </c>
      <c r="I244" s="3">
        <v>3</v>
      </c>
      <c r="J244" s="5">
        <f t="shared" si="35"/>
        <v>0.70000000000000007</v>
      </c>
      <c r="K244">
        <f>SUMIF(Planilha1!A:A, Plan1!D244, Planilha1!B:B)</f>
        <v>74.906525950000002</v>
      </c>
    </row>
    <row r="245" spans="1:11" x14ac:dyDescent="0.25">
      <c r="A245" s="3" t="s">
        <v>9</v>
      </c>
      <c r="B245" s="3">
        <v>8</v>
      </c>
      <c r="C245" s="3" t="s">
        <v>10</v>
      </c>
      <c r="D245" s="4">
        <v>45188</v>
      </c>
      <c r="E245" s="3">
        <v>6</v>
      </c>
      <c r="F245" s="5">
        <f t="shared" si="43"/>
        <v>56.333333333333336</v>
      </c>
      <c r="G245" s="3" t="s">
        <v>12</v>
      </c>
      <c r="H245" s="3">
        <v>3.7</v>
      </c>
      <c r="I245" s="3">
        <v>3</v>
      </c>
      <c r="J245" s="5">
        <f t="shared" si="35"/>
        <v>1.2333333333333334</v>
      </c>
      <c r="K245">
        <f>SUMIF(Planilha1!A:A, Plan1!D245, Planilha1!B:B)</f>
        <v>75.387723886666663</v>
      </c>
    </row>
    <row r="246" spans="1:11" x14ac:dyDescent="0.25">
      <c r="A246" s="3" t="s">
        <v>9</v>
      </c>
      <c r="B246" s="3">
        <v>8</v>
      </c>
      <c r="C246" s="3" t="s">
        <v>10</v>
      </c>
      <c r="D246" s="4">
        <v>45189</v>
      </c>
      <c r="E246" s="3">
        <v>6</v>
      </c>
      <c r="F246" s="5">
        <f t="shared" si="43"/>
        <v>56.333333333333336</v>
      </c>
      <c r="G246" s="3" t="s">
        <v>12</v>
      </c>
      <c r="H246" s="3">
        <v>2.6</v>
      </c>
      <c r="I246" s="3">
        <v>3</v>
      </c>
      <c r="J246" s="5">
        <f t="shared" si="35"/>
        <v>0.8666666666666667</v>
      </c>
      <c r="K246">
        <f>SUMIF(Planilha1!A:A, Plan1!D246, Planilha1!B:B)</f>
        <v>74.161847475000002</v>
      </c>
    </row>
    <row r="247" spans="1:11" x14ac:dyDescent="0.25">
      <c r="A247" s="3" t="s">
        <v>9</v>
      </c>
      <c r="B247" s="3">
        <v>8</v>
      </c>
      <c r="C247" s="3" t="s">
        <v>10</v>
      </c>
      <c r="D247" s="4">
        <v>45190</v>
      </c>
      <c r="E247" s="3">
        <v>6</v>
      </c>
      <c r="F247" s="5">
        <f t="shared" si="43"/>
        <v>56.333333333333336</v>
      </c>
      <c r="G247" s="3" t="s">
        <v>12</v>
      </c>
      <c r="H247" s="3">
        <v>3.2</v>
      </c>
      <c r="I247" s="3">
        <v>3</v>
      </c>
      <c r="J247" s="5">
        <f t="shared" si="35"/>
        <v>1.0666666666666667</v>
      </c>
      <c r="K247">
        <f>SUMIF(Planilha1!A:A, Plan1!D247, Planilha1!B:B)</f>
        <v>74.906525950000002</v>
      </c>
    </row>
    <row r="248" spans="1:11" x14ac:dyDescent="0.25">
      <c r="A248" s="3" t="s">
        <v>13</v>
      </c>
      <c r="B248" s="3">
        <v>5</v>
      </c>
      <c r="C248" s="3" t="s">
        <v>14</v>
      </c>
      <c r="D248" s="4">
        <v>45209</v>
      </c>
      <c r="E248" s="3">
        <v>6</v>
      </c>
      <c r="F248" s="5">
        <f t="shared" ref="F248:F253" si="44">(49.5+41.4+39.5)/3</f>
        <v>43.466666666666669</v>
      </c>
      <c r="G248" s="3" t="s">
        <v>12</v>
      </c>
      <c r="H248" s="3">
        <v>5.8</v>
      </c>
      <c r="I248" s="3">
        <v>3</v>
      </c>
      <c r="J248" s="5">
        <f t="shared" si="35"/>
        <v>1.9333333333333333</v>
      </c>
      <c r="K248">
        <f>SUMIF(Planilha1!A:A, Plan1!D248, Planilha1!B:B)</f>
        <v>67.050978418333344</v>
      </c>
    </row>
    <row r="249" spans="1:11" x14ac:dyDescent="0.25">
      <c r="A249" s="3" t="s">
        <v>13</v>
      </c>
      <c r="B249" s="3">
        <v>5</v>
      </c>
      <c r="C249" s="3" t="s">
        <v>14</v>
      </c>
      <c r="D249" s="4">
        <v>45210</v>
      </c>
      <c r="E249" s="3">
        <v>6</v>
      </c>
      <c r="F249" s="5">
        <f t="shared" si="44"/>
        <v>43.466666666666669</v>
      </c>
      <c r="G249" s="3" t="s">
        <v>12</v>
      </c>
      <c r="H249" s="3">
        <v>6</v>
      </c>
      <c r="I249" s="3">
        <v>3</v>
      </c>
      <c r="J249" s="5">
        <f t="shared" si="35"/>
        <v>2</v>
      </c>
      <c r="K249">
        <f>SUMIF(Planilha1!A:A, Plan1!D249, Planilha1!B:B)</f>
        <v>71.130794111666674</v>
      </c>
    </row>
    <row r="250" spans="1:11" x14ac:dyDescent="0.25">
      <c r="A250" s="3" t="s">
        <v>13</v>
      </c>
      <c r="B250" s="3">
        <v>5</v>
      </c>
      <c r="C250" s="3" t="s">
        <v>14</v>
      </c>
      <c r="D250" s="4">
        <v>45211</v>
      </c>
      <c r="E250" s="3">
        <v>6</v>
      </c>
      <c r="F250" s="5">
        <f t="shared" si="44"/>
        <v>43.466666666666669</v>
      </c>
      <c r="G250" s="3" t="s">
        <v>12</v>
      </c>
      <c r="H250" s="3">
        <v>6.9</v>
      </c>
      <c r="I250" s="3">
        <v>3</v>
      </c>
      <c r="J250" s="5">
        <f t="shared" si="35"/>
        <v>2.3000000000000003</v>
      </c>
      <c r="K250">
        <f>SUMIF(Planilha1!A:A, Plan1!D250, Planilha1!B:B)</f>
        <v>77.651665151666677</v>
      </c>
    </row>
    <row r="251" spans="1:11" x14ac:dyDescent="0.25">
      <c r="A251" s="3" t="s">
        <v>13</v>
      </c>
      <c r="B251" s="3">
        <v>5</v>
      </c>
      <c r="C251" s="3" t="s">
        <v>14</v>
      </c>
      <c r="D251" s="4">
        <v>45210</v>
      </c>
      <c r="E251" s="3">
        <v>6</v>
      </c>
      <c r="F251" s="5">
        <f t="shared" si="44"/>
        <v>43.466666666666669</v>
      </c>
      <c r="G251" s="3" t="s">
        <v>11</v>
      </c>
      <c r="H251" s="3">
        <v>5</v>
      </c>
      <c r="I251" s="3">
        <v>3</v>
      </c>
      <c r="J251" s="5">
        <f t="shared" si="35"/>
        <v>1.6666666666666667</v>
      </c>
      <c r="K251">
        <f>SUMIF(Planilha1!A:A, Plan1!D251, Planilha1!B:B)</f>
        <v>71.130794111666674</v>
      </c>
    </row>
    <row r="252" spans="1:11" x14ac:dyDescent="0.25">
      <c r="A252" s="3" t="s">
        <v>13</v>
      </c>
      <c r="B252" s="3">
        <v>5</v>
      </c>
      <c r="C252" s="3" t="s">
        <v>14</v>
      </c>
      <c r="D252" s="4">
        <v>45212</v>
      </c>
      <c r="E252" s="3">
        <v>6</v>
      </c>
      <c r="F252" s="5">
        <f t="shared" si="44"/>
        <v>43.466666666666669</v>
      </c>
      <c r="G252" s="3" t="s">
        <v>11</v>
      </c>
      <c r="H252" s="3">
        <v>3.6</v>
      </c>
      <c r="I252" s="3">
        <v>3</v>
      </c>
      <c r="J252" s="5">
        <f t="shared" si="35"/>
        <v>1.2</v>
      </c>
      <c r="K252">
        <f>SUMIF(Planilha1!A:A, Plan1!D252, Planilha1!B:B)</f>
        <v>69.030984348333348</v>
      </c>
    </row>
    <row r="253" spans="1:11" x14ac:dyDescent="0.25">
      <c r="A253" s="3" t="s">
        <v>13</v>
      </c>
      <c r="B253" s="3">
        <v>5</v>
      </c>
      <c r="C253" s="3" t="s">
        <v>14</v>
      </c>
      <c r="D253" s="4">
        <v>45214</v>
      </c>
      <c r="E253" s="3">
        <v>6</v>
      </c>
      <c r="F253" s="5">
        <f t="shared" si="44"/>
        <v>43.466666666666669</v>
      </c>
      <c r="G253" s="3" t="s">
        <v>11</v>
      </c>
      <c r="H253" s="3">
        <v>8.8000000000000007</v>
      </c>
      <c r="I253" s="3">
        <v>3</v>
      </c>
      <c r="J253" s="5">
        <f t="shared" si="35"/>
        <v>2.9333333333333336</v>
      </c>
      <c r="K253">
        <f>SUMIF(Planilha1!A:A, Plan1!D253, Planilha1!B:B)</f>
        <v>73.200209285000014</v>
      </c>
    </row>
    <row r="254" spans="1:11" x14ac:dyDescent="0.25">
      <c r="A254" s="3" t="s">
        <v>15</v>
      </c>
      <c r="B254" s="3">
        <v>2</v>
      </c>
      <c r="C254" s="3" t="s">
        <v>14</v>
      </c>
      <c r="D254" s="4">
        <v>45206</v>
      </c>
      <c r="E254" s="3">
        <v>6</v>
      </c>
      <c r="F254" s="5">
        <f>(38+57.4+52.5)/3</f>
        <v>49.300000000000004</v>
      </c>
      <c r="G254" s="3" t="s">
        <v>11</v>
      </c>
      <c r="H254" s="3">
        <v>5.5</v>
      </c>
      <c r="I254" s="3">
        <v>3</v>
      </c>
      <c r="J254" s="5">
        <f t="shared" si="35"/>
        <v>1.8333333333333333</v>
      </c>
      <c r="K254">
        <f>SUMIF(Planilha1!A:A, Plan1!D254, Planilha1!B:B)</f>
        <v>78.713969811666672</v>
      </c>
    </row>
    <row r="255" spans="1:11" x14ac:dyDescent="0.25">
      <c r="A255" s="3" t="s">
        <v>15</v>
      </c>
      <c r="B255" s="3">
        <v>2</v>
      </c>
      <c r="C255" s="3" t="s">
        <v>14</v>
      </c>
      <c r="D255" s="4">
        <v>45203</v>
      </c>
      <c r="E255" s="3">
        <v>6</v>
      </c>
      <c r="F255" s="5">
        <f>(57.4+52.5)/2</f>
        <v>54.95</v>
      </c>
      <c r="G255" s="3" t="s">
        <v>12</v>
      </c>
      <c r="H255" s="3">
        <v>2.5</v>
      </c>
      <c r="I255" s="3">
        <v>2</v>
      </c>
      <c r="J255" s="5">
        <f t="shared" si="35"/>
        <v>1.25</v>
      </c>
      <c r="K255">
        <f>SUMIF(Planilha1!A:A, Plan1!D255, Planilha1!B:B)</f>
        <v>77.480711834999994</v>
      </c>
    </row>
    <row r="256" spans="1:11" x14ac:dyDescent="0.25">
      <c r="A256" s="3" t="s">
        <v>15</v>
      </c>
      <c r="B256" s="3">
        <v>2</v>
      </c>
      <c r="C256" s="3" t="s">
        <v>14</v>
      </c>
      <c r="D256" s="4">
        <v>45204</v>
      </c>
      <c r="E256" s="3">
        <v>6</v>
      </c>
      <c r="F256" s="5">
        <f>(38+57.4+52.5)/3</f>
        <v>49.300000000000004</v>
      </c>
      <c r="G256" s="3" t="s">
        <v>11</v>
      </c>
      <c r="H256" s="3">
        <v>5.6</v>
      </c>
      <c r="I256" s="3">
        <v>3</v>
      </c>
      <c r="J256" s="5">
        <f t="shared" si="35"/>
        <v>1.8666666666666665</v>
      </c>
      <c r="K256">
        <f>SUMIF(Planilha1!A:A, Plan1!D256, Planilha1!B:B)</f>
        <v>79.130188060000009</v>
      </c>
    </row>
    <row r="257" spans="1:11" x14ac:dyDescent="0.25">
      <c r="A257" s="3" t="s">
        <v>15</v>
      </c>
      <c r="B257" s="3">
        <v>2</v>
      </c>
      <c r="C257" s="3" t="s">
        <v>14</v>
      </c>
      <c r="D257" s="4">
        <v>45205</v>
      </c>
      <c r="E257" s="3">
        <v>6</v>
      </c>
      <c r="F257" s="5">
        <f>(38+57.4+52.5)/3</f>
        <v>49.300000000000004</v>
      </c>
      <c r="G257" s="3" t="s">
        <v>12</v>
      </c>
      <c r="H257" s="3">
        <v>5.4</v>
      </c>
      <c r="I257" s="3">
        <v>3</v>
      </c>
      <c r="J257" s="5">
        <f t="shared" si="35"/>
        <v>1.8</v>
      </c>
      <c r="K257">
        <f>SUMIF(Planilha1!A:A, Plan1!D257, Planilha1!B:B)</f>
        <v>79.063527735000022</v>
      </c>
    </row>
    <row r="258" spans="1:11" x14ac:dyDescent="0.25">
      <c r="A258" s="3" t="s">
        <v>15</v>
      </c>
      <c r="B258" s="3">
        <v>2</v>
      </c>
      <c r="C258" s="3" t="s">
        <v>14</v>
      </c>
      <c r="D258" s="4">
        <v>45206</v>
      </c>
      <c r="E258" s="3">
        <v>6</v>
      </c>
      <c r="F258" s="5">
        <f>(38+57.4+52.5)/3</f>
        <v>49.300000000000004</v>
      </c>
      <c r="G258" s="3" t="s">
        <v>12</v>
      </c>
      <c r="H258" s="3">
        <v>7.7</v>
      </c>
      <c r="I258" s="3">
        <v>3</v>
      </c>
      <c r="J258" s="5">
        <f t="shared" ref="J258:J321" si="45">H258/I258</f>
        <v>2.5666666666666669</v>
      </c>
      <c r="K258">
        <f>SUMIF(Planilha1!A:A, Plan1!D258, Planilha1!B:B)</f>
        <v>78.713969811666672</v>
      </c>
    </row>
    <row r="259" spans="1:11" x14ac:dyDescent="0.25">
      <c r="A259" s="3" t="s">
        <v>15</v>
      </c>
      <c r="B259" s="3">
        <v>2</v>
      </c>
      <c r="C259" s="3" t="s">
        <v>14</v>
      </c>
      <c r="D259" s="4">
        <v>45205</v>
      </c>
      <c r="E259" s="3">
        <v>6</v>
      </c>
      <c r="F259" s="5">
        <f>(57.4+52.5)/2</f>
        <v>54.95</v>
      </c>
      <c r="G259" s="3" t="s">
        <v>11</v>
      </c>
      <c r="H259" s="3">
        <v>3.8</v>
      </c>
      <c r="I259" s="3">
        <v>2</v>
      </c>
      <c r="J259" s="5">
        <f t="shared" si="45"/>
        <v>1.9</v>
      </c>
      <c r="K259">
        <f>SUMIF(Planilha1!A:A, Plan1!D259, Planilha1!B:B)</f>
        <v>79.063527735000022</v>
      </c>
    </row>
    <row r="260" spans="1:11" x14ac:dyDescent="0.25">
      <c r="A260" s="3" t="s">
        <v>16</v>
      </c>
      <c r="B260">
        <v>6</v>
      </c>
      <c r="C260" s="3" t="s">
        <v>10</v>
      </c>
      <c r="D260" s="4">
        <v>45279</v>
      </c>
      <c r="E260" s="3">
        <v>6</v>
      </c>
      <c r="F260" s="5">
        <f t="shared" ref="F260:F265" si="46">(58+62)/2</f>
        <v>60</v>
      </c>
      <c r="G260" s="3" t="s">
        <v>12</v>
      </c>
      <c r="H260" s="3">
        <v>4.5999999999999996</v>
      </c>
      <c r="I260" s="3">
        <v>2</v>
      </c>
      <c r="J260" s="5">
        <f t="shared" si="45"/>
        <v>2.2999999999999998</v>
      </c>
      <c r="K260">
        <f>SUMIF(Planilha1!A:A, Plan1!D260, Planilha1!B:B)</f>
        <v>76.205826361666681</v>
      </c>
    </row>
    <row r="261" spans="1:11" x14ac:dyDescent="0.25">
      <c r="A261" s="3" t="s">
        <v>16</v>
      </c>
      <c r="B261">
        <v>6</v>
      </c>
      <c r="C261" s="3" t="s">
        <v>10</v>
      </c>
      <c r="D261" s="4">
        <v>45280</v>
      </c>
      <c r="E261" s="3">
        <v>6</v>
      </c>
      <c r="F261" s="5">
        <f t="shared" si="46"/>
        <v>60</v>
      </c>
      <c r="G261" s="3" t="s">
        <v>12</v>
      </c>
      <c r="H261" s="3">
        <v>4</v>
      </c>
      <c r="I261" s="3">
        <v>2</v>
      </c>
      <c r="J261" s="5">
        <f t="shared" si="45"/>
        <v>2</v>
      </c>
      <c r="K261">
        <f>SUMIF(Planilha1!A:A, Plan1!D261, Planilha1!B:B)</f>
        <v>74.348931293333337</v>
      </c>
    </row>
    <row r="262" spans="1:11" x14ac:dyDescent="0.25">
      <c r="A262" s="3" t="s">
        <v>16</v>
      </c>
      <c r="B262">
        <v>6</v>
      </c>
      <c r="C262" s="3" t="s">
        <v>10</v>
      </c>
      <c r="D262" s="4">
        <v>45284</v>
      </c>
      <c r="E262" s="3">
        <v>6</v>
      </c>
      <c r="F262" s="5">
        <f t="shared" si="46"/>
        <v>60</v>
      </c>
      <c r="G262" s="3" t="s">
        <v>12</v>
      </c>
      <c r="H262" s="3">
        <v>3.8</v>
      </c>
      <c r="I262" s="3">
        <v>2</v>
      </c>
      <c r="J262" s="5">
        <f t="shared" si="45"/>
        <v>1.9</v>
      </c>
      <c r="K262">
        <f>SUMIF(Planilha1!A:A, Plan1!D262, Planilha1!B:B)</f>
        <v>76.265998955000001</v>
      </c>
    </row>
    <row r="263" spans="1:11" x14ac:dyDescent="0.25">
      <c r="A263" s="3" t="s">
        <v>16</v>
      </c>
      <c r="B263">
        <v>6</v>
      </c>
      <c r="C263" s="3" t="s">
        <v>10</v>
      </c>
      <c r="D263" s="4">
        <v>45281</v>
      </c>
      <c r="E263" s="3">
        <v>6</v>
      </c>
      <c r="F263" s="5">
        <f t="shared" si="46"/>
        <v>60</v>
      </c>
      <c r="G263" s="3" t="s">
        <v>11</v>
      </c>
      <c r="H263" s="3">
        <v>3.8</v>
      </c>
      <c r="I263" s="3">
        <v>2</v>
      </c>
      <c r="J263" s="5">
        <f t="shared" si="45"/>
        <v>1.9</v>
      </c>
      <c r="K263">
        <f>SUMIF(Planilha1!A:A, Plan1!D263, Planilha1!B:B)</f>
        <v>75.202425228333354</v>
      </c>
    </row>
    <row r="264" spans="1:11" x14ac:dyDescent="0.25">
      <c r="A264" s="3" t="s">
        <v>16</v>
      </c>
      <c r="B264">
        <v>6</v>
      </c>
      <c r="C264" s="3" t="s">
        <v>10</v>
      </c>
      <c r="D264" s="4">
        <v>45279</v>
      </c>
      <c r="E264" s="3">
        <v>6</v>
      </c>
      <c r="F264" s="5">
        <f t="shared" si="46"/>
        <v>60</v>
      </c>
      <c r="G264" s="3" t="s">
        <v>11</v>
      </c>
      <c r="H264" s="3">
        <v>2</v>
      </c>
      <c r="I264" s="3">
        <v>2</v>
      </c>
      <c r="J264" s="5">
        <f t="shared" si="45"/>
        <v>1</v>
      </c>
      <c r="K264">
        <f>SUMIF(Planilha1!A:A, Plan1!D264, Planilha1!B:B)</f>
        <v>76.205826361666681</v>
      </c>
    </row>
    <row r="265" spans="1:11" x14ac:dyDescent="0.25">
      <c r="A265" s="3" t="s">
        <v>16</v>
      </c>
      <c r="B265">
        <v>6</v>
      </c>
      <c r="C265" s="3" t="s">
        <v>10</v>
      </c>
      <c r="D265" s="4">
        <v>45284</v>
      </c>
      <c r="E265" s="3">
        <v>6</v>
      </c>
      <c r="F265" s="5">
        <f t="shared" si="46"/>
        <v>60</v>
      </c>
      <c r="G265" s="3" t="s">
        <v>11</v>
      </c>
      <c r="H265" s="3">
        <v>2.2000000000000002</v>
      </c>
      <c r="I265" s="3">
        <v>2</v>
      </c>
      <c r="J265" s="5">
        <f t="shared" si="45"/>
        <v>1.1000000000000001</v>
      </c>
      <c r="K265">
        <f>SUMIF(Planilha1!A:A, Plan1!D265, Planilha1!B:B)</f>
        <v>76.265998955000001</v>
      </c>
    </row>
    <row r="266" spans="1:11" x14ac:dyDescent="0.25">
      <c r="A266" s="3" t="s">
        <v>17</v>
      </c>
      <c r="B266">
        <v>3</v>
      </c>
      <c r="C266" s="3" t="s">
        <v>14</v>
      </c>
      <c r="D266" s="4">
        <v>45279</v>
      </c>
      <c r="E266" s="3">
        <v>6</v>
      </c>
      <c r="F266" s="5">
        <f t="shared" ref="F266:F271" si="47">(40.6+45.7+31.4)/3</f>
        <v>39.233333333333341</v>
      </c>
      <c r="G266" s="3" t="s">
        <v>12</v>
      </c>
      <c r="H266" s="3">
        <v>3.7</v>
      </c>
      <c r="I266" s="3">
        <v>2</v>
      </c>
      <c r="J266" s="5">
        <f t="shared" si="45"/>
        <v>1.85</v>
      </c>
      <c r="K266">
        <f>SUMIF(Planilha1!A:A, Plan1!D266, Planilha1!B:B)</f>
        <v>76.205826361666681</v>
      </c>
    </row>
    <row r="267" spans="1:11" x14ac:dyDescent="0.25">
      <c r="A267" s="3" t="s">
        <v>17</v>
      </c>
      <c r="B267">
        <v>3</v>
      </c>
      <c r="C267" s="3" t="s">
        <v>14</v>
      </c>
      <c r="D267" s="4">
        <v>45280</v>
      </c>
      <c r="E267" s="3">
        <v>6</v>
      </c>
      <c r="F267" s="5">
        <f t="shared" si="47"/>
        <v>39.233333333333341</v>
      </c>
      <c r="G267" s="3" t="s">
        <v>12</v>
      </c>
      <c r="H267" s="3">
        <v>2.5</v>
      </c>
      <c r="I267" s="3">
        <v>2</v>
      </c>
      <c r="J267" s="5">
        <f t="shared" si="45"/>
        <v>1.25</v>
      </c>
      <c r="K267">
        <f>SUMIF(Planilha1!A:A, Plan1!D267, Planilha1!B:B)</f>
        <v>74.348931293333337</v>
      </c>
    </row>
    <row r="268" spans="1:11" x14ac:dyDescent="0.25">
      <c r="A268" s="3" t="s">
        <v>17</v>
      </c>
      <c r="B268">
        <v>3</v>
      </c>
      <c r="C268" s="3" t="s">
        <v>14</v>
      </c>
      <c r="D268" s="4">
        <v>45283</v>
      </c>
      <c r="E268" s="3">
        <v>6</v>
      </c>
      <c r="F268" s="5">
        <f t="shared" si="47"/>
        <v>39.233333333333341</v>
      </c>
      <c r="G268" s="3" t="s">
        <v>12</v>
      </c>
      <c r="H268" s="3">
        <v>4.4000000000000004</v>
      </c>
      <c r="I268" s="3">
        <v>3</v>
      </c>
      <c r="J268" s="5">
        <f t="shared" si="45"/>
        <v>1.4666666666666668</v>
      </c>
      <c r="K268">
        <f>SUMIF(Planilha1!A:A, Plan1!D268, Planilha1!B:B)</f>
        <v>76.200432591666655</v>
      </c>
    </row>
    <row r="269" spans="1:11" x14ac:dyDescent="0.25">
      <c r="A269" s="3" t="s">
        <v>17</v>
      </c>
      <c r="B269">
        <v>3</v>
      </c>
      <c r="C269" s="3" t="s">
        <v>14</v>
      </c>
      <c r="D269" s="4">
        <v>45279</v>
      </c>
      <c r="E269" s="3">
        <v>6</v>
      </c>
      <c r="F269" s="5">
        <f t="shared" si="47"/>
        <v>39.233333333333341</v>
      </c>
      <c r="G269" s="3" t="s">
        <v>11</v>
      </c>
      <c r="H269" s="3">
        <v>3.6</v>
      </c>
      <c r="I269" s="3">
        <v>2</v>
      </c>
      <c r="J269" s="5">
        <f t="shared" si="45"/>
        <v>1.8</v>
      </c>
      <c r="K269">
        <f>SUMIF(Planilha1!A:A, Plan1!D269, Planilha1!B:B)</f>
        <v>76.205826361666681</v>
      </c>
    </row>
    <row r="270" spans="1:11" x14ac:dyDescent="0.25">
      <c r="A270" s="3" t="s">
        <v>17</v>
      </c>
      <c r="B270">
        <v>3</v>
      </c>
      <c r="C270" s="3" t="s">
        <v>14</v>
      </c>
      <c r="D270" s="4">
        <v>45284</v>
      </c>
      <c r="E270" s="3">
        <v>6</v>
      </c>
      <c r="F270" s="5">
        <f t="shared" si="47"/>
        <v>39.233333333333341</v>
      </c>
      <c r="G270" s="3" t="s">
        <v>11</v>
      </c>
      <c r="H270" s="3">
        <v>4</v>
      </c>
      <c r="I270" s="3">
        <v>3</v>
      </c>
      <c r="J270" s="5">
        <f t="shared" si="45"/>
        <v>1.3333333333333333</v>
      </c>
      <c r="K270">
        <f>SUMIF(Planilha1!A:A, Plan1!D270, Planilha1!B:B)</f>
        <v>76.265998955000001</v>
      </c>
    </row>
    <row r="271" spans="1:11" x14ac:dyDescent="0.25">
      <c r="A271" s="3" t="s">
        <v>17</v>
      </c>
      <c r="B271">
        <v>3</v>
      </c>
      <c r="C271" s="3" t="s">
        <v>14</v>
      </c>
      <c r="D271" s="4">
        <v>45284</v>
      </c>
      <c r="E271" s="3">
        <v>6</v>
      </c>
      <c r="F271" s="5">
        <f t="shared" si="47"/>
        <v>39.233333333333341</v>
      </c>
      <c r="G271" s="3" t="s">
        <v>11</v>
      </c>
      <c r="H271" s="3">
        <v>3.8</v>
      </c>
      <c r="I271" s="3">
        <v>3</v>
      </c>
      <c r="J271" s="5">
        <f t="shared" si="45"/>
        <v>1.2666666666666666</v>
      </c>
      <c r="K271">
        <f>SUMIF(Planilha1!A:A, Plan1!D271, Planilha1!B:B)</f>
        <v>76.265998955000001</v>
      </c>
    </row>
    <row r="272" spans="1:11" x14ac:dyDescent="0.25">
      <c r="A272" s="3" t="s">
        <v>18</v>
      </c>
      <c r="B272" s="3">
        <v>8</v>
      </c>
      <c r="C272" s="3" t="s">
        <v>10</v>
      </c>
      <c r="D272" s="4">
        <v>45210</v>
      </c>
      <c r="E272" s="3">
        <v>6</v>
      </c>
      <c r="F272" s="5">
        <f t="shared" ref="F272:F277" si="48">(36+36.5+37)/3</f>
        <v>36.5</v>
      </c>
      <c r="G272" s="3" t="s">
        <v>12</v>
      </c>
      <c r="H272" s="3">
        <v>6</v>
      </c>
      <c r="I272" s="3">
        <v>3</v>
      </c>
      <c r="J272" s="5">
        <f t="shared" si="45"/>
        <v>2</v>
      </c>
      <c r="K272">
        <f>SUMIF(Planilha1!A:A, Plan1!D272, Planilha1!B:B)</f>
        <v>71.130794111666674</v>
      </c>
    </row>
    <row r="273" spans="1:11" x14ac:dyDescent="0.25">
      <c r="A273" s="3" t="s">
        <v>18</v>
      </c>
      <c r="B273" s="3">
        <v>8</v>
      </c>
      <c r="C273" s="3" t="s">
        <v>10</v>
      </c>
      <c r="D273" s="4">
        <v>45211</v>
      </c>
      <c r="E273" s="3">
        <v>6</v>
      </c>
      <c r="F273" s="5">
        <f t="shared" si="48"/>
        <v>36.5</v>
      </c>
      <c r="G273" s="3" t="s">
        <v>12</v>
      </c>
      <c r="H273" s="3">
        <v>4.5</v>
      </c>
      <c r="I273" s="3">
        <v>3</v>
      </c>
      <c r="J273" s="5">
        <f t="shared" si="45"/>
        <v>1.5</v>
      </c>
      <c r="K273">
        <f>SUMIF(Planilha1!A:A, Plan1!D273, Planilha1!B:B)</f>
        <v>77.651665151666677</v>
      </c>
    </row>
    <row r="274" spans="1:11" x14ac:dyDescent="0.25">
      <c r="A274" s="3" t="s">
        <v>18</v>
      </c>
      <c r="B274" s="3">
        <v>8</v>
      </c>
      <c r="C274" s="3" t="s">
        <v>10</v>
      </c>
      <c r="D274" s="4">
        <v>45212</v>
      </c>
      <c r="E274" s="3">
        <v>6</v>
      </c>
      <c r="F274" s="5">
        <f t="shared" si="48"/>
        <v>36.5</v>
      </c>
      <c r="G274" s="3" t="s">
        <v>12</v>
      </c>
      <c r="H274" s="3">
        <v>4.3</v>
      </c>
      <c r="I274" s="3">
        <v>3</v>
      </c>
      <c r="J274" s="5">
        <f t="shared" si="45"/>
        <v>1.4333333333333333</v>
      </c>
      <c r="K274">
        <f>SUMIF(Planilha1!A:A, Plan1!D274, Planilha1!B:B)</f>
        <v>69.030984348333348</v>
      </c>
    </row>
    <row r="275" spans="1:11" x14ac:dyDescent="0.25">
      <c r="A275" s="3" t="s">
        <v>18</v>
      </c>
      <c r="B275" s="3">
        <v>8</v>
      </c>
      <c r="C275" s="3" t="s">
        <v>10</v>
      </c>
      <c r="D275" s="4">
        <v>45210</v>
      </c>
      <c r="E275" s="3">
        <v>6</v>
      </c>
      <c r="F275" s="5">
        <f t="shared" si="48"/>
        <v>36.5</v>
      </c>
      <c r="G275" s="3" t="s">
        <v>11</v>
      </c>
      <c r="H275" s="3">
        <v>0.8</v>
      </c>
      <c r="I275" s="3">
        <v>3</v>
      </c>
      <c r="J275" s="5">
        <f t="shared" si="45"/>
        <v>0.26666666666666666</v>
      </c>
      <c r="K275">
        <f>SUMIF(Planilha1!A:A, Plan1!D275, Planilha1!B:B)</f>
        <v>71.130794111666674</v>
      </c>
    </row>
    <row r="276" spans="1:11" x14ac:dyDescent="0.25">
      <c r="A276" s="3" t="s">
        <v>18</v>
      </c>
      <c r="B276" s="3">
        <v>8</v>
      </c>
      <c r="C276" s="3" t="s">
        <v>10</v>
      </c>
      <c r="D276" s="4">
        <v>45211</v>
      </c>
      <c r="E276" s="3">
        <v>6</v>
      </c>
      <c r="F276" s="5">
        <f t="shared" si="48"/>
        <v>36.5</v>
      </c>
      <c r="G276" s="3" t="s">
        <v>11</v>
      </c>
      <c r="H276" s="3">
        <v>1.7</v>
      </c>
      <c r="I276" s="3">
        <v>3</v>
      </c>
      <c r="J276" s="5">
        <f t="shared" si="45"/>
        <v>0.56666666666666665</v>
      </c>
      <c r="K276">
        <f>SUMIF(Planilha1!A:A, Plan1!D276, Planilha1!B:B)</f>
        <v>77.651665151666677</v>
      </c>
    </row>
    <row r="277" spans="1:11" x14ac:dyDescent="0.25">
      <c r="A277" s="3" t="s">
        <v>18</v>
      </c>
      <c r="B277" s="3">
        <v>8</v>
      </c>
      <c r="C277" s="3" t="s">
        <v>10</v>
      </c>
      <c r="D277" s="4">
        <v>45212</v>
      </c>
      <c r="E277" s="3">
        <v>6</v>
      </c>
      <c r="F277" s="5">
        <f t="shared" si="48"/>
        <v>36.5</v>
      </c>
      <c r="G277" s="3" t="s">
        <v>11</v>
      </c>
      <c r="H277" s="3">
        <v>1.9</v>
      </c>
      <c r="I277" s="3">
        <v>3</v>
      </c>
      <c r="J277" s="5">
        <f t="shared" si="45"/>
        <v>0.6333333333333333</v>
      </c>
      <c r="K277">
        <f>SUMIF(Planilha1!A:A, Plan1!D277, Planilha1!B:B)</f>
        <v>69.030984348333348</v>
      </c>
    </row>
    <row r="278" spans="1:11" x14ac:dyDescent="0.25">
      <c r="A278" s="3" t="s">
        <v>19</v>
      </c>
      <c r="B278" s="3">
        <v>7</v>
      </c>
      <c r="C278" s="3" t="s">
        <v>14</v>
      </c>
      <c r="D278" s="4">
        <v>45181</v>
      </c>
      <c r="E278" s="3">
        <v>6</v>
      </c>
      <c r="F278" s="5">
        <f t="shared" ref="F278:F283" si="49">(58.6+52.4+42.5)/3</f>
        <v>51.166666666666664</v>
      </c>
      <c r="G278" s="3" t="s">
        <v>12</v>
      </c>
      <c r="H278" s="3">
        <v>9.4</v>
      </c>
      <c r="I278" s="3">
        <v>3</v>
      </c>
      <c r="J278" s="5">
        <f t="shared" si="45"/>
        <v>3.1333333333333333</v>
      </c>
      <c r="K278">
        <f>SUMIF(Planilha1!A:A, Plan1!D278, Planilha1!B:B)</f>
        <v>70.033606378333332</v>
      </c>
    </row>
    <row r="279" spans="1:11" x14ac:dyDescent="0.25">
      <c r="A279" s="3" t="s">
        <v>19</v>
      </c>
      <c r="B279" s="3">
        <v>7</v>
      </c>
      <c r="C279" s="3" t="s">
        <v>14</v>
      </c>
      <c r="D279" s="4">
        <v>45182</v>
      </c>
      <c r="E279" s="3">
        <v>6</v>
      </c>
      <c r="F279" s="5">
        <f t="shared" si="49"/>
        <v>51.166666666666664</v>
      </c>
      <c r="G279" s="3" t="s">
        <v>12</v>
      </c>
      <c r="H279" s="3">
        <v>4.5999999999999996</v>
      </c>
      <c r="I279" s="3">
        <v>3</v>
      </c>
      <c r="J279" s="5">
        <f t="shared" si="45"/>
        <v>1.5333333333333332</v>
      </c>
      <c r="K279">
        <f>SUMIF(Planilha1!A:A, Plan1!D279, Planilha1!B:B)</f>
        <v>72.452966235000005</v>
      </c>
    </row>
    <row r="280" spans="1:11" x14ac:dyDescent="0.25">
      <c r="A280" s="3" t="s">
        <v>19</v>
      </c>
      <c r="B280" s="3">
        <v>7</v>
      </c>
      <c r="C280" s="3" t="s">
        <v>14</v>
      </c>
      <c r="D280" s="4">
        <v>45183</v>
      </c>
      <c r="E280" s="3">
        <v>6</v>
      </c>
      <c r="F280" s="5">
        <f t="shared" si="49"/>
        <v>51.166666666666664</v>
      </c>
      <c r="G280" s="3" t="s">
        <v>12</v>
      </c>
      <c r="H280" s="3">
        <v>9.4</v>
      </c>
      <c r="I280" s="3">
        <v>3</v>
      </c>
      <c r="J280" s="5">
        <f t="shared" si="45"/>
        <v>3.1333333333333333</v>
      </c>
      <c r="K280">
        <f>SUMIF(Planilha1!A:A, Plan1!D280, Planilha1!B:B)</f>
        <v>66.366236204999993</v>
      </c>
    </row>
    <row r="281" spans="1:11" x14ac:dyDescent="0.25">
      <c r="A281" s="3" t="s">
        <v>19</v>
      </c>
      <c r="B281" s="3">
        <v>7</v>
      </c>
      <c r="C281" s="3" t="s">
        <v>14</v>
      </c>
      <c r="D281" s="4">
        <v>45181</v>
      </c>
      <c r="E281" s="3">
        <v>6</v>
      </c>
      <c r="F281" s="5">
        <f t="shared" si="49"/>
        <v>51.166666666666664</v>
      </c>
      <c r="G281" s="3" t="s">
        <v>11</v>
      </c>
      <c r="H281" s="3">
        <v>4.5999999999999996</v>
      </c>
      <c r="I281" s="3">
        <v>3</v>
      </c>
      <c r="J281" s="5">
        <f t="shared" si="45"/>
        <v>1.5333333333333332</v>
      </c>
      <c r="K281">
        <f>SUMIF(Planilha1!A:A, Plan1!D281, Planilha1!B:B)</f>
        <v>70.033606378333332</v>
      </c>
    </row>
    <row r="282" spans="1:11" x14ac:dyDescent="0.25">
      <c r="A282" s="3" t="s">
        <v>19</v>
      </c>
      <c r="B282" s="3">
        <v>7</v>
      </c>
      <c r="C282" s="3" t="s">
        <v>14</v>
      </c>
      <c r="D282" s="4">
        <v>45182</v>
      </c>
      <c r="E282" s="3">
        <v>6</v>
      </c>
      <c r="F282" s="5">
        <f t="shared" si="49"/>
        <v>51.166666666666664</v>
      </c>
      <c r="G282" s="3" t="s">
        <v>11</v>
      </c>
      <c r="H282" s="3">
        <v>3.4</v>
      </c>
      <c r="I282" s="3">
        <v>3</v>
      </c>
      <c r="J282" s="5">
        <f t="shared" si="45"/>
        <v>1.1333333333333333</v>
      </c>
      <c r="K282">
        <f>SUMIF(Planilha1!A:A, Plan1!D282, Planilha1!B:B)</f>
        <v>72.452966235000005</v>
      </c>
    </row>
    <row r="283" spans="1:11" x14ac:dyDescent="0.25">
      <c r="A283" s="3" t="s">
        <v>19</v>
      </c>
      <c r="B283" s="3">
        <v>7</v>
      </c>
      <c r="C283" s="3" t="s">
        <v>14</v>
      </c>
      <c r="D283" s="4">
        <v>45184</v>
      </c>
      <c r="E283" s="3">
        <v>6</v>
      </c>
      <c r="F283" s="5">
        <f t="shared" si="49"/>
        <v>51.166666666666664</v>
      </c>
      <c r="G283" s="3" t="s">
        <v>11</v>
      </c>
      <c r="H283" s="3">
        <v>4.0999999999999996</v>
      </c>
      <c r="I283" s="3">
        <v>3</v>
      </c>
      <c r="J283" s="5">
        <f t="shared" si="45"/>
        <v>1.3666666666666665</v>
      </c>
      <c r="K283">
        <f>SUMIF(Planilha1!A:A, Plan1!D283, Planilha1!B:B)</f>
        <v>59.238323723333338</v>
      </c>
    </row>
    <row r="284" spans="1:11" x14ac:dyDescent="0.25">
      <c r="A284" s="3" t="s">
        <v>20</v>
      </c>
      <c r="B284" s="3">
        <v>1</v>
      </c>
      <c r="C284" s="3" t="s">
        <v>10</v>
      </c>
      <c r="D284" s="4">
        <v>45247</v>
      </c>
      <c r="E284" s="3">
        <v>6</v>
      </c>
      <c r="F284" s="5">
        <f t="shared" ref="F284:F289" si="50">(54+55.5)/2</f>
        <v>54.75</v>
      </c>
      <c r="G284" s="3" t="s">
        <v>12</v>
      </c>
      <c r="H284" s="3">
        <v>3.9</v>
      </c>
      <c r="I284" s="3">
        <v>2</v>
      </c>
      <c r="J284" s="5">
        <f t="shared" si="45"/>
        <v>1.95</v>
      </c>
      <c r="K284">
        <f>SUMIF(Planilha1!A:A, Plan1!D284, Planilha1!B:B)</f>
        <v>81.019686676666666</v>
      </c>
    </row>
    <row r="285" spans="1:11" x14ac:dyDescent="0.25">
      <c r="A285" s="3" t="s">
        <v>20</v>
      </c>
      <c r="B285" s="3">
        <v>1</v>
      </c>
      <c r="C285" s="3" t="s">
        <v>10</v>
      </c>
      <c r="D285" s="4">
        <v>45248</v>
      </c>
      <c r="E285" s="3">
        <v>6</v>
      </c>
      <c r="F285" s="5">
        <f t="shared" si="50"/>
        <v>54.75</v>
      </c>
      <c r="G285" s="3" t="s">
        <v>12</v>
      </c>
      <c r="H285" s="3">
        <v>2.4</v>
      </c>
      <c r="I285" s="3">
        <v>2</v>
      </c>
      <c r="J285" s="5">
        <f t="shared" si="45"/>
        <v>1.2</v>
      </c>
      <c r="K285">
        <f>SUMIF(Planilha1!A:A, Plan1!D285, Planilha1!B:B)</f>
        <v>80.880729481666663</v>
      </c>
    </row>
    <row r="286" spans="1:11" x14ac:dyDescent="0.25">
      <c r="A286" s="3" t="s">
        <v>20</v>
      </c>
      <c r="B286" s="3">
        <v>1</v>
      </c>
      <c r="C286" s="3" t="s">
        <v>10</v>
      </c>
      <c r="D286" s="4">
        <v>45246</v>
      </c>
      <c r="E286" s="3">
        <v>6</v>
      </c>
      <c r="F286" s="5">
        <f t="shared" si="50"/>
        <v>54.75</v>
      </c>
      <c r="G286" s="3" t="s">
        <v>12</v>
      </c>
      <c r="H286" s="3">
        <v>3.1</v>
      </c>
      <c r="I286" s="3">
        <v>2</v>
      </c>
      <c r="J286" s="5">
        <f t="shared" si="45"/>
        <v>1.55</v>
      </c>
      <c r="K286">
        <f>SUMIF(Planilha1!A:A, Plan1!D286, Planilha1!B:B)</f>
        <v>79.508426616666682</v>
      </c>
    </row>
    <row r="287" spans="1:11" x14ac:dyDescent="0.25">
      <c r="A287" s="3" t="s">
        <v>20</v>
      </c>
      <c r="B287" s="3">
        <v>1</v>
      </c>
      <c r="C287" s="3" t="s">
        <v>10</v>
      </c>
      <c r="D287" s="4">
        <v>45245</v>
      </c>
      <c r="E287" s="3">
        <v>6</v>
      </c>
      <c r="F287" s="5">
        <f t="shared" si="50"/>
        <v>54.75</v>
      </c>
      <c r="G287" s="3" t="s">
        <v>11</v>
      </c>
      <c r="H287" s="3">
        <v>1.7</v>
      </c>
      <c r="I287" s="3">
        <v>2</v>
      </c>
      <c r="J287" s="5">
        <f t="shared" si="45"/>
        <v>0.85</v>
      </c>
      <c r="K287">
        <f>SUMIF(Planilha1!A:A, Plan1!D287, Planilha1!B:B)</f>
        <v>79.519030721666653</v>
      </c>
    </row>
    <row r="288" spans="1:11" x14ac:dyDescent="0.25">
      <c r="A288" s="3" t="s">
        <v>20</v>
      </c>
      <c r="B288" s="3">
        <v>1</v>
      </c>
      <c r="C288" s="3" t="s">
        <v>10</v>
      </c>
      <c r="D288" s="4">
        <v>45247</v>
      </c>
      <c r="E288" s="3">
        <v>6</v>
      </c>
      <c r="F288" s="5">
        <f t="shared" si="50"/>
        <v>54.75</v>
      </c>
      <c r="G288" s="3" t="s">
        <v>11</v>
      </c>
      <c r="H288" s="3">
        <v>1.8</v>
      </c>
      <c r="I288" s="3">
        <v>2</v>
      </c>
      <c r="J288" s="5">
        <f t="shared" si="45"/>
        <v>0.9</v>
      </c>
      <c r="K288">
        <f>SUMIF(Planilha1!A:A, Plan1!D288, Planilha1!B:B)</f>
        <v>81.019686676666666</v>
      </c>
    </row>
    <row r="289" spans="1:11" x14ac:dyDescent="0.25">
      <c r="A289" s="3" t="s">
        <v>20</v>
      </c>
      <c r="B289" s="3">
        <v>1</v>
      </c>
      <c r="C289" s="3" t="s">
        <v>10</v>
      </c>
      <c r="D289" s="4">
        <v>45248</v>
      </c>
      <c r="E289" s="3">
        <v>6</v>
      </c>
      <c r="F289" s="5">
        <f t="shared" si="50"/>
        <v>54.75</v>
      </c>
      <c r="G289" s="3" t="s">
        <v>11</v>
      </c>
      <c r="H289" s="3">
        <v>0.7</v>
      </c>
      <c r="I289" s="3">
        <v>2</v>
      </c>
      <c r="J289" s="5">
        <f t="shared" si="45"/>
        <v>0.35</v>
      </c>
      <c r="K289">
        <f>SUMIF(Planilha1!A:A, Plan1!D289, Planilha1!B:B)</f>
        <v>80.880729481666663</v>
      </c>
    </row>
    <row r="290" spans="1:11" x14ac:dyDescent="0.25">
      <c r="A290" s="3" t="s">
        <v>9</v>
      </c>
      <c r="B290" s="3">
        <v>4</v>
      </c>
      <c r="C290" s="3" t="s">
        <v>10</v>
      </c>
      <c r="D290" s="4">
        <v>45195</v>
      </c>
      <c r="E290" s="3">
        <v>7</v>
      </c>
      <c r="F290" s="5">
        <f t="shared" ref="F290:F295" si="51">(61+57+59)/3</f>
        <v>59</v>
      </c>
      <c r="G290" s="3" t="s">
        <v>11</v>
      </c>
      <c r="H290" s="3">
        <v>1.7</v>
      </c>
      <c r="I290" s="3">
        <v>3</v>
      </c>
      <c r="J290" s="5">
        <f t="shared" si="45"/>
        <v>0.56666666666666665</v>
      </c>
      <c r="K290">
        <f>SUMIF(Planilha1!A:A, Plan1!D290, Planilha1!B:B)</f>
        <v>79.226508705000001</v>
      </c>
    </row>
    <row r="291" spans="1:11" x14ac:dyDescent="0.25">
      <c r="A291" s="3" t="s">
        <v>9</v>
      </c>
      <c r="B291" s="3">
        <v>4</v>
      </c>
      <c r="C291" s="3" t="s">
        <v>10</v>
      </c>
      <c r="D291" s="4">
        <v>45196</v>
      </c>
      <c r="E291" s="3">
        <v>7</v>
      </c>
      <c r="F291" s="5">
        <f t="shared" si="51"/>
        <v>59</v>
      </c>
      <c r="G291" s="3" t="s">
        <v>11</v>
      </c>
      <c r="H291" s="3">
        <v>1.3</v>
      </c>
      <c r="I291" s="3">
        <v>3</v>
      </c>
      <c r="J291" s="5">
        <f t="shared" si="45"/>
        <v>0.43333333333333335</v>
      </c>
      <c r="K291">
        <f>SUMIF(Planilha1!A:A, Plan1!D291, Planilha1!B:B)</f>
        <v>80.442775738333339</v>
      </c>
    </row>
    <row r="292" spans="1:11" x14ac:dyDescent="0.25">
      <c r="A292" s="3" t="s">
        <v>9</v>
      </c>
      <c r="B292" s="3">
        <v>4</v>
      </c>
      <c r="C292" s="3" t="s">
        <v>10</v>
      </c>
      <c r="D292" s="4">
        <v>45198</v>
      </c>
      <c r="E292" s="3">
        <v>7</v>
      </c>
      <c r="F292" s="5">
        <f t="shared" si="51"/>
        <v>59</v>
      </c>
      <c r="G292" s="3" t="s">
        <v>11</v>
      </c>
      <c r="H292" s="3">
        <v>2.2000000000000002</v>
      </c>
      <c r="I292" s="3">
        <v>3</v>
      </c>
      <c r="J292" s="5">
        <f t="shared" si="45"/>
        <v>0.73333333333333339</v>
      </c>
      <c r="K292">
        <f>SUMIF(Planilha1!A:A, Plan1!D292, Planilha1!B:B)</f>
        <v>67.82726283833334</v>
      </c>
    </row>
    <row r="293" spans="1:11" x14ac:dyDescent="0.25">
      <c r="A293" s="3" t="s">
        <v>9</v>
      </c>
      <c r="B293" s="3">
        <v>4</v>
      </c>
      <c r="C293" s="3" t="s">
        <v>10</v>
      </c>
      <c r="D293" s="4">
        <v>45196</v>
      </c>
      <c r="E293" s="3">
        <v>7</v>
      </c>
      <c r="F293" s="5">
        <f t="shared" si="51"/>
        <v>59</v>
      </c>
      <c r="G293" s="3" t="s">
        <v>12</v>
      </c>
      <c r="H293" s="3">
        <v>3.5</v>
      </c>
      <c r="I293" s="3">
        <v>3</v>
      </c>
      <c r="J293" s="5">
        <f t="shared" si="45"/>
        <v>1.1666666666666667</v>
      </c>
      <c r="K293">
        <f>SUMIF(Planilha1!A:A, Plan1!D293, Planilha1!B:B)</f>
        <v>80.442775738333339</v>
      </c>
    </row>
    <row r="294" spans="1:11" x14ac:dyDescent="0.25">
      <c r="A294" s="3" t="s">
        <v>9</v>
      </c>
      <c r="B294" s="3">
        <v>4</v>
      </c>
      <c r="C294" s="3" t="s">
        <v>10</v>
      </c>
      <c r="D294" s="4">
        <v>45198</v>
      </c>
      <c r="E294" s="3">
        <v>7</v>
      </c>
      <c r="F294" s="5">
        <f t="shared" si="51"/>
        <v>59</v>
      </c>
      <c r="G294" s="3" t="s">
        <v>12</v>
      </c>
      <c r="H294" s="3">
        <v>3.7</v>
      </c>
      <c r="I294" s="3">
        <v>3</v>
      </c>
      <c r="J294" s="5">
        <f t="shared" si="45"/>
        <v>1.2333333333333334</v>
      </c>
      <c r="K294">
        <f>SUMIF(Planilha1!A:A, Plan1!D294, Planilha1!B:B)</f>
        <v>67.82726283833334</v>
      </c>
    </row>
    <row r="295" spans="1:11" x14ac:dyDescent="0.25">
      <c r="A295" s="3" t="s">
        <v>9</v>
      </c>
      <c r="B295" s="3">
        <v>4</v>
      </c>
      <c r="C295" s="3" t="s">
        <v>10</v>
      </c>
      <c r="D295" s="4">
        <v>45199</v>
      </c>
      <c r="E295" s="3">
        <v>7</v>
      </c>
      <c r="F295" s="5">
        <f t="shared" si="51"/>
        <v>59</v>
      </c>
      <c r="G295" s="3" t="s">
        <v>12</v>
      </c>
      <c r="H295" s="3">
        <v>0.6</v>
      </c>
      <c r="I295" s="3">
        <v>3</v>
      </c>
      <c r="J295" s="5">
        <f t="shared" si="45"/>
        <v>0.19999999999999998</v>
      </c>
      <c r="K295">
        <f>SUMIF(Planilha1!A:A, Plan1!D295, Planilha1!B:B)</f>
        <v>74.104036316666679</v>
      </c>
    </row>
    <row r="296" spans="1:11" x14ac:dyDescent="0.25">
      <c r="A296" s="3" t="s">
        <v>13</v>
      </c>
      <c r="B296" s="3">
        <v>3</v>
      </c>
      <c r="C296" s="3" t="s">
        <v>14</v>
      </c>
      <c r="D296" s="4">
        <v>45215</v>
      </c>
      <c r="E296" s="3">
        <v>7</v>
      </c>
      <c r="F296" s="5">
        <f t="shared" ref="F296:F301" si="52">(52.1+47.5+45.4)/3</f>
        <v>48.333333333333336</v>
      </c>
      <c r="G296" s="3" t="s">
        <v>12</v>
      </c>
      <c r="H296" s="3">
        <v>11.4</v>
      </c>
      <c r="I296" s="3">
        <v>3</v>
      </c>
      <c r="J296" s="5">
        <f t="shared" si="45"/>
        <v>3.8000000000000003</v>
      </c>
      <c r="K296">
        <f>SUMIF(Planilha1!A:A, Plan1!D296, Planilha1!B:B)</f>
        <v>76.78406279166667</v>
      </c>
    </row>
    <row r="297" spans="1:11" x14ac:dyDescent="0.25">
      <c r="A297" s="3" t="s">
        <v>13</v>
      </c>
      <c r="B297" s="3">
        <v>3</v>
      </c>
      <c r="C297" s="3" t="s">
        <v>14</v>
      </c>
      <c r="D297" s="4">
        <v>45216</v>
      </c>
      <c r="E297" s="3">
        <v>7</v>
      </c>
      <c r="F297" s="5">
        <f t="shared" si="52"/>
        <v>48.333333333333336</v>
      </c>
      <c r="G297" s="3" t="s">
        <v>12</v>
      </c>
      <c r="H297" s="3">
        <v>8.1999999999999993</v>
      </c>
      <c r="I297" s="3">
        <v>3</v>
      </c>
      <c r="J297" s="5">
        <f t="shared" si="45"/>
        <v>2.7333333333333329</v>
      </c>
      <c r="K297">
        <f>SUMIF(Planilha1!A:A, Plan1!D297, Planilha1!B:B)</f>
        <v>75.552725431666673</v>
      </c>
    </row>
    <row r="298" spans="1:11" x14ac:dyDescent="0.25">
      <c r="A298" s="3" t="s">
        <v>13</v>
      </c>
      <c r="B298" s="3">
        <v>3</v>
      </c>
      <c r="C298" s="3" t="s">
        <v>14</v>
      </c>
      <c r="D298" s="4">
        <v>45220</v>
      </c>
      <c r="E298" s="3">
        <v>7</v>
      </c>
      <c r="F298" s="5">
        <f t="shared" si="52"/>
        <v>48.333333333333336</v>
      </c>
      <c r="G298" s="3" t="s">
        <v>12</v>
      </c>
      <c r="H298" s="3">
        <v>9.1999999999999993</v>
      </c>
      <c r="I298" s="3">
        <v>3</v>
      </c>
      <c r="J298" s="5">
        <f t="shared" si="45"/>
        <v>3.0666666666666664</v>
      </c>
      <c r="K298">
        <f>SUMIF(Planilha1!A:A, Plan1!D298, Planilha1!B:B)</f>
        <v>69.746530490000012</v>
      </c>
    </row>
    <row r="299" spans="1:11" x14ac:dyDescent="0.25">
      <c r="A299" s="3" t="s">
        <v>13</v>
      </c>
      <c r="B299" s="3">
        <v>3</v>
      </c>
      <c r="C299" s="3" t="s">
        <v>14</v>
      </c>
      <c r="D299" s="4">
        <v>45215</v>
      </c>
      <c r="E299" s="3">
        <v>7</v>
      </c>
      <c r="F299" s="5">
        <f t="shared" si="52"/>
        <v>48.333333333333336</v>
      </c>
      <c r="G299" s="3" t="s">
        <v>11</v>
      </c>
      <c r="H299" s="3">
        <v>5.2</v>
      </c>
      <c r="I299" s="3">
        <v>3</v>
      </c>
      <c r="J299" s="5">
        <f t="shared" si="45"/>
        <v>1.7333333333333334</v>
      </c>
      <c r="K299">
        <f>SUMIF(Planilha1!A:A, Plan1!D299, Planilha1!B:B)</f>
        <v>76.78406279166667</v>
      </c>
    </row>
    <row r="300" spans="1:11" x14ac:dyDescent="0.25">
      <c r="A300" s="3" t="s">
        <v>13</v>
      </c>
      <c r="B300" s="3">
        <v>3</v>
      </c>
      <c r="C300" s="3" t="s">
        <v>14</v>
      </c>
      <c r="D300" s="4">
        <v>45216</v>
      </c>
      <c r="E300" s="3">
        <v>7</v>
      </c>
      <c r="F300" s="5">
        <f t="shared" si="52"/>
        <v>48.333333333333336</v>
      </c>
      <c r="G300" s="3" t="s">
        <v>11</v>
      </c>
      <c r="H300" s="3">
        <v>5.9</v>
      </c>
      <c r="I300" s="3">
        <v>3</v>
      </c>
      <c r="J300" s="5">
        <f t="shared" si="45"/>
        <v>1.9666666666666668</v>
      </c>
      <c r="K300">
        <f>SUMIF(Planilha1!A:A, Plan1!D300, Planilha1!B:B)</f>
        <v>75.552725431666673</v>
      </c>
    </row>
    <row r="301" spans="1:11" x14ac:dyDescent="0.25">
      <c r="A301" s="3" t="s">
        <v>13</v>
      </c>
      <c r="B301" s="3">
        <v>3</v>
      </c>
      <c r="C301" s="3" t="s">
        <v>14</v>
      </c>
      <c r="D301" s="4">
        <v>45221</v>
      </c>
      <c r="E301" s="3">
        <v>7</v>
      </c>
      <c r="F301" s="5">
        <f t="shared" si="52"/>
        <v>48.333333333333336</v>
      </c>
      <c r="G301" s="3" t="s">
        <v>11</v>
      </c>
      <c r="H301" s="3">
        <v>10.4</v>
      </c>
      <c r="I301" s="3">
        <v>3</v>
      </c>
      <c r="J301" s="5">
        <f t="shared" si="45"/>
        <v>3.4666666666666668</v>
      </c>
      <c r="K301">
        <f>SUMIF(Planilha1!A:A, Plan1!D301, Planilha1!B:B)</f>
        <v>71.127397125000002</v>
      </c>
    </row>
    <row r="302" spans="1:11" x14ac:dyDescent="0.25">
      <c r="A302" s="3" t="s">
        <v>15</v>
      </c>
      <c r="B302" s="3">
        <v>7</v>
      </c>
      <c r="C302" s="3" t="s">
        <v>14</v>
      </c>
      <c r="D302" s="4">
        <v>45211</v>
      </c>
      <c r="E302" s="3">
        <v>7</v>
      </c>
      <c r="F302" s="5">
        <f t="shared" ref="F302:F307" si="53">(44+62.7+57.9)/3</f>
        <v>54.866666666666667</v>
      </c>
      <c r="G302" s="3" t="s">
        <v>12</v>
      </c>
      <c r="H302" s="3">
        <v>6.6</v>
      </c>
      <c r="I302" s="3">
        <v>3</v>
      </c>
      <c r="J302" s="5">
        <f t="shared" si="45"/>
        <v>2.1999999999999997</v>
      </c>
      <c r="K302">
        <f>SUMIF(Planilha1!A:A, Plan1!D302, Planilha1!B:B)</f>
        <v>77.651665151666677</v>
      </c>
    </row>
    <row r="303" spans="1:11" x14ac:dyDescent="0.25">
      <c r="A303" s="3" t="s">
        <v>15</v>
      </c>
      <c r="B303" s="3">
        <v>7</v>
      </c>
      <c r="C303" s="3" t="s">
        <v>14</v>
      </c>
      <c r="D303" s="4">
        <v>45210</v>
      </c>
      <c r="E303" s="3">
        <v>7</v>
      </c>
      <c r="F303" s="5">
        <f t="shared" si="53"/>
        <v>54.866666666666667</v>
      </c>
      <c r="G303" s="3" t="s">
        <v>12</v>
      </c>
      <c r="H303" s="3">
        <v>6.9</v>
      </c>
      <c r="I303" s="3">
        <v>3</v>
      </c>
      <c r="J303" s="5">
        <f t="shared" si="45"/>
        <v>2.3000000000000003</v>
      </c>
      <c r="K303">
        <f>SUMIF(Planilha1!A:A, Plan1!D303, Planilha1!B:B)</f>
        <v>71.130794111666674</v>
      </c>
    </row>
    <row r="304" spans="1:11" x14ac:dyDescent="0.25">
      <c r="A304" s="3" t="s">
        <v>15</v>
      </c>
      <c r="B304" s="3">
        <v>7</v>
      </c>
      <c r="C304" s="3" t="s">
        <v>14</v>
      </c>
      <c r="D304" s="4">
        <v>45211</v>
      </c>
      <c r="E304" s="3">
        <v>7</v>
      </c>
      <c r="F304" s="5">
        <f t="shared" si="53"/>
        <v>54.866666666666667</v>
      </c>
      <c r="G304" s="3" t="s">
        <v>11</v>
      </c>
      <c r="H304" s="3">
        <v>5.5</v>
      </c>
      <c r="I304" s="3">
        <v>3</v>
      </c>
      <c r="J304" s="5">
        <f t="shared" si="45"/>
        <v>1.8333333333333333</v>
      </c>
      <c r="K304">
        <f>SUMIF(Planilha1!A:A, Plan1!D304, Planilha1!B:B)</f>
        <v>77.651665151666677</v>
      </c>
    </row>
    <row r="305" spans="1:11" x14ac:dyDescent="0.25">
      <c r="A305" s="3" t="s">
        <v>15</v>
      </c>
      <c r="B305" s="3">
        <v>7</v>
      </c>
      <c r="C305" s="3" t="s">
        <v>14</v>
      </c>
      <c r="D305" s="4">
        <v>45212</v>
      </c>
      <c r="E305" s="3">
        <v>7</v>
      </c>
      <c r="F305" s="5">
        <f t="shared" si="53"/>
        <v>54.866666666666667</v>
      </c>
      <c r="G305" s="3" t="s">
        <v>12</v>
      </c>
      <c r="H305" s="3">
        <v>7.1</v>
      </c>
      <c r="I305" s="3">
        <v>3</v>
      </c>
      <c r="J305" s="5">
        <f t="shared" si="45"/>
        <v>2.3666666666666667</v>
      </c>
      <c r="K305">
        <f>SUMIF(Planilha1!A:A, Plan1!D305, Planilha1!B:B)</f>
        <v>69.030984348333348</v>
      </c>
    </row>
    <row r="306" spans="1:11" x14ac:dyDescent="0.25">
      <c r="A306" s="3" t="s">
        <v>15</v>
      </c>
      <c r="B306" s="3">
        <v>7</v>
      </c>
      <c r="C306" s="3" t="s">
        <v>14</v>
      </c>
      <c r="D306" s="4">
        <v>45212</v>
      </c>
      <c r="E306" s="3">
        <v>7</v>
      </c>
      <c r="F306" s="5">
        <f t="shared" si="53"/>
        <v>54.866666666666667</v>
      </c>
      <c r="G306" s="3" t="s">
        <v>11</v>
      </c>
      <c r="H306" s="3">
        <v>4.3</v>
      </c>
      <c r="I306" s="3">
        <v>3</v>
      </c>
      <c r="J306" s="5">
        <f t="shared" si="45"/>
        <v>1.4333333333333333</v>
      </c>
      <c r="K306">
        <f>SUMIF(Planilha1!A:A, Plan1!D306, Planilha1!B:B)</f>
        <v>69.030984348333348</v>
      </c>
    </row>
    <row r="307" spans="1:11" x14ac:dyDescent="0.25">
      <c r="A307" s="3" t="s">
        <v>15</v>
      </c>
      <c r="B307" s="3">
        <v>7</v>
      </c>
      <c r="C307" s="3" t="s">
        <v>14</v>
      </c>
      <c r="D307" s="4">
        <v>45214</v>
      </c>
      <c r="E307" s="3">
        <v>7</v>
      </c>
      <c r="F307" s="5">
        <f t="shared" si="53"/>
        <v>54.866666666666667</v>
      </c>
      <c r="G307" s="3" t="s">
        <v>11</v>
      </c>
      <c r="H307" s="3">
        <v>6.4</v>
      </c>
      <c r="I307" s="3">
        <v>3</v>
      </c>
      <c r="J307" s="5">
        <f t="shared" si="45"/>
        <v>2.1333333333333333</v>
      </c>
      <c r="K307">
        <f>SUMIF(Planilha1!A:A, Plan1!D307, Planilha1!B:B)</f>
        <v>73.200209285000014</v>
      </c>
    </row>
    <row r="308" spans="1:11" x14ac:dyDescent="0.25">
      <c r="A308" s="3" t="s">
        <v>16</v>
      </c>
      <c r="B308">
        <v>4</v>
      </c>
      <c r="C308" s="3" t="s">
        <v>10</v>
      </c>
      <c r="D308" s="4">
        <v>45287</v>
      </c>
      <c r="E308" s="3">
        <v>7</v>
      </c>
      <c r="F308" s="5">
        <f t="shared" ref="F308:F313" si="54">(61.9+65)/2</f>
        <v>63.45</v>
      </c>
      <c r="G308" s="3" t="s">
        <v>12</v>
      </c>
      <c r="H308" s="3">
        <v>5.4</v>
      </c>
      <c r="I308" s="3">
        <v>2</v>
      </c>
      <c r="J308" s="5">
        <f t="shared" si="45"/>
        <v>2.7</v>
      </c>
      <c r="K308">
        <f>SUMIF(Planilha1!A:A, Plan1!D308, Planilha1!B:B)</f>
        <v>73.346517901666672</v>
      </c>
    </row>
    <row r="309" spans="1:11" x14ac:dyDescent="0.25">
      <c r="A309" s="3" t="s">
        <v>16</v>
      </c>
      <c r="B309">
        <v>4</v>
      </c>
      <c r="C309" s="3" t="s">
        <v>10</v>
      </c>
      <c r="D309" s="4">
        <v>45286</v>
      </c>
      <c r="E309" s="3">
        <v>7</v>
      </c>
      <c r="F309" s="5">
        <f t="shared" si="54"/>
        <v>63.45</v>
      </c>
      <c r="G309" s="3" t="s">
        <v>12</v>
      </c>
      <c r="H309" s="3">
        <v>6</v>
      </c>
      <c r="I309" s="3">
        <v>2</v>
      </c>
      <c r="J309" s="5">
        <f t="shared" si="45"/>
        <v>3</v>
      </c>
      <c r="K309">
        <f>SUMIF(Planilha1!A:A, Plan1!D309, Planilha1!B:B)</f>
        <v>78.441645576666673</v>
      </c>
    </row>
    <row r="310" spans="1:11" x14ac:dyDescent="0.25">
      <c r="A310" s="3" t="s">
        <v>16</v>
      </c>
      <c r="B310">
        <v>4</v>
      </c>
      <c r="C310" s="3" t="s">
        <v>10</v>
      </c>
      <c r="D310" s="4">
        <v>45285</v>
      </c>
      <c r="E310" s="3">
        <v>7</v>
      </c>
      <c r="F310" s="5">
        <f t="shared" si="54"/>
        <v>63.45</v>
      </c>
      <c r="G310" s="3" t="s">
        <v>12</v>
      </c>
      <c r="H310" s="3">
        <v>5.8</v>
      </c>
      <c r="I310" s="3">
        <v>2</v>
      </c>
      <c r="J310" s="5">
        <f t="shared" si="45"/>
        <v>2.9</v>
      </c>
      <c r="K310">
        <f>SUMIF(Planilha1!A:A, Plan1!D310, Planilha1!B:B)</f>
        <v>77.515244221666677</v>
      </c>
    </row>
    <row r="311" spans="1:11" x14ac:dyDescent="0.25">
      <c r="A311" s="3" t="s">
        <v>16</v>
      </c>
      <c r="B311">
        <v>4</v>
      </c>
      <c r="C311" s="3" t="s">
        <v>10</v>
      </c>
      <c r="D311" s="4">
        <v>45285</v>
      </c>
      <c r="E311" s="3">
        <v>7</v>
      </c>
      <c r="F311" s="5">
        <f t="shared" si="54"/>
        <v>63.45</v>
      </c>
      <c r="G311" s="3" t="s">
        <v>11</v>
      </c>
      <c r="H311" s="3">
        <v>3.8</v>
      </c>
      <c r="I311" s="3">
        <v>2</v>
      </c>
      <c r="J311" s="5">
        <f t="shared" si="45"/>
        <v>1.9</v>
      </c>
      <c r="K311">
        <f>SUMIF(Planilha1!A:A, Plan1!D311, Planilha1!B:B)</f>
        <v>77.515244221666677</v>
      </c>
    </row>
    <row r="312" spans="1:11" x14ac:dyDescent="0.25">
      <c r="A312" s="3" t="s">
        <v>16</v>
      </c>
      <c r="B312">
        <v>4</v>
      </c>
      <c r="C312" s="3" t="s">
        <v>10</v>
      </c>
      <c r="D312" s="4">
        <v>45286</v>
      </c>
      <c r="E312" s="3">
        <v>7</v>
      </c>
      <c r="F312" s="5">
        <f t="shared" si="54"/>
        <v>63.45</v>
      </c>
      <c r="G312" s="3" t="s">
        <v>11</v>
      </c>
      <c r="H312" s="3">
        <v>4.5</v>
      </c>
      <c r="I312" s="3">
        <v>2</v>
      </c>
      <c r="J312" s="5">
        <f t="shared" si="45"/>
        <v>2.25</v>
      </c>
      <c r="K312">
        <f>SUMIF(Planilha1!A:A, Plan1!D312, Planilha1!B:B)</f>
        <v>78.441645576666673</v>
      </c>
    </row>
    <row r="313" spans="1:11" x14ac:dyDescent="0.25">
      <c r="A313" s="3" t="s">
        <v>16</v>
      </c>
      <c r="B313">
        <v>4</v>
      </c>
      <c r="C313" s="3" t="s">
        <v>10</v>
      </c>
      <c r="D313" s="4">
        <v>45287</v>
      </c>
      <c r="E313" s="3">
        <v>7</v>
      </c>
      <c r="F313" s="5">
        <f t="shared" si="54"/>
        <v>63.45</v>
      </c>
      <c r="G313" s="3" t="s">
        <v>11</v>
      </c>
      <c r="H313" s="3">
        <v>4.0999999999999996</v>
      </c>
      <c r="I313" s="3">
        <v>2</v>
      </c>
      <c r="J313" s="5">
        <f t="shared" si="45"/>
        <v>2.0499999999999998</v>
      </c>
      <c r="K313">
        <f>SUMIF(Planilha1!A:A, Plan1!D313, Planilha1!B:B)</f>
        <v>73.346517901666672</v>
      </c>
    </row>
    <row r="314" spans="1:11" x14ac:dyDescent="0.25">
      <c r="A314" s="3" t="s">
        <v>17</v>
      </c>
      <c r="B314">
        <v>3</v>
      </c>
      <c r="C314" s="3" t="s">
        <v>14</v>
      </c>
      <c r="D314" s="4">
        <v>45286</v>
      </c>
      <c r="E314" s="3">
        <v>7</v>
      </c>
      <c r="F314" s="5">
        <f t="shared" ref="F314:F319" si="55">(48+53.3+37)/3</f>
        <v>46.1</v>
      </c>
      <c r="G314" s="3" t="s">
        <v>12</v>
      </c>
      <c r="H314" s="3">
        <v>4</v>
      </c>
      <c r="I314" s="3">
        <v>3</v>
      </c>
      <c r="J314" s="5">
        <f t="shared" si="45"/>
        <v>1.3333333333333333</v>
      </c>
      <c r="K314">
        <f>SUMIF(Planilha1!A:A, Plan1!D314, Planilha1!B:B)</f>
        <v>78.441645576666673</v>
      </c>
    </row>
    <row r="315" spans="1:11" x14ac:dyDescent="0.25">
      <c r="A315" s="3" t="s">
        <v>17</v>
      </c>
      <c r="B315">
        <v>3</v>
      </c>
      <c r="C315" s="3" t="s">
        <v>14</v>
      </c>
      <c r="D315" s="4">
        <v>45287</v>
      </c>
      <c r="E315" s="3">
        <v>7</v>
      </c>
      <c r="F315" s="5">
        <f t="shared" si="55"/>
        <v>46.1</v>
      </c>
      <c r="G315" s="3" t="s">
        <v>12</v>
      </c>
      <c r="H315" s="3">
        <v>1.6</v>
      </c>
      <c r="I315" s="3">
        <v>3</v>
      </c>
      <c r="J315" s="5">
        <f t="shared" si="45"/>
        <v>0.53333333333333333</v>
      </c>
      <c r="K315">
        <f>SUMIF(Planilha1!A:A, Plan1!D315, Planilha1!B:B)</f>
        <v>73.346517901666672</v>
      </c>
    </row>
    <row r="316" spans="1:11" x14ac:dyDescent="0.25">
      <c r="A316" s="3" t="s">
        <v>17</v>
      </c>
      <c r="B316">
        <v>3</v>
      </c>
      <c r="C316" s="3" t="s">
        <v>14</v>
      </c>
      <c r="D316" s="4">
        <v>45288</v>
      </c>
      <c r="E316" s="3">
        <v>7</v>
      </c>
      <c r="F316" s="5">
        <f t="shared" si="55"/>
        <v>46.1</v>
      </c>
      <c r="G316" s="3" t="s">
        <v>12</v>
      </c>
      <c r="H316" s="3">
        <v>2.2000000000000002</v>
      </c>
      <c r="I316" s="3">
        <v>3</v>
      </c>
      <c r="J316" s="5">
        <f t="shared" si="45"/>
        <v>0.73333333333333339</v>
      </c>
      <c r="K316">
        <f>SUMIF(Planilha1!A:A, Plan1!D316, Planilha1!B:B)</f>
        <v>74.065547310000014</v>
      </c>
    </row>
    <row r="317" spans="1:11" x14ac:dyDescent="0.25">
      <c r="A317" s="3" t="s">
        <v>17</v>
      </c>
      <c r="B317">
        <v>3</v>
      </c>
      <c r="C317" s="3" t="s">
        <v>14</v>
      </c>
      <c r="D317" s="4">
        <v>45286</v>
      </c>
      <c r="E317" s="3">
        <v>7</v>
      </c>
      <c r="F317" s="5">
        <f t="shared" si="55"/>
        <v>46.1</v>
      </c>
      <c r="G317" s="3" t="s">
        <v>11</v>
      </c>
      <c r="H317" s="3">
        <v>3.1</v>
      </c>
      <c r="I317" s="3">
        <v>3</v>
      </c>
      <c r="J317" s="5">
        <f t="shared" si="45"/>
        <v>1.0333333333333334</v>
      </c>
      <c r="K317">
        <f>SUMIF(Planilha1!A:A, Plan1!D317, Planilha1!B:B)</f>
        <v>78.441645576666673</v>
      </c>
    </row>
    <row r="318" spans="1:11" x14ac:dyDescent="0.25">
      <c r="A318" s="3" t="s">
        <v>17</v>
      </c>
      <c r="B318">
        <v>3</v>
      </c>
      <c r="C318" s="3" t="s">
        <v>14</v>
      </c>
      <c r="D318" s="4">
        <v>45288</v>
      </c>
      <c r="E318" s="3">
        <v>7</v>
      </c>
      <c r="F318" s="5">
        <f t="shared" si="55"/>
        <v>46.1</v>
      </c>
      <c r="G318" s="3" t="s">
        <v>11</v>
      </c>
      <c r="H318" s="3">
        <v>2.7</v>
      </c>
      <c r="I318" s="3">
        <v>3</v>
      </c>
      <c r="J318" s="5">
        <f t="shared" si="45"/>
        <v>0.9</v>
      </c>
      <c r="K318">
        <f>SUMIF(Planilha1!A:A, Plan1!D318, Planilha1!B:B)</f>
        <v>74.065547310000014</v>
      </c>
    </row>
    <row r="319" spans="1:11" x14ac:dyDescent="0.25">
      <c r="A319" s="3" t="s">
        <v>17</v>
      </c>
      <c r="B319">
        <v>3</v>
      </c>
      <c r="C319" s="3" t="s">
        <v>14</v>
      </c>
      <c r="D319" s="4">
        <v>45287</v>
      </c>
      <c r="E319" s="3">
        <v>7</v>
      </c>
      <c r="F319" s="5">
        <f t="shared" si="55"/>
        <v>46.1</v>
      </c>
      <c r="G319" s="3" t="s">
        <v>11</v>
      </c>
      <c r="H319" s="3">
        <v>2.5</v>
      </c>
      <c r="I319" s="3">
        <v>3</v>
      </c>
      <c r="J319" s="5">
        <f t="shared" si="45"/>
        <v>0.83333333333333337</v>
      </c>
      <c r="K319">
        <f>SUMIF(Planilha1!A:A, Plan1!D319, Planilha1!B:B)</f>
        <v>73.346517901666672</v>
      </c>
    </row>
    <row r="320" spans="1:11" x14ac:dyDescent="0.25">
      <c r="A320" s="3" t="s">
        <v>18</v>
      </c>
      <c r="B320" s="3">
        <v>8</v>
      </c>
      <c r="C320" s="3" t="s">
        <v>10</v>
      </c>
      <c r="D320" s="4">
        <v>45216</v>
      </c>
      <c r="E320" s="3">
        <v>7</v>
      </c>
      <c r="F320" s="5">
        <f t="shared" ref="F320:F325" si="56">(39.6+40.5+40.5)/3</f>
        <v>40.199999999999996</v>
      </c>
      <c r="G320" s="3" t="s">
        <v>11</v>
      </c>
      <c r="H320" s="3">
        <v>3.2</v>
      </c>
      <c r="I320" s="3">
        <v>3</v>
      </c>
      <c r="J320" s="5">
        <f t="shared" si="45"/>
        <v>1.0666666666666667</v>
      </c>
      <c r="K320">
        <f>SUMIF(Planilha1!A:A, Plan1!D320, Planilha1!B:B)</f>
        <v>75.552725431666673</v>
      </c>
    </row>
    <row r="321" spans="1:11" x14ac:dyDescent="0.25">
      <c r="A321" s="3" t="s">
        <v>18</v>
      </c>
      <c r="B321" s="3">
        <v>8</v>
      </c>
      <c r="C321" s="3" t="s">
        <v>10</v>
      </c>
      <c r="D321" s="4">
        <v>45217</v>
      </c>
      <c r="E321" s="3">
        <v>7</v>
      </c>
      <c r="F321" s="5">
        <f t="shared" si="56"/>
        <v>40.199999999999996</v>
      </c>
      <c r="G321" s="3" t="s">
        <v>12</v>
      </c>
      <c r="H321" s="3">
        <v>2.5</v>
      </c>
      <c r="I321" s="3">
        <v>3</v>
      </c>
      <c r="J321" s="5">
        <f t="shared" si="45"/>
        <v>0.83333333333333337</v>
      </c>
      <c r="K321">
        <f>SUMIF(Planilha1!A:A, Plan1!D321, Planilha1!B:B)</f>
        <v>73.403364656666668</v>
      </c>
    </row>
    <row r="322" spans="1:11" x14ac:dyDescent="0.25">
      <c r="A322" s="3" t="s">
        <v>18</v>
      </c>
      <c r="B322" s="3">
        <v>8</v>
      </c>
      <c r="C322" s="3" t="s">
        <v>10</v>
      </c>
      <c r="D322" s="4">
        <v>45219</v>
      </c>
      <c r="E322" s="3">
        <v>7</v>
      </c>
      <c r="F322" s="5">
        <f t="shared" si="56"/>
        <v>40.199999999999996</v>
      </c>
      <c r="G322" s="3" t="s">
        <v>12</v>
      </c>
      <c r="H322" s="3">
        <v>1.9</v>
      </c>
      <c r="I322" s="3">
        <v>3</v>
      </c>
      <c r="J322" s="5">
        <f t="shared" ref="J322:J385" si="57">H322/I322</f>
        <v>0.6333333333333333</v>
      </c>
      <c r="K322">
        <f>SUMIF(Planilha1!A:A, Plan1!D322, Planilha1!B:B)</f>
        <v>70.27087305500001</v>
      </c>
    </row>
    <row r="323" spans="1:11" x14ac:dyDescent="0.25">
      <c r="A323" s="3" t="s">
        <v>18</v>
      </c>
      <c r="B323" s="3">
        <v>8</v>
      </c>
      <c r="C323" s="3" t="s">
        <v>10</v>
      </c>
      <c r="D323" s="4">
        <v>45221</v>
      </c>
      <c r="E323" s="3">
        <v>7</v>
      </c>
      <c r="F323" s="5">
        <f t="shared" si="56"/>
        <v>40.199999999999996</v>
      </c>
      <c r="G323" s="3" t="s">
        <v>12</v>
      </c>
      <c r="H323" s="3">
        <v>0.9</v>
      </c>
      <c r="I323" s="3">
        <v>3</v>
      </c>
      <c r="J323" s="5">
        <f t="shared" si="57"/>
        <v>0.3</v>
      </c>
      <c r="K323">
        <f>SUMIF(Planilha1!A:A, Plan1!D323, Planilha1!B:B)</f>
        <v>71.127397125000002</v>
      </c>
    </row>
    <row r="324" spans="1:11" x14ac:dyDescent="0.25">
      <c r="A324" s="3" t="s">
        <v>18</v>
      </c>
      <c r="B324" s="3">
        <v>4</v>
      </c>
      <c r="C324" s="3" t="s">
        <v>10</v>
      </c>
      <c r="D324" s="4">
        <v>45219</v>
      </c>
      <c r="E324" s="3">
        <v>7</v>
      </c>
      <c r="F324" s="5">
        <f t="shared" si="56"/>
        <v>40.199999999999996</v>
      </c>
      <c r="G324" s="3" t="s">
        <v>11</v>
      </c>
      <c r="H324" s="3">
        <v>4.2</v>
      </c>
      <c r="I324" s="3">
        <v>3</v>
      </c>
      <c r="J324" s="5">
        <f t="shared" si="57"/>
        <v>1.4000000000000001</v>
      </c>
      <c r="K324">
        <f>SUMIF(Planilha1!A:A, Plan1!D324, Planilha1!B:B)</f>
        <v>70.27087305500001</v>
      </c>
    </row>
    <row r="325" spans="1:11" x14ac:dyDescent="0.25">
      <c r="A325" s="3" t="s">
        <v>18</v>
      </c>
      <c r="B325" s="3">
        <v>4</v>
      </c>
      <c r="C325" s="3" t="s">
        <v>10</v>
      </c>
      <c r="D325" s="4">
        <v>45220</v>
      </c>
      <c r="E325" s="3">
        <v>7</v>
      </c>
      <c r="F325" s="5">
        <f t="shared" si="56"/>
        <v>40.199999999999996</v>
      </c>
      <c r="G325" s="3" t="s">
        <v>11</v>
      </c>
      <c r="H325" s="3">
        <v>2.6</v>
      </c>
      <c r="I325" s="3">
        <v>3</v>
      </c>
      <c r="J325" s="5">
        <f t="shared" si="57"/>
        <v>0.8666666666666667</v>
      </c>
      <c r="K325">
        <f>SUMIF(Planilha1!A:A, Plan1!D325, Planilha1!B:B)</f>
        <v>69.746530490000012</v>
      </c>
    </row>
    <row r="326" spans="1:11" x14ac:dyDescent="0.25">
      <c r="A326" s="3" t="s">
        <v>19</v>
      </c>
      <c r="B326" s="3">
        <v>7</v>
      </c>
      <c r="C326" s="3" t="s">
        <v>14</v>
      </c>
      <c r="D326" s="4">
        <v>45188</v>
      </c>
      <c r="E326" s="3">
        <v>7</v>
      </c>
      <c r="F326" s="5">
        <f t="shared" ref="F326:F331" si="58">(63+56+43)/3</f>
        <v>54</v>
      </c>
      <c r="G326" s="3" t="s">
        <v>12</v>
      </c>
      <c r="H326" s="3">
        <v>4.4000000000000004</v>
      </c>
      <c r="I326" s="3">
        <v>3</v>
      </c>
      <c r="J326" s="5">
        <f t="shared" si="57"/>
        <v>1.4666666666666668</v>
      </c>
      <c r="K326">
        <f>SUMIF(Planilha1!A:A, Plan1!D326, Planilha1!B:B)</f>
        <v>75.387723886666663</v>
      </c>
    </row>
    <row r="327" spans="1:11" x14ac:dyDescent="0.25">
      <c r="A327" s="3" t="s">
        <v>19</v>
      </c>
      <c r="B327" s="3">
        <v>7</v>
      </c>
      <c r="C327" s="3" t="s">
        <v>14</v>
      </c>
      <c r="D327" s="4">
        <v>45189</v>
      </c>
      <c r="E327" s="3">
        <v>7</v>
      </c>
      <c r="F327" s="5">
        <f t="shared" si="58"/>
        <v>54</v>
      </c>
      <c r="G327" s="3" t="s">
        <v>12</v>
      </c>
      <c r="H327" s="3">
        <v>3.1</v>
      </c>
      <c r="I327" s="3">
        <v>3</v>
      </c>
      <c r="J327" s="5">
        <f t="shared" si="57"/>
        <v>1.0333333333333334</v>
      </c>
      <c r="K327">
        <f>SUMIF(Planilha1!A:A, Plan1!D327, Planilha1!B:B)</f>
        <v>74.161847475000002</v>
      </c>
    </row>
    <row r="328" spans="1:11" x14ac:dyDescent="0.25">
      <c r="A328" s="3" t="s">
        <v>19</v>
      </c>
      <c r="B328" s="3">
        <v>7</v>
      </c>
      <c r="C328" s="3" t="s">
        <v>14</v>
      </c>
      <c r="D328" s="4">
        <v>45190</v>
      </c>
      <c r="E328" s="3">
        <v>7</v>
      </c>
      <c r="F328" s="5">
        <f t="shared" si="58"/>
        <v>54</v>
      </c>
      <c r="G328" s="3" t="s">
        <v>12</v>
      </c>
      <c r="H328" s="3">
        <v>7.8</v>
      </c>
      <c r="I328" s="3">
        <v>3</v>
      </c>
      <c r="J328" s="5">
        <f t="shared" si="57"/>
        <v>2.6</v>
      </c>
      <c r="K328">
        <f>SUMIF(Planilha1!A:A, Plan1!D328, Planilha1!B:B)</f>
        <v>74.906525950000002</v>
      </c>
    </row>
    <row r="329" spans="1:11" x14ac:dyDescent="0.25">
      <c r="A329" s="3" t="s">
        <v>19</v>
      </c>
      <c r="B329" s="3">
        <v>7</v>
      </c>
      <c r="C329" s="3" t="s">
        <v>14</v>
      </c>
      <c r="D329" s="4">
        <v>45189</v>
      </c>
      <c r="E329" s="3">
        <v>7</v>
      </c>
      <c r="F329" s="5">
        <f t="shared" si="58"/>
        <v>54</v>
      </c>
      <c r="G329" s="3" t="s">
        <v>11</v>
      </c>
      <c r="H329" s="3">
        <v>4.4000000000000004</v>
      </c>
      <c r="I329" s="3">
        <v>3</v>
      </c>
      <c r="J329" s="5">
        <f t="shared" si="57"/>
        <v>1.4666666666666668</v>
      </c>
      <c r="K329">
        <f>SUMIF(Planilha1!A:A, Plan1!D329, Planilha1!B:B)</f>
        <v>74.161847475000002</v>
      </c>
    </row>
    <row r="330" spans="1:11" x14ac:dyDescent="0.25">
      <c r="A330" s="3" t="s">
        <v>19</v>
      </c>
      <c r="B330" s="3">
        <v>7</v>
      </c>
      <c r="C330" s="3" t="s">
        <v>14</v>
      </c>
      <c r="D330" s="4">
        <v>45188</v>
      </c>
      <c r="E330" s="3">
        <v>7</v>
      </c>
      <c r="F330" s="5">
        <f t="shared" si="58"/>
        <v>54</v>
      </c>
      <c r="G330" s="3" t="s">
        <v>11</v>
      </c>
      <c r="H330" s="3">
        <v>5.2</v>
      </c>
      <c r="I330" s="3">
        <v>3</v>
      </c>
      <c r="J330" s="5">
        <f t="shared" si="57"/>
        <v>1.7333333333333334</v>
      </c>
      <c r="K330">
        <f>SUMIF(Planilha1!A:A, Plan1!D330, Planilha1!B:B)</f>
        <v>75.387723886666663</v>
      </c>
    </row>
    <row r="331" spans="1:11" x14ac:dyDescent="0.25">
      <c r="A331" s="3" t="s">
        <v>19</v>
      </c>
      <c r="B331" s="3">
        <v>7</v>
      </c>
      <c r="C331" s="3" t="s">
        <v>14</v>
      </c>
      <c r="D331" s="4">
        <v>45190</v>
      </c>
      <c r="E331" s="3">
        <v>7</v>
      </c>
      <c r="F331" s="5">
        <f t="shared" si="58"/>
        <v>54</v>
      </c>
      <c r="G331" s="3" t="s">
        <v>11</v>
      </c>
      <c r="H331" s="3">
        <v>4.2</v>
      </c>
      <c r="I331" s="3">
        <v>3</v>
      </c>
      <c r="J331" s="5">
        <f t="shared" si="57"/>
        <v>1.4000000000000001</v>
      </c>
      <c r="K331">
        <f>SUMIF(Planilha1!A:A, Plan1!D331, Planilha1!B:B)</f>
        <v>74.906525950000002</v>
      </c>
    </row>
    <row r="332" spans="1:11" x14ac:dyDescent="0.25">
      <c r="A332" s="3" t="s">
        <v>20</v>
      </c>
      <c r="B332" s="3">
        <v>1</v>
      </c>
      <c r="C332" s="3" t="s">
        <v>10</v>
      </c>
      <c r="D332" s="4">
        <v>45251</v>
      </c>
      <c r="E332" s="3">
        <v>7</v>
      </c>
      <c r="F332" s="5">
        <f t="shared" ref="F332:F337" si="59">(57.7+57.2)/2</f>
        <v>57.45</v>
      </c>
      <c r="G332" s="3" t="s">
        <v>12</v>
      </c>
      <c r="H332" s="3">
        <v>2.8</v>
      </c>
      <c r="I332" s="3">
        <v>2</v>
      </c>
      <c r="J332" s="5">
        <f t="shared" si="57"/>
        <v>1.4</v>
      </c>
      <c r="K332">
        <f>SUMIF(Planilha1!A:A, Plan1!D332, Planilha1!B:B)</f>
        <v>76.088169685000011</v>
      </c>
    </row>
    <row r="333" spans="1:11" x14ac:dyDescent="0.25">
      <c r="A333" s="3" t="s">
        <v>20</v>
      </c>
      <c r="B333" s="3">
        <v>1</v>
      </c>
      <c r="C333" s="3" t="s">
        <v>10</v>
      </c>
      <c r="D333" s="4">
        <v>45254</v>
      </c>
      <c r="E333" s="3">
        <v>7</v>
      </c>
      <c r="F333" s="5">
        <f t="shared" si="59"/>
        <v>57.45</v>
      </c>
      <c r="G333" s="3" t="s">
        <v>12</v>
      </c>
      <c r="H333" s="3">
        <v>3.4</v>
      </c>
      <c r="I333" s="3">
        <v>2</v>
      </c>
      <c r="J333" s="5">
        <f t="shared" si="57"/>
        <v>1.7</v>
      </c>
      <c r="K333">
        <f>SUMIF(Planilha1!A:A, Plan1!D333, Planilha1!B:B)</f>
        <v>71.016432365000014</v>
      </c>
    </row>
    <row r="334" spans="1:11" x14ac:dyDescent="0.25">
      <c r="A334" s="3" t="s">
        <v>20</v>
      </c>
      <c r="B334" s="3">
        <v>1</v>
      </c>
      <c r="C334" s="3" t="s">
        <v>10</v>
      </c>
      <c r="D334" s="4">
        <v>45255</v>
      </c>
      <c r="E334" s="3">
        <v>7</v>
      </c>
      <c r="F334" s="5">
        <f t="shared" si="59"/>
        <v>57.45</v>
      </c>
      <c r="G334" s="3" t="s">
        <v>12</v>
      </c>
      <c r="H334" s="3">
        <v>1.5</v>
      </c>
      <c r="I334" s="3">
        <v>2</v>
      </c>
      <c r="J334" s="5">
        <f t="shared" si="57"/>
        <v>0.75</v>
      </c>
      <c r="K334">
        <f>SUMIF(Planilha1!A:A, Plan1!D334, Planilha1!B:B)</f>
        <v>68.097968356666669</v>
      </c>
    </row>
    <row r="335" spans="1:11" x14ac:dyDescent="0.25">
      <c r="A335" s="3" t="s">
        <v>20</v>
      </c>
      <c r="B335" s="3">
        <v>1</v>
      </c>
      <c r="C335" s="3" t="s">
        <v>10</v>
      </c>
      <c r="D335" s="4">
        <v>45250</v>
      </c>
      <c r="E335" s="3">
        <v>7</v>
      </c>
      <c r="F335" s="5">
        <f t="shared" si="59"/>
        <v>57.45</v>
      </c>
      <c r="G335" s="3" t="s">
        <v>11</v>
      </c>
      <c r="H335" s="3">
        <v>1.2</v>
      </c>
      <c r="I335" s="3">
        <v>2</v>
      </c>
      <c r="J335" s="5">
        <f t="shared" si="57"/>
        <v>0.6</v>
      </c>
      <c r="K335">
        <f>SUMIF(Planilha1!A:A, Plan1!D335, Planilha1!B:B)</f>
        <v>71.69984594333333</v>
      </c>
    </row>
    <row r="336" spans="1:11" x14ac:dyDescent="0.25">
      <c r="A336" s="3" t="s">
        <v>20</v>
      </c>
      <c r="B336" s="3">
        <v>1</v>
      </c>
      <c r="C336" s="3" t="s">
        <v>10</v>
      </c>
      <c r="D336" s="4">
        <v>45254</v>
      </c>
      <c r="E336" s="3">
        <v>7</v>
      </c>
      <c r="F336" s="5">
        <f t="shared" si="59"/>
        <v>57.45</v>
      </c>
      <c r="G336" s="3" t="s">
        <v>11</v>
      </c>
      <c r="H336" s="3">
        <v>2.9</v>
      </c>
      <c r="I336" s="3">
        <v>2</v>
      </c>
      <c r="J336" s="5">
        <f t="shared" si="57"/>
        <v>1.45</v>
      </c>
      <c r="K336">
        <f>SUMIF(Planilha1!A:A, Plan1!D336, Planilha1!B:B)</f>
        <v>71.016432365000014</v>
      </c>
    </row>
    <row r="337" spans="1:11" x14ac:dyDescent="0.25">
      <c r="A337" s="3" t="s">
        <v>20</v>
      </c>
      <c r="B337" s="3">
        <v>1</v>
      </c>
      <c r="C337" s="3" t="s">
        <v>10</v>
      </c>
      <c r="D337" s="4">
        <v>45256</v>
      </c>
      <c r="E337" s="3">
        <v>7</v>
      </c>
      <c r="F337" s="5">
        <f t="shared" si="59"/>
        <v>57.45</v>
      </c>
      <c r="G337" s="3" t="s">
        <v>11</v>
      </c>
      <c r="H337" s="3">
        <v>3.8</v>
      </c>
      <c r="I337" s="3">
        <v>2</v>
      </c>
      <c r="J337" s="5">
        <f t="shared" si="57"/>
        <v>1.9</v>
      </c>
      <c r="K337">
        <f>SUMIF(Planilha1!A:A, Plan1!D337, Planilha1!B:B)</f>
        <v>69.572180443333338</v>
      </c>
    </row>
    <row r="338" spans="1:11" x14ac:dyDescent="0.25">
      <c r="A338" s="3" t="s">
        <v>9</v>
      </c>
      <c r="B338" s="3">
        <v>4</v>
      </c>
      <c r="C338" s="3" t="s">
        <v>10</v>
      </c>
      <c r="D338" s="4">
        <v>45202</v>
      </c>
      <c r="E338" s="3">
        <v>8</v>
      </c>
      <c r="F338" s="5">
        <f t="shared" ref="F338:F343" si="60">(64.7+60+60.5)/3</f>
        <v>61.733333333333327</v>
      </c>
      <c r="G338" s="3" t="s">
        <v>11</v>
      </c>
      <c r="H338" s="3">
        <v>2.1</v>
      </c>
      <c r="I338" s="3">
        <v>3</v>
      </c>
      <c r="J338" s="5">
        <f t="shared" si="57"/>
        <v>0.70000000000000007</v>
      </c>
      <c r="K338">
        <f>SUMIF(Planilha1!A:A, Plan1!D338, Planilha1!B:B)</f>
        <v>76.364289368333331</v>
      </c>
    </row>
    <row r="339" spans="1:11" x14ac:dyDescent="0.25">
      <c r="A339" s="3" t="s">
        <v>9</v>
      </c>
      <c r="B339" s="3">
        <v>4</v>
      </c>
      <c r="C339" s="3" t="s">
        <v>10</v>
      </c>
      <c r="D339" s="4">
        <v>45205</v>
      </c>
      <c r="E339" s="3">
        <v>8</v>
      </c>
      <c r="F339" s="5">
        <f t="shared" si="60"/>
        <v>61.733333333333327</v>
      </c>
      <c r="G339" s="3" t="s">
        <v>11</v>
      </c>
      <c r="H339" s="3">
        <v>1.5</v>
      </c>
      <c r="I339" s="3">
        <v>3</v>
      </c>
      <c r="J339" s="5">
        <f t="shared" si="57"/>
        <v>0.5</v>
      </c>
      <c r="K339">
        <f>SUMIF(Planilha1!A:A, Plan1!D339, Planilha1!B:B)</f>
        <v>79.063527735000022</v>
      </c>
    </row>
    <row r="340" spans="1:11" x14ac:dyDescent="0.25">
      <c r="A340" s="3" t="s">
        <v>9</v>
      </c>
      <c r="B340" s="3">
        <v>4</v>
      </c>
      <c r="C340" s="3" t="s">
        <v>10</v>
      </c>
      <c r="D340" s="4">
        <v>45206</v>
      </c>
      <c r="E340" s="3">
        <v>8</v>
      </c>
      <c r="F340" s="5">
        <f t="shared" si="60"/>
        <v>61.733333333333327</v>
      </c>
      <c r="G340" s="3" t="s">
        <v>11</v>
      </c>
      <c r="H340" s="3">
        <v>1.3</v>
      </c>
      <c r="I340" s="3">
        <v>3</v>
      </c>
      <c r="J340" s="5">
        <f t="shared" si="57"/>
        <v>0.43333333333333335</v>
      </c>
      <c r="K340">
        <f>SUMIF(Planilha1!A:A, Plan1!D340, Planilha1!B:B)</f>
        <v>78.713969811666672</v>
      </c>
    </row>
    <row r="341" spans="1:11" x14ac:dyDescent="0.25">
      <c r="A341" s="3" t="s">
        <v>9</v>
      </c>
      <c r="B341" s="3">
        <v>4</v>
      </c>
      <c r="C341" s="3" t="s">
        <v>10</v>
      </c>
      <c r="D341" s="4">
        <v>45202</v>
      </c>
      <c r="E341" s="3">
        <v>8</v>
      </c>
      <c r="F341" s="5">
        <f t="shared" si="60"/>
        <v>61.733333333333327</v>
      </c>
      <c r="G341" s="3" t="s">
        <v>12</v>
      </c>
      <c r="H341" s="3">
        <v>1.9</v>
      </c>
      <c r="I341" s="3">
        <v>3</v>
      </c>
      <c r="J341" s="5">
        <f t="shared" si="57"/>
        <v>0.6333333333333333</v>
      </c>
      <c r="K341">
        <f>SUMIF(Planilha1!A:A, Plan1!D341, Planilha1!B:B)</f>
        <v>76.364289368333331</v>
      </c>
    </row>
    <row r="342" spans="1:11" x14ac:dyDescent="0.25">
      <c r="A342" s="3" t="s">
        <v>9</v>
      </c>
      <c r="B342" s="3">
        <v>4</v>
      </c>
      <c r="C342" s="3" t="s">
        <v>10</v>
      </c>
      <c r="D342" s="4">
        <v>45204</v>
      </c>
      <c r="E342" s="3">
        <v>8</v>
      </c>
      <c r="F342" s="5">
        <f t="shared" si="60"/>
        <v>61.733333333333327</v>
      </c>
      <c r="G342" s="3" t="s">
        <v>12</v>
      </c>
      <c r="H342" s="3">
        <v>2.2000000000000002</v>
      </c>
      <c r="I342" s="3">
        <v>3</v>
      </c>
      <c r="J342" s="5">
        <f t="shared" si="57"/>
        <v>0.73333333333333339</v>
      </c>
      <c r="K342">
        <f>SUMIF(Planilha1!A:A, Plan1!D342, Planilha1!B:B)</f>
        <v>79.130188060000009</v>
      </c>
    </row>
    <row r="343" spans="1:11" x14ac:dyDescent="0.25">
      <c r="A343" s="3" t="s">
        <v>9</v>
      </c>
      <c r="B343" s="3">
        <v>4</v>
      </c>
      <c r="C343" s="3" t="s">
        <v>10</v>
      </c>
      <c r="D343" s="4">
        <v>45206</v>
      </c>
      <c r="E343" s="3">
        <v>8</v>
      </c>
      <c r="F343" s="5">
        <f t="shared" si="60"/>
        <v>61.733333333333327</v>
      </c>
      <c r="G343" s="3" t="s">
        <v>12</v>
      </c>
      <c r="H343" s="3">
        <v>2.5</v>
      </c>
      <c r="I343" s="3">
        <v>3</v>
      </c>
      <c r="J343" s="5">
        <f t="shared" si="57"/>
        <v>0.83333333333333337</v>
      </c>
      <c r="K343">
        <f>SUMIF(Planilha1!A:A, Plan1!D343, Planilha1!B:B)</f>
        <v>78.713969811666672</v>
      </c>
    </row>
    <row r="344" spans="1:11" x14ac:dyDescent="0.25">
      <c r="A344" s="3" t="s">
        <v>13</v>
      </c>
      <c r="B344" s="3">
        <v>3</v>
      </c>
      <c r="C344" s="3" t="s">
        <v>14</v>
      </c>
      <c r="D344" s="4">
        <v>45224</v>
      </c>
      <c r="E344" s="3">
        <v>8</v>
      </c>
      <c r="F344" s="5">
        <f t="shared" ref="F344:F349" si="61">(61+55+51.2)/3</f>
        <v>55.733333333333327</v>
      </c>
      <c r="G344" s="3" t="s">
        <v>12</v>
      </c>
      <c r="H344" s="3">
        <v>7.1</v>
      </c>
      <c r="I344" s="3">
        <v>3</v>
      </c>
      <c r="J344" s="5">
        <f t="shared" si="57"/>
        <v>2.3666666666666667</v>
      </c>
      <c r="K344">
        <f>SUMIF(Planilha1!A:A, Plan1!D344, Planilha1!B:B)</f>
        <v>76.358909188333328</v>
      </c>
    </row>
    <row r="345" spans="1:11" x14ac:dyDescent="0.25">
      <c r="A345" s="3" t="s">
        <v>13</v>
      </c>
      <c r="B345" s="3">
        <v>3</v>
      </c>
      <c r="C345" s="3" t="s">
        <v>14</v>
      </c>
      <c r="D345" s="4">
        <v>45225</v>
      </c>
      <c r="E345" s="3">
        <v>8</v>
      </c>
      <c r="F345" s="5">
        <f t="shared" si="61"/>
        <v>55.733333333333327</v>
      </c>
      <c r="G345" s="3" t="s">
        <v>12</v>
      </c>
      <c r="H345" s="3">
        <v>11.7</v>
      </c>
      <c r="I345" s="3">
        <v>3</v>
      </c>
      <c r="J345" s="5">
        <f t="shared" si="57"/>
        <v>3.9</v>
      </c>
      <c r="K345">
        <f>SUMIF(Planilha1!A:A, Plan1!D345, Planilha1!B:B)</f>
        <v>75.466586561666659</v>
      </c>
    </row>
    <row r="346" spans="1:11" x14ac:dyDescent="0.25">
      <c r="A346" s="3" t="s">
        <v>13</v>
      </c>
      <c r="B346" s="3">
        <v>3</v>
      </c>
      <c r="C346" s="3" t="s">
        <v>14</v>
      </c>
      <c r="D346" s="4">
        <v>45223</v>
      </c>
      <c r="E346" s="3">
        <v>8</v>
      </c>
      <c r="F346" s="5">
        <f t="shared" si="61"/>
        <v>55.733333333333327</v>
      </c>
      <c r="G346" s="3" t="s">
        <v>12</v>
      </c>
      <c r="H346" s="3">
        <v>12.2</v>
      </c>
      <c r="I346" s="3">
        <v>3</v>
      </c>
      <c r="J346" s="5">
        <f t="shared" si="57"/>
        <v>4.0666666666666664</v>
      </c>
      <c r="K346">
        <f>SUMIF(Planilha1!A:A, Plan1!D346, Planilha1!B:B)</f>
        <v>78.591089300000036</v>
      </c>
    </row>
    <row r="347" spans="1:11" x14ac:dyDescent="0.25">
      <c r="A347" s="3" t="s">
        <v>13</v>
      </c>
      <c r="B347" s="3">
        <v>3</v>
      </c>
      <c r="C347" s="3" t="s">
        <v>14</v>
      </c>
      <c r="D347" s="4">
        <v>45224</v>
      </c>
      <c r="E347" s="3">
        <v>8</v>
      </c>
      <c r="F347" s="5">
        <f t="shared" si="61"/>
        <v>55.733333333333327</v>
      </c>
      <c r="G347" s="3" t="s">
        <v>11</v>
      </c>
      <c r="H347" s="3">
        <v>7.9</v>
      </c>
      <c r="I347" s="3">
        <v>3</v>
      </c>
      <c r="J347" s="5">
        <f t="shared" si="57"/>
        <v>2.6333333333333333</v>
      </c>
      <c r="K347">
        <f>SUMIF(Planilha1!A:A, Plan1!D347, Planilha1!B:B)</f>
        <v>76.358909188333328</v>
      </c>
    </row>
    <row r="348" spans="1:11" x14ac:dyDescent="0.25">
      <c r="A348" s="3" t="s">
        <v>13</v>
      </c>
      <c r="B348" s="3">
        <v>3</v>
      </c>
      <c r="C348" s="3" t="s">
        <v>14</v>
      </c>
      <c r="D348" s="4">
        <v>45225</v>
      </c>
      <c r="E348" s="3">
        <v>8</v>
      </c>
      <c r="F348" s="5">
        <f t="shared" si="61"/>
        <v>55.733333333333327</v>
      </c>
      <c r="G348" s="3" t="s">
        <v>11</v>
      </c>
      <c r="H348" s="3">
        <v>10.199999999999999</v>
      </c>
      <c r="I348" s="3">
        <v>3</v>
      </c>
      <c r="J348" s="5">
        <f t="shared" si="57"/>
        <v>3.4</v>
      </c>
      <c r="K348">
        <f>SUMIF(Planilha1!A:A, Plan1!D348, Planilha1!B:B)</f>
        <v>75.466586561666659</v>
      </c>
    </row>
    <row r="349" spans="1:11" x14ac:dyDescent="0.25">
      <c r="A349" s="3" t="s">
        <v>13</v>
      </c>
      <c r="B349" s="3">
        <v>3</v>
      </c>
      <c r="C349" s="3" t="s">
        <v>14</v>
      </c>
      <c r="D349" s="4">
        <v>45226</v>
      </c>
      <c r="E349" s="3">
        <v>8</v>
      </c>
      <c r="F349" s="5">
        <f t="shared" si="61"/>
        <v>55.733333333333327</v>
      </c>
      <c r="G349" s="3" t="s">
        <v>11</v>
      </c>
      <c r="H349" s="3">
        <v>8.1999999999999993</v>
      </c>
      <c r="I349" s="3">
        <v>3</v>
      </c>
      <c r="J349" s="5">
        <f t="shared" si="57"/>
        <v>2.7333333333333329</v>
      </c>
      <c r="K349">
        <f>SUMIF(Planilha1!A:A, Plan1!D349, Planilha1!B:B)</f>
        <v>74.220367953333337</v>
      </c>
    </row>
    <row r="350" spans="1:11" x14ac:dyDescent="0.25">
      <c r="A350" s="3" t="s">
        <v>15</v>
      </c>
      <c r="B350" s="3">
        <v>2</v>
      </c>
      <c r="C350" s="3" t="s">
        <v>14</v>
      </c>
      <c r="D350" s="4">
        <v>45216</v>
      </c>
      <c r="E350" s="3">
        <v>8</v>
      </c>
      <c r="F350" s="5">
        <f t="shared" ref="F350:F355" si="62">(45.7+67.2+67)/3</f>
        <v>59.966666666666669</v>
      </c>
      <c r="G350" s="3" t="s">
        <v>12</v>
      </c>
      <c r="H350" s="3">
        <v>10.5</v>
      </c>
      <c r="I350" s="3">
        <v>3</v>
      </c>
      <c r="J350" s="5">
        <f t="shared" si="57"/>
        <v>3.5</v>
      </c>
      <c r="K350">
        <f>SUMIF(Planilha1!A:A, Plan1!D350, Planilha1!B:B)</f>
        <v>75.552725431666673</v>
      </c>
    </row>
    <row r="351" spans="1:11" x14ac:dyDescent="0.25">
      <c r="A351" s="3" t="s">
        <v>15</v>
      </c>
      <c r="B351" s="3">
        <v>2</v>
      </c>
      <c r="C351" s="3" t="s">
        <v>14</v>
      </c>
      <c r="D351" s="4">
        <v>45217</v>
      </c>
      <c r="E351" s="3">
        <v>8</v>
      </c>
      <c r="F351" s="5">
        <f t="shared" si="62"/>
        <v>59.966666666666669</v>
      </c>
      <c r="G351" s="3" t="s">
        <v>12</v>
      </c>
      <c r="H351" s="3">
        <v>4.2</v>
      </c>
      <c r="I351" s="3">
        <v>3</v>
      </c>
      <c r="J351" s="5">
        <f t="shared" si="57"/>
        <v>1.4000000000000001</v>
      </c>
      <c r="K351">
        <f>SUMIF(Planilha1!A:A, Plan1!D351, Planilha1!B:B)</f>
        <v>73.403364656666668</v>
      </c>
    </row>
    <row r="352" spans="1:11" x14ac:dyDescent="0.25">
      <c r="A352" s="3" t="s">
        <v>15</v>
      </c>
      <c r="B352" s="3">
        <v>2</v>
      </c>
      <c r="C352" s="3" t="s">
        <v>14</v>
      </c>
      <c r="D352" s="4">
        <v>45219</v>
      </c>
      <c r="E352" s="3">
        <v>8</v>
      </c>
      <c r="F352" s="5">
        <f t="shared" si="62"/>
        <v>59.966666666666669</v>
      </c>
      <c r="G352" s="3" t="s">
        <v>12</v>
      </c>
      <c r="H352" s="3">
        <v>6.9</v>
      </c>
      <c r="I352" s="3">
        <v>3</v>
      </c>
      <c r="J352" s="5">
        <f t="shared" si="57"/>
        <v>2.3000000000000003</v>
      </c>
      <c r="K352">
        <f>SUMIF(Planilha1!A:A, Plan1!D352, Planilha1!B:B)</f>
        <v>70.27087305500001</v>
      </c>
    </row>
    <row r="353" spans="1:11" x14ac:dyDescent="0.25">
      <c r="A353" s="3" t="s">
        <v>15</v>
      </c>
      <c r="B353" s="3">
        <v>2</v>
      </c>
      <c r="C353" s="3" t="s">
        <v>14</v>
      </c>
      <c r="D353" s="4">
        <v>45219</v>
      </c>
      <c r="E353" s="3">
        <v>8</v>
      </c>
      <c r="F353" s="5">
        <f t="shared" si="62"/>
        <v>59.966666666666669</v>
      </c>
      <c r="G353" s="3" t="s">
        <v>11</v>
      </c>
      <c r="H353" s="3">
        <v>4.0999999999999996</v>
      </c>
      <c r="I353" s="3">
        <v>3</v>
      </c>
      <c r="J353" s="5">
        <f t="shared" si="57"/>
        <v>1.3666666666666665</v>
      </c>
      <c r="K353">
        <f>SUMIF(Planilha1!A:A, Plan1!D353, Planilha1!B:B)</f>
        <v>70.27087305500001</v>
      </c>
    </row>
    <row r="354" spans="1:11" x14ac:dyDescent="0.25">
      <c r="A354" s="3" t="s">
        <v>15</v>
      </c>
      <c r="B354" s="3">
        <v>2</v>
      </c>
      <c r="C354" s="3" t="s">
        <v>14</v>
      </c>
      <c r="D354" s="4">
        <v>45215</v>
      </c>
      <c r="E354" s="3">
        <v>8</v>
      </c>
      <c r="F354" s="5">
        <f t="shared" si="62"/>
        <v>59.966666666666669</v>
      </c>
      <c r="G354" s="3" t="s">
        <v>11</v>
      </c>
      <c r="H354" s="3">
        <v>5</v>
      </c>
      <c r="I354" s="3">
        <v>3</v>
      </c>
      <c r="J354" s="5">
        <f t="shared" si="57"/>
        <v>1.6666666666666667</v>
      </c>
      <c r="K354">
        <f>SUMIF(Planilha1!A:A, Plan1!D354, Planilha1!B:B)</f>
        <v>76.78406279166667</v>
      </c>
    </row>
    <row r="355" spans="1:11" x14ac:dyDescent="0.25">
      <c r="A355" s="3" t="s">
        <v>15</v>
      </c>
      <c r="B355" s="3">
        <v>2</v>
      </c>
      <c r="C355" s="3" t="s">
        <v>14</v>
      </c>
      <c r="D355" s="4">
        <v>45216</v>
      </c>
      <c r="E355" s="3">
        <v>8</v>
      </c>
      <c r="F355" s="5">
        <f t="shared" si="62"/>
        <v>59.966666666666669</v>
      </c>
      <c r="G355" s="3" t="s">
        <v>11</v>
      </c>
      <c r="H355" s="3">
        <v>3.2</v>
      </c>
      <c r="I355" s="3">
        <v>3</v>
      </c>
      <c r="J355" s="5">
        <f t="shared" si="57"/>
        <v>1.0666666666666667</v>
      </c>
      <c r="K355">
        <f>SUMIF(Planilha1!A:A, Plan1!D355, Planilha1!B:B)</f>
        <v>75.552725431666673</v>
      </c>
    </row>
    <row r="356" spans="1:11" x14ac:dyDescent="0.25">
      <c r="A356" s="3" t="s">
        <v>16</v>
      </c>
      <c r="B356">
        <v>8</v>
      </c>
      <c r="C356" s="3" t="s">
        <v>10</v>
      </c>
      <c r="D356" s="4">
        <v>45296</v>
      </c>
      <c r="E356" s="3">
        <v>8</v>
      </c>
      <c r="F356" s="5">
        <f t="shared" ref="F356:F361" si="63">(66+70)/2</f>
        <v>68</v>
      </c>
      <c r="G356" s="3" t="s">
        <v>12</v>
      </c>
      <c r="H356" s="3">
        <v>5.3</v>
      </c>
      <c r="I356" s="3">
        <v>2</v>
      </c>
      <c r="J356" s="5">
        <f t="shared" si="57"/>
        <v>2.65</v>
      </c>
      <c r="K356">
        <f>SUMIF(Planilha1!A:A, Plan1!D356, Planilha1!B:B)</f>
        <v>73.949223105000002</v>
      </c>
    </row>
    <row r="357" spans="1:11" x14ac:dyDescent="0.25">
      <c r="A357" s="3" t="s">
        <v>16</v>
      </c>
      <c r="B357">
        <v>8</v>
      </c>
      <c r="C357" s="3" t="s">
        <v>10</v>
      </c>
      <c r="D357" s="4">
        <v>45298</v>
      </c>
      <c r="E357" s="3">
        <v>8</v>
      </c>
      <c r="F357" s="5">
        <f t="shared" si="63"/>
        <v>68</v>
      </c>
      <c r="G357" s="3" t="s">
        <v>12</v>
      </c>
      <c r="H357" s="3">
        <v>4.8</v>
      </c>
      <c r="I357" s="3">
        <v>2</v>
      </c>
      <c r="J357" s="5">
        <f t="shared" si="57"/>
        <v>2.4</v>
      </c>
      <c r="K357">
        <f>SUMIF(Planilha1!A:A, Plan1!D357, Planilha1!B:B)</f>
        <v>78.118339366666675</v>
      </c>
    </row>
    <row r="358" spans="1:11" x14ac:dyDescent="0.25">
      <c r="A358" s="3" t="s">
        <v>16</v>
      </c>
      <c r="B358">
        <v>8</v>
      </c>
      <c r="C358" s="3" t="s">
        <v>10</v>
      </c>
      <c r="D358" s="4">
        <v>45297</v>
      </c>
      <c r="E358" s="3">
        <v>8</v>
      </c>
      <c r="F358" s="5">
        <f t="shared" si="63"/>
        <v>68</v>
      </c>
      <c r="G358" s="3" t="s">
        <v>12</v>
      </c>
      <c r="H358" s="3">
        <v>5.0999999999999996</v>
      </c>
      <c r="I358" s="3">
        <v>2</v>
      </c>
      <c r="J358" s="5">
        <f t="shared" si="57"/>
        <v>2.5499999999999998</v>
      </c>
      <c r="K358">
        <f>SUMIF(Planilha1!A:A, Plan1!D358, Planilha1!B:B)</f>
        <v>75.495574136666676</v>
      </c>
    </row>
    <row r="359" spans="1:11" x14ac:dyDescent="0.25">
      <c r="A359" s="3" t="s">
        <v>16</v>
      </c>
      <c r="B359">
        <v>8</v>
      </c>
      <c r="C359" s="3" t="s">
        <v>10</v>
      </c>
      <c r="D359" s="4">
        <v>45298</v>
      </c>
      <c r="E359" s="3">
        <v>8</v>
      </c>
      <c r="F359" s="5">
        <f t="shared" si="63"/>
        <v>68</v>
      </c>
      <c r="G359" s="3" t="s">
        <v>11</v>
      </c>
      <c r="H359" s="3">
        <v>4</v>
      </c>
      <c r="I359" s="3">
        <v>2</v>
      </c>
      <c r="J359" s="5">
        <f t="shared" si="57"/>
        <v>2</v>
      </c>
      <c r="K359">
        <f>SUMIF(Planilha1!A:A, Plan1!D359, Planilha1!B:B)</f>
        <v>78.118339366666675</v>
      </c>
    </row>
    <row r="360" spans="1:11" x14ac:dyDescent="0.25">
      <c r="A360" s="3" t="s">
        <v>16</v>
      </c>
      <c r="B360">
        <v>8</v>
      </c>
      <c r="C360" s="3" t="s">
        <v>10</v>
      </c>
      <c r="D360" s="4">
        <v>45297</v>
      </c>
      <c r="E360" s="3">
        <v>8</v>
      </c>
      <c r="F360" s="5">
        <f t="shared" si="63"/>
        <v>68</v>
      </c>
      <c r="G360" s="3" t="s">
        <v>11</v>
      </c>
      <c r="H360" s="3">
        <v>3.8</v>
      </c>
      <c r="I360" s="3">
        <v>2</v>
      </c>
      <c r="J360" s="5">
        <f t="shared" si="57"/>
        <v>1.9</v>
      </c>
      <c r="K360">
        <f>SUMIF(Planilha1!A:A, Plan1!D360, Planilha1!B:B)</f>
        <v>75.495574136666676</v>
      </c>
    </row>
    <row r="361" spans="1:11" x14ac:dyDescent="0.25">
      <c r="A361" s="3" t="s">
        <v>16</v>
      </c>
      <c r="B361">
        <v>8</v>
      </c>
      <c r="C361" s="3" t="s">
        <v>10</v>
      </c>
      <c r="D361" s="4">
        <v>45296</v>
      </c>
      <c r="E361" s="3">
        <v>8</v>
      </c>
      <c r="F361" s="5">
        <f t="shared" si="63"/>
        <v>68</v>
      </c>
      <c r="G361" s="3" t="s">
        <v>11</v>
      </c>
      <c r="H361" s="3">
        <v>4.7</v>
      </c>
      <c r="I361" s="3">
        <v>2</v>
      </c>
      <c r="J361" s="5">
        <f t="shared" si="57"/>
        <v>2.35</v>
      </c>
      <c r="K361">
        <f>SUMIF(Planilha1!A:A, Plan1!D361, Planilha1!B:B)</f>
        <v>73.949223105000002</v>
      </c>
    </row>
    <row r="362" spans="1:11" x14ac:dyDescent="0.25">
      <c r="A362" s="3" t="s">
        <v>17</v>
      </c>
      <c r="B362">
        <v>7</v>
      </c>
      <c r="C362" s="3" t="s">
        <v>14</v>
      </c>
      <c r="D362" s="4">
        <v>45297</v>
      </c>
      <c r="E362" s="3">
        <v>8</v>
      </c>
      <c r="F362" s="5">
        <f t="shared" ref="F362:F367" si="64">(51+55.1+36.6)/3</f>
        <v>47.566666666666663</v>
      </c>
      <c r="G362" s="3" t="s">
        <v>12</v>
      </c>
      <c r="H362" s="3">
        <v>3</v>
      </c>
      <c r="I362" s="3">
        <v>3</v>
      </c>
      <c r="J362" s="5">
        <f t="shared" si="57"/>
        <v>1</v>
      </c>
      <c r="K362">
        <f>SUMIF(Planilha1!A:A, Plan1!D362, Planilha1!B:B)</f>
        <v>75.495574136666676</v>
      </c>
    </row>
    <row r="363" spans="1:11" x14ac:dyDescent="0.25">
      <c r="A363" s="3" t="s">
        <v>17</v>
      </c>
      <c r="B363">
        <v>7</v>
      </c>
      <c r="C363" s="3" t="s">
        <v>14</v>
      </c>
      <c r="D363" s="4">
        <v>45298</v>
      </c>
      <c r="E363" s="3">
        <v>8</v>
      </c>
      <c r="F363" s="5">
        <f t="shared" si="64"/>
        <v>47.566666666666663</v>
      </c>
      <c r="G363" s="3" t="s">
        <v>12</v>
      </c>
      <c r="H363" s="3">
        <v>2.1</v>
      </c>
      <c r="I363" s="3">
        <v>3</v>
      </c>
      <c r="J363" s="5">
        <f t="shared" si="57"/>
        <v>0.70000000000000007</v>
      </c>
      <c r="K363">
        <f>SUMIF(Planilha1!A:A, Plan1!D363, Planilha1!B:B)</f>
        <v>78.118339366666675</v>
      </c>
    </row>
    <row r="364" spans="1:11" x14ac:dyDescent="0.25">
      <c r="A364" s="3" t="s">
        <v>17</v>
      </c>
      <c r="B364">
        <v>7</v>
      </c>
      <c r="C364" s="3" t="s">
        <v>14</v>
      </c>
      <c r="D364" s="4">
        <v>45296</v>
      </c>
      <c r="E364" s="3">
        <v>8</v>
      </c>
      <c r="F364" s="5">
        <f t="shared" si="64"/>
        <v>47.566666666666663</v>
      </c>
      <c r="G364" s="3" t="s">
        <v>12</v>
      </c>
      <c r="H364" s="3">
        <v>3.6</v>
      </c>
      <c r="I364" s="3">
        <v>3</v>
      </c>
      <c r="J364" s="5">
        <f t="shared" si="57"/>
        <v>1.2</v>
      </c>
      <c r="K364">
        <f>SUMIF(Planilha1!A:A, Plan1!D364, Planilha1!B:B)</f>
        <v>73.949223105000002</v>
      </c>
    </row>
    <row r="365" spans="1:11" x14ac:dyDescent="0.25">
      <c r="A365" s="3" t="s">
        <v>17</v>
      </c>
      <c r="B365">
        <v>7</v>
      </c>
      <c r="C365" s="3" t="s">
        <v>14</v>
      </c>
      <c r="D365" s="4">
        <v>45297</v>
      </c>
      <c r="E365" s="3">
        <v>8</v>
      </c>
      <c r="F365" s="5">
        <f t="shared" si="64"/>
        <v>47.566666666666663</v>
      </c>
      <c r="G365" s="3" t="s">
        <v>11</v>
      </c>
      <c r="H365" s="3">
        <v>3.9</v>
      </c>
      <c r="I365" s="3">
        <v>3</v>
      </c>
      <c r="J365" s="5">
        <f t="shared" si="57"/>
        <v>1.3</v>
      </c>
      <c r="K365">
        <f>SUMIF(Planilha1!A:A, Plan1!D365, Planilha1!B:B)</f>
        <v>75.495574136666676</v>
      </c>
    </row>
    <row r="366" spans="1:11" x14ac:dyDescent="0.25">
      <c r="A366" s="3" t="s">
        <v>17</v>
      </c>
      <c r="B366">
        <v>7</v>
      </c>
      <c r="C366" s="3" t="s">
        <v>14</v>
      </c>
      <c r="D366" s="4">
        <v>45298</v>
      </c>
      <c r="E366" s="3">
        <v>8</v>
      </c>
      <c r="F366" s="5">
        <f t="shared" si="64"/>
        <v>47.566666666666663</v>
      </c>
      <c r="G366" s="3" t="s">
        <v>11</v>
      </c>
      <c r="H366" s="3">
        <v>5.9</v>
      </c>
      <c r="I366" s="3">
        <v>3</v>
      </c>
      <c r="J366" s="5">
        <f t="shared" si="57"/>
        <v>1.9666666666666668</v>
      </c>
      <c r="K366">
        <f>SUMIF(Planilha1!A:A, Plan1!D366, Planilha1!B:B)</f>
        <v>78.118339366666675</v>
      </c>
    </row>
    <row r="367" spans="1:11" x14ac:dyDescent="0.25">
      <c r="A367" s="3" t="s">
        <v>17</v>
      </c>
      <c r="B367">
        <v>7</v>
      </c>
      <c r="C367" s="3" t="s">
        <v>14</v>
      </c>
      <c r="D367" s="4">
        <v>45296</v>
      </c>
      <c r="E367" s="3">
        <v>8</v>
      </c>
      <c r="F367" s="5">
        <f t="shared" si="64"/>
        <v>47.566666666666663</v>
      </c>
      <c r="G367" s="3" t="s">
        <v>11</v>
      </c>
      <c r="H367" s="3">
        <v>4.4000000000000004</v>
      </c>
      <c r="I367" s="3">
        <v>3</v>
      </c>
      <c r="J367" s="5">
        <f t="shared" si="57"/>
        <v>1.4666666666666668</v>
      </c>
      <c r="K367">
        <f>SUMIF(Planilha1!A:A, Plan1!D367, Planilha1!B:B)</f>
        <v>73.949223105000002</v>
      </c>
    </row>
    <row r="368" spans="1:11" x14ac:dyDescent="0.25">
      <c r="A368" s="3" t="s">
        <v>18</v>
      </c>
      <c r="B368" s="3">
        <v>4</v>
      </c>
      <c r="C368" s="3" t="s">
        <v>10</v>
      </c>
      <c r="D368" s="4">
        <v>45224</v>
      </c>
      <c r="E368" s="3">
        <v>8</v>
      </c>
      <c r="F368" s="5">
        <f t="shared" ref="F368:F373" si="65">(43+44+46.7)/3</f>
        <v>44.566666666666663</v>
      </c>
      <c r="G368" s="3" t="s">
        <v>12</v>
      </c>
      <c r="H368" s="3">
        <v>2.9</v>
      </c>
      <c r="I368" s="3">
        <v>3</v>
      </c>
      <c r="J368" s="5">
        <f t="shared" si="57"/>
        <v>0.96666666666666667</v>
      </c>
      <c r="K368">
        <f>SUMIF(Planilha1!A:A, Plan1!D368, Planilha1!B:B)</f>
        <v>76.358909188333328</v>
      </c>
    </row>
    <row r="369" spans="1:11" x14ac:dyDescent="0.25">
      <c r="A369" s="3" t="s">
        <v>18</v>
      </c>
      <c r="B369" s="3">
        <v>4</v>
      </c>
      <c r="C369" s="3" t="s">
        <v>10</v>
      </c>
      <c r="D369" s="4">
        <v>45225</v>
      </c>
      <c r="E369" s="3">
        <v>8</v>
      </c>
      <c r="F369" s="5">
        <f t="shared" si="65"/>
        <v>44.566666666666663</v>
      </c>
      <c r="G369" s="3" t="s">
        <v>12</v>
      </c>
      <c r="H369" s="3">
        <v>1.8</v>
      </c>
      <c r="I369" s="3">
        <v>3</v>
      </c>
      <c r="J369" s="5">
        <f t="shared" si="57"/>
        <v>0.6</v>
      </c>
      <c r="K369">
        <f>SUMIF(Planilha1!A:A, Plan1!D369, Planilha1!B:B)</f>
        <v>75.466586561666659</v>
      </c>
    </row>
    <row r="370" spans="1:11" x14ac:dyDescent="0.25">
      <c r="A370" s="3" t="s">
        <v>18</v>
      </c>
      <c r="B370" s="3">
        <v>4</v>
      </c>
      <c r="C370" s="3" t="s">
        <v>10</v>
      </c>
      <c r="D370" s="4">
        <v>45226</v>
      </c>
      <c r="E370" s="3">
        <v>8</v>
      </c>
      <c r="F370" s="5">
        <f t="shared" si="65"/>
        <v>44.566666666666663</v>
      </c>
      <c r="G370" s="3" t="s">
        <v>12</v>
      </c>
      <c r="H370" s="3">
        <v>0</v>
      </c>
      <c r="I370" s="3">
        <v>3</v>
      </c>
      <c r="J370" s="5">
        <f t="shared" si="57"/>
        <v>0</v>
      </c>
      <c r="K370">
        <f>SUMIF(Planilha1!A:A, Plan1!D370, Planilha1!B:B)</f>
        <v>74.220367953333337</v>
      </c>
    </row>
    <row r="371" spans="1:11" x14ac:dyDescent="0.25">
      <c r="A371" s="3" t="s">
        <v>18</v>
      </c>
      <c r="B371" s="3">
        <v>4</v>
      </c>
      <c r="C371" s="3" t="s">
        <v>10</v>
      </c>
      <c r="D371" s="4">
        <v>45223</v>
      </c>
      <c r="E371" s="3">
        <v>8</v>
      </c>
      <c r="F371" s="5">
        <f t="shared" si="65"/>
        <v>44.566666666666663</v>
      </c>
      <c r="G371" s="3" t="s">
        <v>11</v>
      </c>
      <c r="H371" s="3">
        <v>1.6</v>
      </c>
      <c r="I371" s="3">
        <v>3</v>
      </c>
      <c r="J371" s="5">
        <f t="shared" si="57"/>
        <v>0.53333333333333333</v>
      </c>
      <c r="K371">
        <f>SUMIF(Planilha1!A:A, Plan1!D371, Planilha1!B:B)</f>
        <v>78.591089300000036</v>
      </c>
    </row>
    <row r="372" spans="1:11" x14ac:dyDescent="0.25">
      <c r="A372" s="3" t="s">
        <v>18</v>
      </c>
      <c r="B372" s="3">
        <v>4</v>
      </c>
      <c r="C372" s="3" t="s">
        <v>10</v>
      </c>
      <c r="D372" s="4">
        <v>45224</v>
      </c>
      <c r="E372" s="3">
        <v>8</v>
      </c>
      <c r="F372" s="5">
        <f t="shared" si="65"/>
        <v>44.566666666666663</v>
      </c>
      <c r="G372" s="3" t="s">
        <v>11</v>
      </c>
      <c r="H372" s="3">
        <v>1.6</v>
      </c>
      <c r="I372" s="3">
        <v>3</v>
      </c>
      <c r="J372" s="5">
        <f t="shared" si="57"/>
        <v>0.53333333333333333</v>
      </c>
      <c r="K372">
        <f>SUMIF(Planilha1!A:A, Plan1!D372, Planilha1!B:B)</f>
        <v>76.358909188333328</v>
      </c>
    </row>
    <row r="373" spans="1:11" x14ac:dyDescent="0.25">
      <c r="A373" s="3" t="s">
        <v>18</v>
      </c>
      <c r="B373" s="3">
        <v>4</v>
      </c>
      <c r="C373" s="3" t="s">
        <v>10</v>
      </c>
      <c r="D373" s="4">
        <v>45225</v>
      </c>
      <c r="E373" s="3">
        <v>8</v>
      </c>
      <c r="F373" s="5">
        <f t="shared" si="65"/>
        <v>44.566666666666663</v>
      </c>
      <c r="G373" s="3" t="s">
        <v>11</v>
      </c>
      <c r="H373" s="3">
        <v>3.3</v>
      </c>
      <c r="I373" s="3">
        <v>3</v>
      </c>
      <c r="J373" s="5">
        <f t="shared" si="57"/>
        <v>1.0999999999999999</v>
      </c>
      <c r="K373">
        <f>SUMIF(Planilha1!A:A, Plan1!D373, Planilha1!B:B)</f>
        <v>75.466586561666659</v>
      </c>
    </row>
    <row r="374" spans="1:11" x14ac:dyDescent="0.25">
      <c r="A374" s="3" t="s">
        <v>19</v>
      </c>
      <c r="B374" s="3">
        <v>3</v>
      </c>
      <c r="C374" s="3" t="s">
        <v>14</v>
      </c>
      <c r="D374" s="4">
        <v>45197</v>
      </c>
      <c r="E374" s="3">
        <v>8</v>
      </c>
      <c r="F374" s="5">
        <f t="shared" ref="F374:F379" si="66">(69+58.5+45.5)/3</f>
        <v>57.666666666666664</v>
      </c>
      <c r="G374" s="3" t="s">
        <v>12</v>
      </c>
      <c r="H374" s="3">
        <v>6.1</v>
      </c>
      <c r="I374" s="3">
        <v>3</v>
      </c>
      <c r="J374" s="5">
        <f t="shared" si="57"/>
        <v>2.0333333333333332</v>
      </c>
      <c r="K374">
        <f>SUMIF(Planilha1!A:A, Plan1!D374, Planilha1!B:B)</f>
        <v>67.555743408333342</v>
      </c>
    </row>
    <row r="375" spans="1:11" x14ac:dyDescent="0.25">
      <c r="A375" s="3" t="s">
        <v>19</v>
      </c>
      <c r="B375" s="3">
        <v>3</v>
      </c>
      <c r="C375" s="3" t="s">
        <v>14</v>
      </c>
      <c r="D375" s="4">
        <v>45197</v>
      </c>
      <c r="E375" s="3">
        <v>8</v>
      </c>
      <c r="F375" s="5">
        <f t="shared" si="66"/>
        <v>57.666666666666664</v>
      </c>
      <c r="G375" s="3" t="s">
        <v>11</v>
      </c>
      <c r="H375" s="3">
        <v>4.0999999999999996</v>
      </c>
      <c r="I375" s="3">
        <v>3</v>
      </c>
      <c r="J375" s="5">
        <f t="shared" si="57"/>
        <v>1.3666666666666665</v>
      </c>
      <c r="K375">
        <f>SUMIF(Planilha1!A:A, Plan1!D375, Planilha1!B:B)</f>
        <v>67.555743408333342</v>
      </c>
    </row>
    <row r="376" spans="1:11" x14ac:dyDescent="0.25">
      <c r="A376" s="3" t="s">
        <v>19</v>
      </c>
      <c r="B376" s="3">
        <v>3</v>
      </c>
      <c r="C376" s="3" t="s">
        <v>14</v>
      </c>
      <c r="D376" s="4">
        <v>45198</v>
      </c>
      <c r="E376" s="3">
        <v>8</v>
      </c>
      <c r="F376" s="5">
        <f t="shared" si="66"/>
        <v>57.666666666666664</v>
      </c>
      <c r="G376" s="3" t="s">
        <v>12</v>
      </c>
      <c r="H376" s="3">
        <v>5.2</v>
      </c>
      <c r="I376" s="3">
        <v>3</v>
      </c>
      <c r="J376" s="5">
        <f t="shared" si="57"/>
        <v>1.7333333333333334</v>
      </c>
      <c r="K376">
        <f>SUMIF(Planilha1!A:A, Plan1!D376, Planilha1!B:B)</f>
        <v>67.82726283833334</v>
      </c>
    </row>
    <row r="377" spans="1:11" x14ac:dyDescent="0.25">
      <c r="A377" s="3" t="s">
        <v>19</v>
      </c>
      <c r="B377" s="3">
        <v>3</v>
      </c>
      <c r="C377" s="3" t="s">
        <v>14</v>
      </c>
      <c r="D377" s="4">
        <v>45199</v>
      </c>
      <c r="E377" s="3">
        <v>8</v>
      </c>
      <c r="F377" s="5">
        <f t="shared" si="66"/>
        <v>57.666666666666664</v>
      </c>
      <c r="G377" s="3" t="s">
        <v>11</v>
      </c>
      <c r="H377" s="3">
        <v>4.5</v>
      </c>
      <c r="I377" s="3">
        <v>3</v>
      </c>
      <c r="J377" s="5">
        <f t="shared" si="57"/>
        <v>1.5</v>
      </c>
      <c r="K377">
        <f>SUMIF(Planilha1!A:A, Plan1!D377, Planilha1!B:B)</f>
        <v>74.104036316666679</v>
      </c>
    </row>
    <row r="378" spans="1:11" x14ac:dyDescent="0.25">
      <c r="A378" s="3" t="s">
        <v>19</v>
      </c>
      <c r="B378" s="3">
        <v>3</v>
      </c>
      <c r="C378" s="3" t="s">
        <v>14</v>
      </c>
      <c r="D378" s="4">
        <v>45199</v>
      </c>
      <c r="E378" s="3">
        <v>8</v>
      </c>
      <c r="F378" s="5">
        <f t="shared" si="66"/>
        <v>57.666666666666664</v>
      </c>
      <c r="G378" s="3" t="s">
        <v>12</v>
      </c>
      <c r="H378" s="3">
        <v>3.4</v>
      </c>
      <c r="I378" s="3">
        <v>3</v>
      </c>
      <c r="J378" s="5">
        <f t="shared" si="57"/>
        <v>1.1333333333333333</v>
      </c>
      <c r="K378">
        <f>SUMIF(Planilha1!A:A, Plan1!D378, Planilha1!B:B)</f>
        <v>74.104036316666679</v>
      </c>
    </row>
    <row r="379" spans="1:11" x14ac:dyDescent="0.25">
      <c r="A379" s="3" t="s">
        <v>19</v>
      </c>
      <c r="B379" s="3">
        <v>3</v>
      </c>
      <c r="C379" s="3" t="s">
        <v>14</v>
      </c>
      <c r="D379" s="4">
        <v>45198</v>
      </c>
      <c r="E379" s="3">
        <v>8</v>
      </c>
      <c r="F379" s="5">
        <f t="shared" si="66"/>
        <v>57.666666666666664</v>
      </c>
      <c r="G379" s="3" t="s">
        <v>11</v>
      </c>
      <c r="H379" s="3">
        <v>10.6</v>
      </c>
      <c r="I379" s="3">
        <v>3</v>
      </c>
      <c r="J379" s="5">
        <f t="shared" si="57"/>
        <v>3.5333333333333332</v>
      </c>
      <c r="K379">
        <f>SUMIF(Planilha1!A:A, Plan1!D379, Planilha1!B:B)</f>
        <v>67.82726283833334</v>
      </c>
    </row>
    <row r="380" spans="1:11" x14ac:dyDescent="0.25">
      <c r="A380" s="3" t="s">
        <v>20</v>
      </c>
      <c r="B380" s="3">
        <v>4</v>
      </c>
      <c r="C380" s="3" t="s">
        <v>10</v>
      </c>
      <c r="D380" s="4">
        <v>45261</v>
      </c>
      <c r="E380" s="3">
        <v>8</v>
      </c>
      <c r="F380" s="5">
        <f t="shared" ref="F380:F385" si="67">(65.1+59)/2</f>
        <v>62.05</v>
      </c>
      <c r="G380" s="3" t="s">
        <v>12</v>
      </c>
      <c r="H380" s="3">
        <v>3.6</v>
      </c>
      <c r="I380" s="3">
        <v>2</v>
      </c>
      <c r="J380" s="5">
        <f t="shared" si="57"/>
        <v>1.8</v>
      </c>
      <c r="K380">
        <f>SUMIF(Planilha1!A:A, Plan1!D380, Planilha1!B:B)</f>
        <v>79.911540705000007</v>
      </c>
    </row>
    <row r="381" spans="1:11" x14ac:dyDescent="0.25">
      <c r="A381" s="3" t="s">
        <v>20</v>
      </c>
      <c r="B381" s="3">
        <v>4</v>
      </c>
      <c r="C381" s="3" t="s">
        <v>10</v>
      </c>
      <c r="D381" s="4">
        <v>45262</v>
      </c>
      <c r="E381" s="3">
        <v>8</v>
      </c>
      <c r="F381" s="5">
        <f t="shared" si="67"/>
        <v>62.05</v>
      </c>
      <c r="G381" s="3" t="s">
        <v>12</v>
      </c>
      <c r="H381" s="3">
        <v>2.8</v>
      </c>
      <c r="I381" s="3">
        <v>2</v>
      </c>
      <c r="J381" s="5">
        <f t="shared" si="57"/>
        <v>1.4</v>
      </c>
      <c r="K381">
        <f>SUMIF(Planilha1!A:A, Plan1!D381, Planilha1!B:B)</f>
        <v>80.494152005000004</v>
      </c>
    </row>
    <row r="382" spans="1:11" x14ac:dyDescent="0.25">
      <c r="A382" s="3" t="s">
        <v>20</v>
      </c>
      <c r="B382" s="3">
        <v>4</v>
      </c>
      <c r="C382" s="3" t="s">
        <v>10</v>
      </c>
      <c r="D382" s="4">
        <v>45263</v>
      </c>
      <c r="E382" s="3">
        <v>8</v>
      </c>
      <c r="F382" s="5">
        <f t="shared" si="67"/>
        <v>62.05</v>
      </c>
      <c r="G382" s="3" t="s">
        <v>12</v>
      </c>
      <c r="H382" s="3">
        <v>1.6</v>
      </c>
      <c r="I382" s="3">
        <v>2</v>
      </c>
      <c r="J382" s="5">
        <f t="shared" si="57"/>
        <v>0.8</v>
      </c>
      <c r="K382">
        <f>SUMIF(Planilha1!A:A, Plan1!D382, Planilha1!B:B)</f>
        <v>80.546709703333349</v>
      </c>
    </row>
    <row r="383" spans="1:11" x14ac:dyDescent="0.25">
      <c r="A383" s="3" t="s">
        <v>20</v>
      </c>
      <c r="B383" s="3">
        <v>4</v>
      </c>
      <c r="C383" s="3" t="s">
        <v>10</v>
      </c>
      <c r="D383" s="4">
        <v>45258</v>
      </c>
      <c r="E383" s="3">
        <v>8</v>
      </c>
      <c r="F383" s="5">
        <f t="shared" si="67"/>
        <v>62.05</v>
      </c>
      <c r="G383" s="3" t="s">
        <v>11</v>
      </c>
      <c r="H383" s="3">
        <v>1.6</v>
      </c>
      <c r="I383" s="3">
        <v>2</v>
      </c>
      <c r="J383" s="5">
        <f t="shared" si="57"/>
        <v>0.8</v>
      </c>
      <c r="K383">
        <f>SUMIF(Planilha1!A:A, Plan1!D383, Planilha1!B:B)</f>
        <v>74.867799178333328</v>
      </c>
    </row>
    <row r="384" spans="1:11" x14ac:dyDescent="0.25">
      <c r="A384" s="3" t="s">
        <v>20</v>
      </c>
      <c r="B384" s="3">
        <v>4</v>
      </c>
      <c r="C384" s="3" t="s">
        <v>10</v>
      </c>
      <c r="D384" s="4">
        <v>45262</v>
      </c>
      <c r="E384" s="3">
        <v>8</v>
      </c>
      <c r="F384" s="5">
        <f t="shared" si="67"/>
        <v>62.05</v>
      </c>
      <c r="G384" s="3" t="s">
        <v>11</v>
      </c>
      <c r="H384" s="3">
        <v>4.3</v>
      </c>
      <c r="I384" s="3">
        <v>2</v>
      </c>
      <c r="J384" s="5">
        <f t="shared" si="57"/>
        <v>2.15</v>
      </c>
      <c r="K384">
        <f>SUMIF(Planilha1!A:A, Plan1!D384, Planilha1!B:B)</f>
        <v>80.494152005000004</v>
      </c>
    </row>
    <row r="385" spans="1:11" x14ac:dyDescent="0.25">
      <c r="A385" s="3" t="s">
        <v>20</v>
      </c>
      <c r="B385" s="3">
        <v>4</v>
      </c>
      <c r="C385" s="3" t="s">
        <v>10</v>
      </c>
      <c r="D385" s="4">
        <v>45263</v>
      </c>
      <c r="E385" s="3">
        <v>8</v>
      </c>
      <c r="F385" s="5">
        <f t="shared" si="67"/>
        <v>62.05</v>
      </c>
      <c r="G385" s="3" t="s">
        <v>11</v>
      </c>
      <c r="H385" s="3">
        <v>6</v>
      </c>
      <c r="I385" s="3">
        <v>2</v>
      </c>
      <c r="J385" s="5">
        <f t="shared" si="57"/>
        <v>3</v>
      </c>
      <c r="K385">
        <f>SUMIF(Planilha1!A:A, Plan1!D385, Planilha1!B:B)</f>
        <v>80.546709703333349</v>
      </c>
    </row>
  </sheetData>
  <sortState xmlns:xlrd2="http://schemas.microsoft.com/office/spreadsheetml/2017/richdata2" ref="A2:J385">
    <sortCondition ref="E1:E3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1B9C-8CDF-4ED5-B35E-ABCC36F2A1E3}">
  <dimension ref="A1:B165"/>
  <sheetViews>
    <sheetView topLeftCell="A145" workbookViewId="0">
      <selection activeCell="E161" sqref="E161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6" t="s">
        <v>23</v>
      </c>
      <c r="B1" t="s">
        <v>22</v>
      </c>
    </row>
    <row r="2" spans="1:2" x14ac:dyDescent="0.25">
      <c r="A2" s="7">
        <v>45135</v>
      </c>
      <c r="B2">
        <v>63.023930246666659</v>
      </c>
    </row>
    <row r="3" spans="1:2" x14ac:dyDescent="0.25">
      <c r="A3" s="7">
        <v>45136</v>
      </c>
      <c r="B3">
        <v>60.331870345000006</v>
      </c>
    </row>
    <row r="4" spans="1:2" x14ac:dyDescent="0.25">
      <c r="A4" s="7">
        <v>45137</v>
      </c>
      <c r="B4">
        <v>56.849117826666678</v>
      </c>
    </row>
    <row r="5" spans="1:2" x14ac:dyDescent="0.25">
      <c r="A5" s="7">
        <v>45138</v>
      </c>
      <c r="B5">
        <v>58.317209125000012</v>
      </c>
    </row>
    <row r="6" spans="1:2" x14ac:dyDescent="0.25">
      <c r="A6" s="7">
        <v>45139</v>
      </c>
      <c r="B6">
        <v>58.437934590000019</v>
      </c>
    </row>
    <row r="7" spans="1:2" x14ac:dyDescent="0.25">
      <c r="A7" s="7">
        <v>45140</v>
      </c>
      <c r="B7">
        <v>62.034467021666678</v>
      </c>
    </row>
    <row r="8" spans="1:2" x14ac:dyDescent="0.25">
      <c r="A8" s="7">
        <v>45141</v>
      </c>
      <c r="B8">
        <v>62.005518228333337</v>
      </c>
    </row>
    <row r="9" spans="1:2" x14ac:dyDescent="0.25">
      <c r="A9" s="7">
        <v>45142</v>
      </c>
      <c r="B9">
        <v>59.894048508333356</v>
      </c>
    </row>
    <row r="10" spans="1:2" x14ac:dyDescent="0.25">
      <c r="A10" s="7">
        <v>45143</v>
      </c>
      <c r="B10">
        <v>60.876786633333332</v>
      </c>
    </row>
    <row r="11" spans="1:2" x14ac:dyDescent="0.25">
      <c r="A11" s="7">
        <v>45144</v>
      </c>
      <c r="B11">
        <v>62.972741685000017</v>
      </c>
    </row>
    <row r="12" spans="1:2" x14ac:dyDescent="0.25">
      <c r="A12" s="7">
        <v>45145</v>
      </c>
      <c r="B12">
        <v>65.670735551666652</v>
      </c>
    </row>
    <row r="13" spans="1:2" x14ac:dyDescent="0.25">
      <c r="A13" s="7">
        <v>45146</v>
      </c>
      <c r="B13">
        <v>63.716381405000014</v>
      </c>
    </row>
    <row r="14" spans="1:2" x14ac:dyDescent="0.25">
      <c r="A14" s="7">
        <v>45147</v>
      </c>
      <c r="B14">
        <v>64.199810248333335</v>
      </c>
    </row>
    <row r="15" spans="1:2" x14ac:dyDescent="0.25">
      <c r="A15" s="7">
        <v>45148</v>
      </c>
      <c r="B15">
        <v>67.204691543333354</v>
      </c>
    </row>
    <row r="16" spans="1:2" x14ac:dyDescent="0.25">
      <c r="A16" s="7">
        <v>45149</v>
      </c>
      <c r="B16">
        <v>69.16434387000001</v>
      </c>
    </row>
    <row r="17" spans="1:2" x14ac:dyDescent="0.25">
      <c r="A17" s="7">
        <v>45150</v>
      </c>
      <c r="B17">
        <v>69.435403843333333</v>
      </c>
    </row>
    <row r="18" spans="1:2" x14ac:dyDescent="0.25">
      <c r="A18" s="7">
        <v>45151</v>
      </c>
      <c r="B18">
        <v>64.149736663333357</v>
      </c>
    </row>
    <row r="19" spans="1:2" x14ac:dyDescent="0.25">
      <c r="A19" s="7">
        <v>45152</v>
      </c>
      <c r="B19">
        <v>64.727837696666683</v>
      </c>
    </row>
    <row r="20" spans="1:2" x14ac:dyDescent="0.25">
      <c r="A20" s="7">
        <v>45153</v>
      </c>
      <c r="B20">
        <v>65.965586279999997</v>
      </c>
    </row>
    <row r="21" spans="1:2" x14ac:dyDescent="0.25">
      <c r="A21" s="7">
        <v>45154</v>
      </c>
      <c r="B21">
        <v>66.392407846666671</v>
      </c>
    </row>
    <row r="22" spans="1:2" x14ac:dyDescent="0.25">
      <c r="A22" s="7">
        <v>45155</v>
      </c>
      <c r="B22">
        <v>67.681516200000004</v>
      </c>
    </row>
    <row r="23" spans="1:2" x14ac:dyDescent="0.25">
      <c r="A23" s="7">
        <v>45156</v>
      </c>
      <c r="B23">
        <v>67.960092055000004</v>
      </c>
    </row>
    <row r="24" spans="1:2" x14ac:dyDescent="0.25">
      <c r="A24" s="7">
        <v>45157</v>
      </c>
      <c r="B24">
        <v>67.187348045000007</v>
      </c>
    </row>
    <row r="25" spans="1:2" x14ac:dyDescent="0.25">
      <c r="A25" s="7">
        <v>45158</v>
      </c>
      <c r="B25">
        <v>64.913950115000006</v>
      </c>
    </row>
    <row r="26" spans="1:2" x14ac:dyDescent="0.25">
      <c r="A26" s="7">
        <v>45159</v>
      </c>
      <c r="B26">
        <v>66.785036223333336</v>
      </c>
    </row>
    <row r="27" spans="1:2" x14ac:dyDescent="0.25">
      <c r="A27" s="7">
        <v>45160</v>
      </c>
      <c r="B27">
        <v>67.778328571666677</v>
      </c>
    </row>
    <row r="28" spans="1:2" x14ac:dyDescent="0.25">
      <c r="A28" s="7">
        <v>45161</v>
      </c>
      <c r="B28">
        <v>70.955558443333345</v>
      </c>
    </row>
    <row r="29" spans="1:2" x14ac:dyDescent="0.25">
      <c r="A29" s="7">
        <v>45162</v>
      </c>
      <c r="B29">
        <v>73.86414607333333</v>
      </c>
    </row>
    <row r="30" spans="1:2" x14ac:dyDescent="0.25">
      <c r="A30" s="7">
        <v>45163</v>
      </c>
      <c r="B30">
        <v>73.758573808333338</v>
      </c>
    </row>
    <row r="31" spans="1:2" x14ac:dyDescent="0.25">
      <c r="A31" s="7">
        <v>45164</v>
      </c>
      <c r="B31">
        <v>57.817754570000012</v>
      </c>
    </row>
    <row r="32" spans="1:2" x14ac:dyDescent="0.25">
      <c r="A32" s="7">
        <v>45165</v>
      </c>
      <c r="B32">
        <v>50.67675551333334</v>
      </c>
    </row>
    <row r="33" spans="1:2" x14ac:dyDescent="0.25">
      <c r="A33" s="7">
        <v>45166</v>
      </c>
      <c r="B33">
        <v>55.113824778333338</v>
      </c>
    </row>
    <row r="34" spans="1:2" x14ac:dyDescent="0.25">
      <c r="A34" s="7">
        <v>45167</v>
      </c>
      <c r="B34">
        <v>57.977048261666688</v>
      </c>
    </row>
    <row r="35" spans="1:2" x14ac:dyDescent="0.25">
      <c r="A35" s="7">
        <v>45168</v>
      </c>
      <c r="B35">
        <v>59.993190118333331</v>
      </c>
    </row>
    <row r="36" spans="1:2" x14ac:dyDescent="0.25">
      <c r="A36" s="7">
        <v>45169</v>
      </c>
      <c r="B36">
        <v>63.315898055000012</v>
      </c>
    </row>
    <row r="37" spans="1:2" x14ac:dyDescent="0.25">
      <c r="A37" s="7">
        <v>45170</v>
      </c>
      <c r="B37">
        <v>66.936242143333331</v>
      </c>
    </row>
    <row r="38" spans="1:2" x14ac:dyDescent="0.25">
      <c r="A38" s="7">
        <v>45171</v>
      </c>
      <c r="B38">
        <v>73.088972238333341</v>
      </c>
    </row>
    <row r="39" spans="1:2" x14ac:dyDescent="0.25">
      <c r="A39" s="7">
        <v>45172</v>
      </c>
      <c r="B39">
        <v>71.762686928333338</v>
      </c>
    </row>
    <row r="40" spans="1:2" x14ac:dyDescent="0.25">
      <c r="A40" s="7">
        <v>45173</v>
      </c>
      <c r="B40">
        <v>75.393938531666663</v>
      </c>
    </row>
    <row r="41" spans="1:2" x14ac:dyDescent="0.25">
      <c r="A41" s="7">
        <v>45174</v>
      </c>
      <c r="B41">
        <v>73.272486690000008</v>
      </c>
    </row>
    <row r="42" spans="1:2" x14ac:dyDescent="0.25">
      <c r="A42" s="7">
        <v>45175</v>
      </c>
      <c r="B42">
        <v>65.299134666666689</v>
      </c>
    </row>
    <row r="43" spans="1:2" x14ac:dyDescent="0.25">
      <c r="A43" s="7">
        <v>45176</v>
      </c>
      <c r="B43">
        <v>66.657536766666666</v>
      </c>
    </row>
    <row r="44" spans="1:2" x14ac:dyDescent="0.25">
      <c r="A44" s="7">
        <v>45177</v>
      </c>
      <c r="B44">
        <v>69.01980846333332</v>
      </c>
    </row>
    <row r="45" spans="1:2" x14ac:dyDescent="0.25">
      <c r="A45" s="7">
        <v>45178</v>
      </c>
      <c r="B45">
        <v>69.240977786666676</v>
      </c>
    </row>
    <row r="46" spans="1:2" x14ac:dyDescent="0.25">
      <c r="A46" s="7">
        <v>45179</v>
      </c>
      <c r="B46">
        <v>70.061466436666677</v>
      </c>
    </row>
    <row r="47" spans="1:2" x14ac:dyDescent="0.25">
      <c r="A47" s="7">
        <v>45180</v>
      </c>
      <c r="B47">
        <v>70.148356886666662</v>
      </c>
    </row>
    <row r="48" spans="1:2" x14ac:dyDescent="0.25">
      <c r="A48" s="7">
        <v>45181</v>
      </c>
      <c r="B48">
        <v>70.033606378333332</v>
      </c>
    </row>
    <row r="49" spans="1:2" x14ac:dyDescent="0.25">
      <c r="A49" s="7">
        <v>45182</v>
      </c>
      <c r="B49">
        <v>72.452966235000005</v>
      </c>
    </row>
    <row r="50" spans="1:2" x14ac:dyDescent="0.25">
      <c r="A50" s="7">
        <v>45183</v>
      </c>
      <c r="B50">
        <v>66.366236204999993</v>
      </c>
    </row>
    <row r="51" spans="1:2" x14ac:dyDescent="0.25">
      <c r="A51" s="7">
        <v>45184</v>
      </c>
      <c r="B51">
        <v>59.238323723333338</v>
      </c>
    </row>
    <row r="52" spans="1:2" x14ac:dyDescent="0.25">
      <c r="A52" s="7">
        <v>45185</v>
      </c>
      <c r="B52">
        <v>66.718771331666673</v>
      </c>
    </row>
    <row r="53" spans="1:2" x14ac:dyDescent="0.25">
      <c r="A53" s="7">
        <v>45186</v>
      </c>
      <c r="B53">
        <v>74.194049406666664</v>
      </c>
    </row>
    <row r="54" spans="1:2" x14ac:dyDescent="0.25">
      <c r="A54" s="7">
        <v>45187</v>
      </c>
      <c r="B54">
        <v>75.551106071666666</v>
      </c>
    </row>
    <row r="55" spans="1:2" x14ac:dyDescent="0.25">
      <c r="A55" s="7">
        <v>45188</v>
      </c>
      <c r="B55">
        <v>75.387723886666663</v>
      </c>
    </row>
    <row r="56" spans="1:2" x14ac:dyDescent="0.25">
      <c r="A56" s="7">
        <v>45189</v>
      </c>
      <c r="B56">
        <v>74.161847475000002</v>
      </c>
    </row>
    <row r="57" spans="1:2" x14ac:dyDescent="0.25">
      <c r="A57" s="7">
        <v>45190</v>
      </c>
      <c r="B57">
        <v>74.906525950000002</v>
      </c>
    </row>
    <row r="58" spans="1:2" x14ac:dyDescent="0.25">
      <c r="A58" s="7">
        <v>45191</v>
      </c>
      <c r="B58">
        <v>77.11923492166666</v>
      </c>
    </row>
    <row r="59" spans="1:2" x14ac:dyDescent="0.25">
      <c r="A59" s="7">
        <v>45192</v>
      </c>
      <c r="B59">
        <v>77.425910911666676</v>
      </c>
    </row>
    <row r="60" spans="1:2" x14ac:dyDescent="0.25">
      <c r="A60" s="7">
        <v>45193</v>
      </c>
      <c r="B60">
        <v>78.325212963333342</v>
      </c>
    </row>
    <row r="61" spans="1:2" x14ac:dyDescent="0.25">
      <c r="A61" s="7">
        <v>45194</v>
      </c>
      <c r="B61">
        <v>79.251386690000004</v>
      </c>
    </row>
    <row r="62" spans="1:2" x14ac:dyDescent="0.25">
      <c r="A62" s="7">
        <v>45195</v>
      </c>
      <c r="B62">
        <v>79.226508705000001</v>
      </c>
    </row>
    <row r="63" spans="1:2" x14ac:dyDescent="0.25">
      <c r="A63" s="7">
        <v>45196</v>
      </c>
      <c r="B63">
        <v>80.442775738333339</v>
      </c>
    </row>
    <row r="64" spans="1:2" x14ac:dyDescent="0.25">
      <c r="A64" s="7">
        <v>45197</v>
      </c>
      <c r="B64">
        <v>67.555743408333342</v>
      </c>
    </row>
    <row r="65" spans="1:2" x14ac:dyDescent="0.25">
      <c r="A65" s="7">
        <v>45198</v>
      </c>
      <c r="B65">
        <v>67.82726283833334</v>
      </c>
    </row>
    <row r="66" spans="1:2" x14ac:dyDescent="0.25">
      <c r="A66" s="7">
        <v>45199</v>
      </c>
      <c r="B66">
        <v>74.104036316666679</v>
      </c>
    </row>
    <row r="67" spans="1:2" x14ac:dyDescent="0.25">
      <c r="A67" s="7">
        <v>45200</v>
      </c>
      <c r="B67">
        <v>74.560323253333351</v>
      </c>
    </row>
    <row r="68" spans="1:2" x14ac:dyDescent="0.25">
      <c r="A68" s="7">
        <v>45201</v>
      </c>
      <c r="B68">
        <v>73.154086386666663</v>
      </c>
    </row>
    <row r="69" spans="1:2" x14ac:dyDescent="0.25">
      <c r="A69" s="7">
        <v>45202</v>
      </c>
      <c r="B69">
        <v>76.364289368333331</v>
      </c>
    </row>
    <row r="70" spans="1:2" x14ac:dyDescent="0.25">
      <c r="A70" s="7">
        <v>45203</v>
      </c>
      <c r="B70">
        <v>77.480711834999994</v>
      </c>
    </row>
    <row r="71" spans="1:2" x14ac:dyDescent="0.25">
      <c r="A71" s="7">
        <v>45204</v>
      </c>
      <c r="B71">
        <v>79.130188060000009</v>
      </c>
    </row>
    <row r="72" spans="1:2" x14ac:dyDescent="0.25">
      <c r="A72" s="7">
        <v>45205</v>
      </c>
      <c r="B72">
        <v>79.063527735000022</v>
      </c>
    </row>
    <row r="73" spans="1:2" x14ac:dyDescent="0.25">
      <c r="A73" s="7">
        <v>45206</v>
      </c>
      <c r="B73">
        <v>78.713969811666672</v>
      </c>
    </row>
    <row r="74" spans="1:2" x14ac:dyDescent="0.25">
      <c r="A74" s="7">
        <v>45207</v>
      </c>
      <c r="B74">
        <v>73.503435545000002</v>
      </c>
    </row>
    <row r="75" spans="1:2" x14ac:dyDescent="0.25">
      <c r="A75" s="7">
        <v>45208</v>
      </c>
      <c r="B75">
        <v>72.358023625000001</v>
      </c>
    </row>
    <row r="76" spans="1:2" x14ac:dyDescent="0.25">
      <c r="A76" s="7">
        <v>45209</v>
      </c>
      <c r="B76">
        <v>67.050978418333344</v>
      </c>
    </row>
    <row r="77" spans="1:2" x14ac:dyDescent="0.25">
      <c r="A77" s="7">
        <v>45210</v>
      </c>
      <c r="B77">
        <v>71.130794111666674</v>
      </c>
    </row>
    <row r="78" spans="1:2" x14ac:dyDescent="0.25">
      <c r="A78" s="7">
        <v>45211</v>
      </c>
      <c r="B78">
        <v>77.651665151666677</v>
      </c>
    </row>
    <row r="79" spans="1:2" x14ac:dyDescent="0.25">
      <c r="A79" s="7">
        <v>45212</v>
      </c>
      <c r="B79">
        <v>69.030984348333348</v>
      </c>
    </row>
    <row r="80" spans="1:2" x14ac:dyDescent="0.25">
      <c r="A80" s="7">
        <v>45213</v>
      </c>
      <c r="B80">
        <v>67.042566833333339</v>
      </c>
    </row>
    <row r="81" spans="1:2" x14ac:dyDescent="0.25">
      <c r="A81" s="7">
        <v>45214</v>
      </c>
      <c r="B81">
        <v>73.200209285000014</v>
      </c>
    </row>
    <row r="82" spans="1:2" x14ac:dyDescent="0.25">
      <c r="A82" s="7">
        <v>45215</v>
      </c>
      <c r="B82">
        <v>76.78406279166667</v>
      </c>
    </row>
    <row r="83" spans="1:2" x14ac:dyDescent="0.25">
      <c r="A83" s="7">
        <v>45216</v>
      </c>
      <c r="B83">
        <v>75.552725431666673</v>
      </c>
    </row>
    <row r="84" spans="1:2" x14ac:dyDescent="0.25">
      <c r="A84" s="7">
        <v>45217</v>
      </c>
      <c r="B84">
        <v>73.403364656666668</v>
      </c>
    </row>
    <row r="85" spans="1:2" x14ac:dyDescent="0.25">
      <c r="A85" s="7">
        <v>45218</v>
      </c>
      <c r="B85">
        <v>70.451578070000011</v>
      </c>
    </row>
    <row r="86" spans="1:2" x14ac:dyDescent="0.25">
      <c r="A86" s="7">
        <v>45219</v>
      </c>
      <c r="B86">
        <v>70.27087305500001</v>
      </c>
    </row>
    <row r="87" spans="1:2" x14ac:dyDescent="0.25">
      <c r="A87" s="7">
        <v>45220</v>
      </c>
      <c r="B87">
        <v>69.746530490000012</v>
      </c>
    </row>
    <row r="88" spans="1:2" x14ac:dyDescent="0.25">
      <c r="A88" s="7">
        <v>45221</v>
      </c>
      <c r="B88">
        <v>71.127397125000002</v>
      </c>
    </row>
    <row r="89" spans="1:2" x14ac:dyDescent="0.25">
      <c r="A89" s="7">
        <v>45222</v>
      </c>
      <c r="B89">
        <v>76.022960678333334</v>
      </c>
    </row>
    <row r="90" spans="1:2" x14ac:dyDescent="0.25">
      <c r="A90" s="7">
        <v>45223</v>
      </c>
      <c r="B90">
        <v>78.591089300000036</v>
      </c>
    </row>
    <row r="91" spans="1:2" x14ac:dyDescent="0.25">
      <c r="A91" s="7">
        <v>45224</v>
      </c>
      <c r="B91">
        <v>76.358909188333328</v>
      </c>
    </row>
    <row r="92" spans="1:2" x14ac:dyDescent="0.25">
      <c r="A92" s="7">
        <v>45225</v>
      </c>
      <c r="B92">
        <v>75.466586561666659</v>
      </c>
    </row>
    <row r="93" spans="1:2" x14ac:dyDescent="0.25">
      <c r="A93" s="7">
        <v>45226</v>
      </c>
      <c r="B93">
        <v>74.220367953333337</v>
      </c>
    </row>
    <row r="94" spans="1:2" x14ac:dyDescent="0.25">
      <c r="A94" s="7">
        <v>45227</v>
      </c>
      <c r="B94">
        <v>74.879430410000012</v>
      </c>
    </row>
    <row r="95" spans="1:2" x14ac:dyDescent="0.25">
      <c r="A95" s="7">
        <v>45228</v>
      </c>
      <c r="B95">
        <v>73.320624541666675</v>
      </c>
    </row>
    <row r="96" spans="1:2" x14ac:dyDescent="0.25">
      <c r="A96" s="7">
        <v>45229</v>
      </c>
      <c r="B96">
        <v>76.754021168333324</v>
      </c>
    </row>
    <row r="97" spans="1:2" x14ac:dyDescent="0.25">
      <c r="A97" s="7">
        <v>45230</v>
      </c>
      <c r="B97">
        <v>76.619448705000011</v>
      </c>
    </row>
    <row r="98" spans="1:2" x14ac:dyDescent="0.25">
      <c r="A98" s="7">
        <v>45231</v>
      </c>
      <c r="B98">
        <v>72.057510476666678</v>
      </c>
    </row>
    <row r="99" spans="1:2" x14ac:dyDescent="0.25">
      <c r="A99" s="7">
        <v>45232</v>
      </c>
      <c r="B99">
        <v>72.178008776666672</v>
      </c>
    </row>
    <row r="100" spans="1:2" x14ac:dyDescent="0.25">
      <c r="A100" s="7">
        <v>45233</v>
      </c>
      <c r="B100">
        <v>76.669772671666664</v>
      </c>
    </row>
    <row r="101" spans="1:2" x14ac:dyDescent="0.25">
      <c r="A101" s="7">
        <v>45234</v>
      </c>
      <c r="B101">
        <v>67.049983845000014</v>
      </c>
    </row>
    <row r="102" spans="1:2" x14ac:dyDescent="0.25">
      <c r="A102" s="7">
        <v>45235</v>
      </c>
      <c r="B102">
        <v>64.359170558333332</v>
      </c>
    </row>
    <row r="103" spans="1:2" x14ac:dyDescent="0.25">
      <c r="A103" s="7">
        <v>45236</v>
      </c>
      <c r="B103">
        <v>64.606193351666676</v>
      </c>
    </row>
    <row r="104" spans="1:2" x14ac:dyDescent="0.25">
      <c r="A104" s="7">
        <v>45237</v>
      </c>
      <c r="B104">
        <v>68.321704883333339</v>
      </c>
    </row>
    <row r="105" spans="1:2" x14ac:dyDescent="0.25">
      <c r="A105" s="7">
        <v>45238</v>
      </c>
      <c r="B105">
        <v>73.077999835000014</v>
      </c>
    </row>
    <row r="106" spans="1:2" x14ac:dyDescent="0.25">
      <c r="A106" s="7">
        <v>45239</v>
      </c>
      <c r="B106">
        <v>77.893376751666693</v>
      </c>
    </row>
    <row r="107" spans="1:2" x14ac:dyDescent="0.25">
      <c r="A107" s="7">
        <v>45240</v>
      </c>
      <c r="B107">
        <v>78.632634151666664</v>
      </c>
    </row>
    <row r="108" spans="1:2" x14ac:dyDescent="0.25">
      <c r="A108" s="7">
        <v>45241</v>
      </c>
      <c r="B108">
        <v>76.486406233333327</v>
      </c>
    </row>
    <row r="109" spans="1:2" x14ac:dyDescent="0.25">
      <c r="A109" s="7">
        <v>45242</v>
      </c>
      <c r="B109">
        <v>78.263047845000003</v>
      </c>
    </row>
    <row r="110" spans="1:2" x14ac:dyDescent="0.25">
      <c r="A110" s="7">
        <v>45243</v>
      </c>
      <c r="B110">
        <v>79.846892290000014</v>
      </c>
    </row>
    <row r="111" spans="1:2" x14ac:dyDescent="0.25">
      <c r="A111" s="7">
        <v>45244</v>
      </c>
      <c r="B111">
        <v>80.957739188333335</v>
      </c>
    </row>
    <row r="112" spans="1:2" x14ac:dyDescent="0.25">
      <c r="A112" s="7">
        <v>45245</v>
      </c>
      <c r="B112">
        <v>79.519030721666653</v>
      </c>
    </row>
    <row r="113" spans="1:2" x14ac:dyDescent="0.25">
      <c r="A113" s="7">
        <v>45246</v>
      </c>
      <c r="B113">
        <v>79.508426616666682</v>
      </c>
    </row>
    <row r="114" spans="1:2" x14ac:dyDescent="0.25">
      <c r="A114" s="7">
        <v>45247</v>
      </c>
      <c r="B114">
        <v>81.019686676666666</v>
      </c>
    </row>
    <row r="115" spans="1:2" x14ac:dyDescent="0.25">
      <c r="A115" s="7">
        <v>45248</v>
      </c>
      <c r="B115">
        <v>80.880729481666663</v>
      </c>
    </row>
    <row r="116" spans="1:2" x14ac:dyDescent="0.25">
      <c r="A116" s="7">
        <v>45249</v>
      </c>
      <c r="B116">
        <v>78.95268810666667</v>
      </c>
    </row>
    <row r="117" spans="1:2" x14ac:dyDescent="0.25">
      <c r="A117" s="7">
        <v>45250</v>
      </c>
      <c r="B117">
        <v>71.69984594333333</v>
      </c>
    </row>
    <row r="118" spans="1:2" x14ac:dyDescent="0.25">
      <c r="A118" s="7">
        <v>45251</v>
      </c>
      <c r="B118">
        <v>76.088169685000011</v>
      </c>
    </row>
    <row r="119" spans="1:2" x14ac:dyDescent="0.25">
      <c r="A119" s="7">
        <v>45252</v>
      </c>
      <c r="B119">
        <v>77.606960173333334</v>
      </c>
    </row>
    <row r="120" spans="1:2" x14ac:dyDescent="0.25">
      <c r="A120" s="7">
        <v>45253</v>
      </c>
      <c r="B120">
        <v>76.878747888333336</v>
      </c>
    </row>
    <row r="121" spans="1:2" x14ac:dyDescent="0.25">
      <c r="A121" s="7">
        <v>45254</v>
      </c>
      <c r="B121">
        <v>71.016432365000014</v>
      </c>
    </row>
    <row r="122" spans="1:2" x14ac:dyDescent="0.25">
      <c r="A122" s="7">
        <v>45255</v>
      </c>
      <c r="B122">
        <v>68.097968356666669</v>
      </c>
    </row>
    <row r="123" spans="1:2" x14ac:dyDescent="0.25">
      <c r="A123" s="7">
        <v>45256</v>
      </c>
      <c r="B123">
        <v>69.572180443333338</v>
      </c>
    </row>
    <row r="124" spans="1:2" x14ac:dyDescent="0.25">
      <c r="A124" s="7">
        <v>45257</v>
      </c>
      <c r="B124">
        <v>73.081601398333319</v>
      </c>
    </row>
    <row r="125" spans="1:2" x14ac:dyDescent="0.25">
      <c r="A125" s="7">
        <v>45258</v>
      </c>
      <c r="B125">
        <v>74.867799178333328</v>
      </c>
    </row>
    <row r="126" spans="1:2" x14ac:dyDescent="0.25">
      <c r="A126" s="7">
        <v>45259</v>
      </c>
      <c r="B126">
        <v>72.998537415000001</v>
      </c>
    </row>
    <row r="127" spans="1:2" x14ac:dyDescent="0.25">
      <c r="A127" s="7">
        <v>45260</v>
      </c>
      <c r="B127">
        <v>76.16079527666669</v>
      </c>
    </row>
    <row r="128" spans="1:2" x14ac:dyDescent="0.25">
      <c r="A128" s="7">
        <v>45261</v>
      </c>
      <c r="B128">
        <v>79.911540705000007</v>
      </c>
    </row>
    <row r="129" spans="1:2" x14ac:dyDescent="0.25">
      <c r="A129" s="7">
        <v>45262</v>
      </c>
      <c r="B129">
        <v>80.494152005000004</v>
      </c>
    </row>
    <row r="130" spans="1:2" x14ac:dyDescent="0.25">
      <c r="A130" s="7">
        <v>45263</v>
      </c>
      <c r="B130">
        <v>80.546709703333349</v>
      </c>
    </row>
    <row r="131" spans="1:2" x14ac:dyDescent="0.25">
      <c r="A131" s="7">
        <v>45264</v>
      </c>
      <c r="B131">
        <v>79.597854733333349</v>
      </c>
    </row>
    <row r="132" spans="1:2" x14ac:dyDescent="0.25">
      <c r="A132" s="7">
        <v>45265</v>
      </c>
      <c r="B132">
        <v>78.330421531666687</v>
      </c>
    </row>
    <row r="133" spans="1:2" x14ac:dyDescent="0.25">
      <c r="A133" s="7">
        <v>45266</v>
      </c>
      <c r="B133">
        <v>78.124165298333338</v>
      </c>
    </row>
    <row r="134" spans="1:2" x14ac:dyDescent="0.25">
      <c r="A134" s="7">
        <v>45267</v>
      </c>
      <c r="B134">
        <v>78.781078858333345</v>
      </c>
    </row>
    <row r="135" spans="1:2" x14ac:dyDescent="0.25">
      <c r="A135" s="7">
        <v>45268</v>
      </c>
      <c r="B135">
        <v>78.229343549999996</v>
      </c>
    </row>
    <row r="136" spans="1:2" x14ac:dyDescent="0.25">
      <c r="A136" s="7">
        <v>45269</v>
      </c>
      <c r="B136">
        <v>74.47286622</v>
      </c>
    </row>
    <row r="137" spans="1:2" x14ac:dyDescent="0.25">
      <c r="A137" s="7">
        <v>45270</v>
      </c>
      <c r="B137">
        <v>74.367766188333334</v>
      </c>
    </row>
    <row r="138" spans="1:2" x14ac:dyDescent="0.25">
      <c r="A138" s="7">
        <v>45271</v>
      </c>
      <c r="B138">
        <v>74.804945771666681</v>
      </c>
    </row>
    <row r="139" spans="1:2" x14ac:dyDescent="0.25">
      <c r="A139" s="7">
        <v>45272</v>
      </c>
      <c r="B139">
        <v>71.805522295000003</v>
      </c>
    </row>
    <row r="140" spans="1:2" x14ac:dyDescent="0.25">
      <c r="A140" s="7">
        <v>45273</v>
      </c>
      <c r="B140">
        <v>71.664508674999993</v>
      </c>
    </row>
    <row r="141" spans="1:2" x14ac:dyDescent="0.25">
      <c r="A141" s="7">
        <v>45274</v>
      </c>
      <c r="B141">
        <v>75.131692968333326</v>
      </c>
    </row>
    <row r="142" spans="1:2" x14ac:dyDescent="0.25">
      <c r="A142" s="7">
        <v>45275</v>
      </c>
      <c r="B142">
        <v>79.320876525000031</v>
      </c>
    </row>
    <row r="143" spans="1:2" x14ac:dyDescent="0.25">
      <c r="A143" s="7">
        <v>45276</v>
      </c>
      <c r="B143">
        <v>78.843023403333333</v>
      </c>
    </row>
    <row r="144" spans="1:2" x14ac:dyDescent="0.25">
      <c r="A144" s="7">
        <v>45277</v>
      </c>
      <c r="B144">
        <v>79.049454958333328</v>
      </c>
    </row>
    <row r="145" spans="1:2" x14ac:dyDescent="0.25">
      <c r="A145" s="7">
        <v>45278</v>
      </c>
      <c r="B145">
        <v>78.195229455000003</v>
      </c>
    </row>
    <row r="146" spans="1:2" x14ac:dyDescent="0.25">
      <c r="A146" s="7">
        <v>45279</v>
      </c>
      <c r="B146">
        <v>76.205826361666681</v>
      </c>
    </row>
    <row r="147" spans="1:2" x14ac:dyDescent="0.25">
      <c r="A147" s="7">
        <v>45280</v>
      </c>
      <c r="B147">
        <v>74.348931293333337</v>
      </c>
    </row>
    <row r="148" spans="1:2" x14ac:dyDescent="0.25">
      <c r="A148" s="7">
        <v>45281</v>
      </c>
      <c r="B148">
        <v>75.202425228333354</v>
      </c>
    </row>
    <row r="149" spans="1:2" x14ac:dyDescent="0.25">
      <c r="A149" s="7">
        <v>45282</v>
      </c>
      <c r="B149">
        <v>77.273481908333352</v>
      </c>
    </row>
    <row r="150" spans="1:2" x14ac:dyDescent="0.25">
      <c r="A150" s="7">
        <v>45283</v>
      </c>
      <c r="B150">
        <v>76.200432591666655</v>
      </c>
    </row>
    <row r="151" spans="1:2" x14ac:dyDescent="0.25">
      <c r="A151" s="7">
        <v>45284</v>
      </c>
      <c r="B151">
        <v>76.265998955000001</v>
      </c>
    </row>
    <row r="152" spans="1:2" x14ac:dyDescent="0.25">
      <c r="A152" s="7">
        <v>45285</v>
      </c>
      <c r="B152">
        <v>77.515244221666677</v>
      </c>
    </row>
    <row r="153" spans="1:2" x14ac:dyDescent="0.25">
      <c r="A153" s="7">
        <v>45286</v>
      </c>
      <c r="B153">
        <v>78.441645576666673</v>
      </c>
    </row>
    <row r="154" spans="1:2" x14ac:dyDescent="0.25">
      <c r="A154" s="7">
        <v>45287</v>
      </c>
      <c r="B154">
        <v>73.346517901666672</v>
      </c>
    </row>
    <row r="155" spans="1:2" x14ac:dyDescent="0.25">
      <c r="A155" s="7">
        <v>45288</v>
      </c>
      <c r="B155">
        <v>74.065547310000014</v>
      </c>
    </row>
    <row r="156" spans="1:2" x14ac:dyDescent="0.25">
      <c r="A156" s="7">
        <v>45289</v>
      </c>
      <c r="B156">
        <v>77.658108701666677</v>
      </c>
    </row>
    <row r="157" spans="1:2" x14ac:dyDescent="0.25">
      <c r="A157" s="7">
        <v>45290</v>
      </c>
      <c r="B157">
        <v>76.720168813333345</v>
      </c>
    </row>
    <row r="158" spans="1:2" x14ac:dyDescent="0.25">
      <c r="A158" s="7">
        <v>45291</v>
      </c>
      <c r="B158">
        <v>72.618748071666687</v>
      </c>
    </row>
    <row r="159" spans="1:2" x14ac:dyDescent="0.25">
      <c r="A159" s="7">
        <v>45292</v>
      </c>
      <c r="B159">
        <v>73.952948621666678</v>
      </c>
    </row>
    <row r="160" spans="1:2" x14ac:dyDescent="0.25">
      <c r="A160" s="7">
        <v>45293</v>
      </c>
      <c r="B160">
        <v>75.708736218333328</v>
      </c>
    </row>
    <row r="161" spans="1:2" x14ac:dyDescent="0.25">
      <c r="A161" s="7">
        <v>45294</v>
      </c>
      <c r="B161">
        <v>76.710315476666665</v>
      </c>
    </row>
    <row r="162" spans="1:2" x14ac:dyDescent="0.25">
      <c r="A162" s="7">
        <v>45295</v>
      </c>
      <c r="B162">
        <v>75.017802493333349</v>
      </c>
    </row>
    <row r="163" spans="1:2" x14ac:dyDescent="0.25">
      <c r="A163" s="7">
        <v>45296</v>
      </c>
      <c r="B163">
        <v>73.949223105000002</v>
      </c>
    </row>
    <row r="164" spans="1:2" x14ac:dyDescent="0.25">
      <c r="A164" s="7">
        <v>45297</v>
      </c>
      <c r="B164">
        <v>75.495574136666676</v>
      </c>
    </row>
    <row r="165" spans="1:2" x14ac:dyDescent="0.25">
      <c r="A165" s="7">
        <v>45298</v>
      </c>
      <c r="B165">
        <v>78.118339366666675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Donadio</dc:creator>
  <cp:lastModifiedBy>João Pedro Donadio da Silva Pereira</cp:lastModifiedBy>
  <dcterms:created xsi:type="dcterms:W3CDTF">2015-06-05T18:19:34Z</dcterms:created>
  <dcterms:modified xsi:type="dcterms:W3CDTF">2024-10-03T17:33:41Z</dcterms:modified>
</cp:coreProperties>
</file>