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zalo store\"/>
    </mc:Choice>
  </mc:AlternateContent>
  <xr:revisionPtr revIDLastSave="0" documentId="13_ncr:1_{EB6C79C0-5152-4634-AB22-EE122498D1D2}" xr6:coauthVersionLast="47" xr6:coauthVersionMax="47" xr10:uidLastSave="{00000000-0000-0000-0000-000000000000}"/>
  <bookViews>
    <workbookView xWindow="-120" yWindow="-120" windowWidth="29040" windowHeight="15840" activeTab="1" xr2:uid="{FB5E7995-4C3C-48A3-9572-BC29413692D9}"/>
  </bookViews>
  <sheets>
    <sheet name="Table comparison" sheetId="1" r:id="rId1"/>
    <sheet name="Sheet1" sheetId="7" r:id="rId2"/>
    <sheet name="Curve comparison" sheetId="4" r:id="rId3"/>
    <sheet name="LD comparison" sheetId="6" r:id="rId4"/>
    <sheet name="Advance Noti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7" l="1"/>
  <c r="D23" i="7"/>
  <c r="B22" i="7"/>
  <c r="B21" i="7"/>
  <c r="D21" i="7"/>
  <c r="D20" i="7"/>
  <c r="B20" i="7"/>
  <c r="D19" i="7"/>
  <c r="B19" i="7"/>
  <c r="D18" i="7"/>
  <c r="B18" i="7"/>
  <c r="D17" i="7"/>
  <c r="B17" i="7"/>
  <c r="D16" i="7"/>
  <c r="B16" i="7"/>
  <c r="B15" i="7"/>
  <c r="B14" i="7"/>
  <c r="B13" i="7"/>
  <c r="F14" i="6"/>
  <c r="G14" i="6"/>
  <c r="H14" i="6"/>
  <c r="I14" i="6"/>
  <c r="J14" i="6"/>
  <c r="K14" i="6"/>
  <c r="L14" i="6"/>
  <c r="E14" i="6"/>
  <c r="F8" i="6"/>
  <c r="G8" i="6"/>
  <c r="H8" i="6"/>
  <c r="I8" i="6"/>
  <c r="J8" i="6"/>
  <c r="K8" i="6"/>
  <c r="L8" i="6"/>
  <c r="E8" i="6"/>
  <c r="F18" i="6" l="1"/>
  <c r="G18" i="6"/>
  <c r="H18" i="6"/>
  <c r="I18" i="6"/>
  <c r="J18" i="6"/>
  <c r="K18" i="6"/>
  <c r="L18" i="6"/>
  <c r="E18" i="6"/>
  <c r="U8" i="1" l="1"/>
  <c r="U11" i="1"/>
  <c r="U5" i="1"/>
  <c r="V10" i="1"/>
  <c r="U10" i="1" s="1"/>
  <c r="V9" i="1"/>
  <c r="U9" i="1" s="1"/>
  <c r="V7" i="1"/>
  <c r="U7" i="1" s="1"/>
  <c r="V6" i="1"/>
  <c r="T6" i="1" s="1"/>
  <c r="T7" i="1" s="1"/>
  <c r="P6" i="1"/>
  <c r="P7" i="1" s="1"/>
  <c r="P8" i="1" s="1"/>
  <c r="Q6" i="1"/>
  <c r="Q11" i="1"/>
  <c r="Q5" i="1"/>
  <c r="R10" i="1"/>
  <c r="Q10" i="1" s="1"/>
  <c r="R9" i="1"/>
  <c r="Q9" i="1" s="1"/>
  <c r="R8" i="1"/>
  <c r="Q8" i="1" s="1"/>
  <c r="R7" i="1"/>
  <c r="Q7" i="1" s="1"/>
  <c r="T23" i="1"/>
  <c r="T24" i="1" s="1"/>
  <c r="T25" i="1" s="1"/>
  <c r="P23" i="1"/>
  <c r="P24" i="1" s="1"/>
  <c r="P25" i="1" s="1"/>
  <c r="L23" i="1"/>
  <c r="L24" i="1" s="1"/>
  <c r="L25" i="1" s="1"/>
  <c r="I17" i="1"/>
  <c r="I15" i="1"/>
  <c r="H23" i="1" s="1"/>
  <c r="H24" i="1" s="1"/>
  <c r="H25" i="1" s="1"/>
  <c r="L6" i="1"/>
  <c r="H6" i="1"/>
  <c r="N10" i="1"/>
  <c r="M10" i="1" s="1"/>
  <c r="N9" i="1"/>
  <c r="M9" i="1" s="1"/>
  <c r="M6" i="1"/>
  <c r="M11" i="1"/>
  <c r="M5" i="1"/>
  <c r="N8" i="1"/>
  <c r="M8" i="1" s="1"/>
  <c r="N7" i="1"/>
  <c r="M7" i="1" s="1"/>
  <c r="I6" i="1"/>
  <c r="I9" i="1"/>
  <c r="I5" i="1"/>
  <c r="J7" i="1"/>
  <c r="I7" i="1" s="1"/>
  <c r="J8" i="1"/>
  <c r="I8" i="1" s="1"/>
  <c r="P9" i="1" l="1"/>
  <c r="P10" i="1" s="1"/>
  <c r="P11" i="1" s="1"/>
  <c r="H7" i="1"/>
  <c r="H8" i="1" s="1"/>
  <c r="H9" i="1" s="1"/>
  <c r="L7" i="1"/>
  <c r="L8" i="1" s="1"/>
  <c r="L9" i="1" s="1"/>
  <c r="L10" i="1" s="1"/>
  <c r="L11" i="1" s="1"/>
  <c r="U6" i="1"/>
  <c r="T8" i="1"/>
  <c r="T9" i="1" s="1"/>
  <c r="B49" i="4"/>
  <c r="B47" i="4"/>
  <c r="B48" i="4" s="1"/>
  <c r="B46" i="4"/>
  <c r="B39" i="4"/>
  <c r="B38" i="4"/>
  <c r="B37" i="4"/>
  <c r="B36" i="4"/>
  <c r="B35" i="4"/>
  <c r="N25" i="4"/>
  <c r="N26" i="4"/>
  <c r="N24" i="4"/>
  <c r="N11" i="4"/>
  <c r="N12" i="4"/>
  <c r="N10" i="4"/>
  <c r="M11" i="4"/>
  <c r="M12" i="4"/>
  <c r="M10" i="4"/>
  <c r="N23" i="4"/>
  <c r="N22" i="4"/>
  <c r="O20" i="4"/>
  <c r="N20" i="4" s="1"/>
  <c r="O19" i="4"/>
  <c r="N19" i="4" s="1"/>
  <c r="N18" i="4"/>
  <c r="M18" i="4"/>
  <c r="N17" i="4"/>
  <c r="J25" i="4"/>
  <c r="J26" i="4"/>
  <c r="J24" i="4"/>
  <c r="F25" i="4"/>
  <c r="F26" i="4"/>
  <c r="F24" i="4"/>
  <c r="B23" i="4"/>
  <c r="B24" i="4"/>
  <c r="B22" i="4"/>
  <c r="T10" i="1" l="1"/>
  <c r="T11" i="1" s="1"/>
  <c r="M19" i="4"/>
  <c r="M20" i="4" s="1"/>
  <c r="M21" i="4" s="1"/>
  <c r="M22" i="4" s="1"/>
  <c r="M23" i="4" s="1"/>
  <c r="U52" i="1"/>
  <c r="U53" i="1"/>
  <c r="U48" i="1"/>
  <c r="U50" i="1"/>
  <c r="U47" i="1"/>
  <c r="T48" i="1"/>
  <c r="V50" i="1"/>
  <c r="V49" i="1"/>
  <c r="U49" i="1" s="1"/>
  <c r="T65" i="1"/>
  <c r="T66" i="1" s="1"/>
  <c r="T67" i="1" s="1"/>
  <c r="P65" i="1"/>
  <c r="L65" i="1"/>
  <c r="E58" i="1"/>
  <c r="I59" i="1"/>
  <c r="I57" i="1"/>
  <c r="H65" i="1" s="1"/>
  <c r="AE50" i="1"/>
  <c r="AE51" i="1" s="1"/>
  <c r="Y49" i="1"/>
  <c r="AB49" i="1"/>
  <c r="AE48" i="1"/>
  <c r="AE49" i="1" s="1"/>
  <c r="AB47" i="1"/>
  <c r="Y47" i="1"/>
  <c r="A43" i="4" s="1"/>
  <c r="A44" i="4" s="1"/>
  <c r="A45" i="4" s="1"/>
  <c r="A46" i="4" s="1"/>
  <c r="A47" i="4" s="1"/>
  <c r="A48" i="4" s="1"/>
  <c r="A49" i="4" s="1"/>
  <c r="AE46" i="1"/>
  <c r="T49" i="1" l="1"/>
  <c r="T50" i="1" s="1"/>
  <c r="T51" i="1" s="1"/>
  <c r="T52" i="1" s="1"/>
  <c r="T53" i="1" s="1"/>
  <c r="L66" i="1"/>
  <c r="E24" i="4"/>
  <c r="P66" i="1"/>
  <c r="I24" i="4"/>
  <c r="AD50" i="1"/>
  <c r="AD51" i="1" s="1"/>
  <c r="AD52" i="1" s="1"/>
  <c r="H66" i="1"/>
  <c r="A22" i="4"/>
  <c r="M25" i="4"/>
  <c r="M26" i="4"/>
  <c r="M24" i="4"/>
  <c r="C11" i="3"/>
  <c r="B11" i="3" s="1"/>
  <c r="B8" i="3"/>
  <c r="B5" i="3"/>
  <c r="B4" i="3"/>
  <c r="B3" i="3"/>
  <c r="B2" i="3"/>
  <c r="N16" i="3"/>
  <c r="C10" i="3" s="1"/>
  <c r="B10" i="3" s="1"/>
  <c r="C9" i="3" l="1"/>
  <c r="B9" i="3" s="1"/>
  <c r="P67" i="1"/>
  <c r="I26" i="4" s="1"/>
  <c r="I25" i="4"/>
  <c r="H67" i="1"/>
  <c r="A24" i="4" s="1"/>
  <c r="A23" i="4"/>
  <c r="L67" i="1"/>
  <c r="E26" i="4" s="1"/>
  <c r="E25" i="4"/>
  <c r="AE8" i="1"/>
  <c r="AE9" i="1" s="1"/>
  <c r="Y8" i="1"/>
  <c r="AB7" i="1"/>
  <c r="AE6" i="1"/>
  <c r="AE7" i="1" s="1"/>
  <c r="Y6" i="1"/>
  <c r="AB5" i="1"/>
  <c r="Y5" i="1"/>
  <c r="A31" i="4" s="1"/>
  <c r="AE4" i="1"/>
  <c r="A32" i="4" l="1"/>
  <c r="A33" i="4" s="1"/>
  <c r="A34" i="4" s="1"/>
  <c r="A35" i="4" s="1"/>
  <c r="A36" i="4" s="1"/>
  <c r="A37" i="4" s="1"/>
  <c r="A38" i="4" s="1"/>
  <c r="A39" i="4" s="1"/>
  <c r="AD8" i="1"/>
  <c r="AD9" i="1" s="1"/>
  <c r="AD10" i="1" s="1"/>
</calcChain>
</file>

<file path=xl/sharedStrings.xml><?xml version="1.0" encoding="utf-8"?>
<sst xmlns="http://schemas.openxmlformats.org/spreadsheetml/2006/main" count="406" uniqueCount="156">
  <si>
    <t>Shutdown Period (hours)</t>
  </si>
  <si>
    <t>Time from light-off to synchronise (minutes)</t>
  </si>
  <si>
    <t>Time from Synchronise to Full Load (minutes)</t>
  </si>
  <si>
    <t>Total time (minutes)</t>
  </si>
  <si>
    <t>Hot Start-up</t>
  </si>
  <si>
    <t>Less than 8</t>
  </si>
  <si>
    <t>Load</t>
  </si>
  <si>
    <t>MW/min</t>
  </si>
  <si>
    <t>Rate (MW/min):</t>
  </si>
  <si>
    <t>Warm Start-up</t>
  </si>
  <si>
    <t>From 8 to 56</t>
  </si>
  <si>
    <t>Net MW</t>
  </si>
  <si>
    <t>40% to 50%</t>
  </si>
  <si>
    <t>100% to 65%</t>
  </si>
  <si>
    <t>Cold Start-up</t>
  </si>
  <si>
    <t>From  56 to 72</t>
  </si>
  <si>
    <t>50% to 65%</t>
  </si>
  <si>
    <t>Hold 30 mins at 65%</t>
  </si>
  <si>
    <t>Initial Cold Start-up</t>
  </si>
  <si>
    <t>More than 72</t>
  </si>
  <si>
    <t>65% to 100%</t>
  </si>
  <si>
    <t xml:space="preserve">  </t>
  </si>
  <si>
    <t>Gross MW</t>
  </si>
  <si>
    <t>Table 1: 
Start-up types</t>
  </si>
  <si>
    <t>Table 2: Hot Start-up</t>
  </si>
  <si>
    <t>Table 2.2: Load Change from 40% to 100% after hot start-up</t>
  </si>
  <si>
    <t>Table 3.2: Load Change from 40% to 100% after warm start-up</t>
  </si>
  <si>
    <t>Table 3: Warm Start-up</t>
  </si>
  <si>
    <t>Table 4: Cold Start-up</t>
  </si>
  <si>
    <t>Table 4.2: Load Change from 40% to 100% after cold start-up</t>
  </si>
  <si>
    <t>Table 5.2: Load Change from 40% to 100% after initial cold start-up</t>
  </si>
  <si>
    <t>Table 5: Initial Cold Start-up</t>
  </si>
  <si>
    <t>Table 6: Ramp up in normal operation</t>
  </si>
  <si>
    <t>Table 7: Ramp down in normal operation</t>
  </si>
  <si>
    <r>
      <rPr>
        <b/>
        <sz val="11"/>
        <color theme="1"/>
        <rFont val="Calibri"/>
        <family val="2"/>
        <scheme val="minor"/>
      </rPr>
      <t>Table 9: Energy LD not apply in below cases:</t>
    </r>
    <r>
      <rPr>
        <sz val="11"/>
        <color theme="1"/>
        <rFont val="Calibri"/>
        <family val="2"/>
        <scheme val="minor"/>
      </rPr>
      <t xml:space="preserve">
1. Startup
2. Load change
3. Grid operates outside limit
4. Emergency
5. Force Majeure Event</t>
    </r>
  </si>
  <si>
    <t>Table 8: Shutdown</t>
  </si>
  <si>
    <t>The first DI after reaching 40% will apply Start Up ramp rate in Table 2.1, Table 3.1, Table 4.1, Table 5.1 accordingly. And the other following DIs will apply normal operation ramp rate in Table 6 and Table 7</t>
  </si>
  <si>
    <t>Time from 40% load to 0% load (mins)</t>
  </si>
  <si>
    <t>Time from Syn to 40% load (mins)</t>
  </si>
  <si>
    <t>Table 2.1: Ramp rate from 40% to 100% after hot start-up</t>
  </si>
  <si>
    <t>Table 3.1: Ramp rate from 40% to 100% after warm start-up</t>
  </si>
  <si>
    <t>Table 4.1: Ramp rate from 40% to 100% after cold start-up</t>
  </si>
  <si>
    <t>Table 5.1: Ramp rate from 40% to 100% after initial cold start-up</t>
  </si>
  <si>
    <t>Time (mins)</t>
  </si>
  <si>
    <t>Hold (mins)</t>
  </si>
  <si>
    <t xml:space="preserve"> 65% to 50%</t>
  </si>
  <si>
    <t xml:space="preserve"> 50% to 40%</t>
  </si>
  <si>
    <t>Start-up mode</t>
  </si>
  <si>
    <t>Hrs</t>
  </si>
  <si>
    <t>&lt; 8</t>
  </si>
  <si>
    <t>&gt;=8 to 56</t>
  </si>
  <si>
    <t>&gt;= 56 to 72</t>
  </si>
  <si>
    <t>Innitial Cold</t>
  </si>
  <si>
    <t>&gt;=72</t>
  </si>
  <si>
    <t xml:space="preserve">Put Unit in Presevation </t>
  </si>
  <si>
    <t>After unit shutdown (hrs)</t>
  </si>
  <si>
    <t>Increase pH water</t>
  </si>
  <si>
    <t>Fill N2 Boiler and Heater</t>
  </si>
  <si>
    <t>Start-up Auxboiler</t>
  </si>
  <si>
    <t>Drain high Ph water</t>
  </si>
  <si>
    <t>Fill Demin water</t>
  </si>
  <si>
    <t>Flushing</t>
  </si>
  <si>
    <t>Boiler firing to reach 20kg/cm2</t>
  </si>
  <si>
    <t>Sum</t>
  </si>
  <si>
    <t>Start-up with 1 unit online</t>
  </si>
  <si>
    <t>Start-up with both unit offline</t>
  </si>
  <si>
    <t>Advance Notice (hrs)</t>
  </si>
  <si>
    <t>Start-up Aux Boiler/Line up Aux Steam (hrs)</t>
  </si>
  <si>
    <t>Condenser Hotwell Filling (hrs)</t>
  </si>
  <si>
    <t>Condensate system start (hrs)</t>
  </si>
  <si>
    <t>LP CU Blow/Cir (hrs)</t>
  </si>
  <si>
    <t>Feedwater Start (hrs)</t>
  </si>
  <si>
    <t>HP CU blow/Cir (hrs)</t>
  </si>
  <si>
    <t>Boiler filling (hrs)</t>
  </si>
  <si>
    <t>Boiler cold CU blow/Cir (hrs)</t>
  </si>
  <si>
    <t>Boiler hot CU blow/Cir (hrs)</t>
  </si>
  <si>
    <t>Hold 30 mins at 50%</t>
  </si>
  <si>
    <t>50% to 100%</t>
  </si>
  <si>
    <t>Hold 60 mins at 50%</t>
  </si>
  <si>
    <t>100% to 70%</t>
  </si>
  <si>
    <t>Hold 30 mins at 70%</t>
  </si>
  <si>
    <t xml:space="preserve"> 70% to 40%</t>
  </si>
  <si>
    <r>
      <rPr>
        <b/>
        <sz val="11"/>
        <color rgb="FFC00000"/>
        <rFont val="Calibri"/>
        <family val="2"/>
        <scheme val="minor"/>
      </rPr>
      <t>Table 9: Energy LD not apply in below cases:</t>
    </r>
    <r>
      <rPr>
        <sz val="11"/>
        <color rgb="FFC00000"/>
        <rFont val="Calibri"/>
        <family val="2"/>
        <scheme val="minor"/>
      </rPr>
      <t xml:space="preserve">
1. Startup
2. Load change
3. Grid operates outside limit
4. Emergency
5. Force Majeure Event</t>
    </r>
  </si>
  <si>
    <t>Time in normal operation (proposal)</t>
  </si>
  <si>
    <t>Time in normal operation (PPA)</t>
  </si>
  <si>
    <t>Comparation</t>
  </si>
  <si>
    <t>From Predicted Curve in PPA</t>
  </si>
  <si>
    <t>Proposal to EPTC based on EPC final curves</t>
  </si>
  <si>
    <t>Monthly Liquidated Damages (8.1b of PPA)</t>
  </si>
  <si>
    <t>Unit: VND</t>
  </si>
  <si>
    <t>Total</t>
  </si>
  <si>
    <t>EPTC (PPA curve)</t>
  </si>
  <si>
    <t>CLD</t>
  </si>
  <si>
    <t>Unit 1</t>
  </si>
  <si>
    <t>Unit 2</t>
  </si>
  <si>
    <t>ELD</t>
  </si>
  <si>
    <t>VND</t>
  </si>
  <si>
    <t>USD</t>
  </si>
  <si>
    <t>VPCL (EPC curve)</t>
  </si>
  <si>
    <t>In NIA Nov. 23</t>
  </si>
  <si>
    <t>In NIA Dec. 23</t>
  </si>
  <si>
    <t>In NIA Jan. 24</t>
  </si>
  <si>
    <t>In NIA Feb. 24</t>
  </si>
  <si>
    <t>Monthly LD</t>
  </si>
  <si>
    <t>Billing month:</t>
  </si>
  <si>
    <t>M0</t>
  </si>
  <si>
    <t>Issue NIA of Oct-2023</t>
  </si>
  <si>
    <t>M1</t>
  </si>
  <si>
    <t>EPTC send LD's amount of Oct-2023</t>
  </si>
  <si>
    <t>VPCL's feedback of disputed amount of Oct-2023</t>
  </si>
  <si>
    <t>M2</t>
  </si>
  <si>
    <t>Issue NIA of Nov-2023 and undisputed amount of LD Oct. 2023</t>
  </si>
  <si>
    <t xml:space="preserve">Issue VAT invoice of Oct-2023 </t>
  </si>
  <si>
    <t>EVN make payment of NIA - Oct. 2023</t>
  </si>
  <si>
    <t>EPTC send LD's amount of Nov. 2023</t>
  </si>
  <si>
    <t>VPCL's feedback of disputed amount of Nov-2023</t>
  </si>
  <si>
    <t>M3</t>
  </si>
  <si>
    <t>Issue NIA of Dec-2023 and undisputed amount of LD Nov. 2023</t>
  </si>
  <si>
    <t>Issue VAT invoice of Nov-2023 deducting undisputed amount of LD Oct. 23</t>
  </si>
  <si>
    <t>EVN make payment Tariff Nov. 2023</t>
  </si>
  <si>
    <t>EPTC send LD's amount of Dec. 2023</t>
  </si>
  <si>
    <t>VPCL's feedback of disputed amount of Dec-2023</t>
  </si>
  <si>
    <t>Issue NIA of Jan-2024 and undisputed amount of LD Dec. 2023</t>
  </si>
  <si>
    <t>Issue VAT invoice of Dec-2023 deducting undisputed amount of LD Nov. 23</t>
  </si>
  <si>
    <t>EVN make payment Tariff Dec. 2023</t>
  </si>
  <si>
    <t>EPTC send LD's amount of Jan. 2024</t>
  </si>
  <si>
    <t>VPCL's feedback of disputed amount of Jan. 2024</t>
  </si>
  <si>
    <t>Issue NIA of Feb-2024 and undisputed amount of LD Jan. 2024</t>
  </si>
  <si>
    <t>Issue VAT invoice of Jan-2024 deducting undisputed amount of LD Dec. 23</t>
  </si>
  <si>
    <t>EVN make payment Tariff Jan. 2024</t>
  </si>
  <si>
    <t>EPTC send LD's amount of Feb. 2024</t>
  </si>
  <si>
    <t>VPCL's feedback of disputed amount of Feb. 2024</t>
  </si>
  <si>
    <t>Issue NIA of Mar-2024 and undisputed amount of LD Feb. 2024</t>
  </si>
  <si>
    <t>Issue VAT invoice of Feb-2024 deducting undisputed amount of LD Jan. 24</t>
  </si>
  <si>
    <t>EVN make payment Tariff Feb. 2024</t>
  </si>
  <si>
    <t>EPTC send LD's amount of Mar. 2023</t>
  </si>
  <si>
    <t>VPCL's feedback of disputed amount of Mar. 2024</t>
  </si>
  <si>
    <t>Diff</t>
  </si>
  <si>
    <t>G15701.2025.5591</t>
  </si>
  <si>
    <t>Vân Phong 1</t>
  </si>
  <si>
    <t>S2</t>
  </si>
  <si>
    <t>Khởi động lò</t>
  </si>
  <si>
    <t>G15701.2025.5592</t>
  </si>
  <si>
    <t>Hoà lưới</t>
  </si>
  <si>
    <t>G15701.2025.5593</t>
  </si>
  <si>
    <t>Thay đổi công suất</t>
  </si>
  <si>
    <t>G15701.2025.5599</t>
  </si>
  <si>
    <t>G15701.2025.5603</t>
  </si>
  <si>
    <t>G15701.2025.5605</t>
  </si>
  <si>
    <t>G15701.2025.5607</t>
  </si>
  <si>
    <t>G15701.2025.5609</t>
  </si>
  <si>
    <t>G15701.2025.5611</t>
  </si>
  <si>
    <t>Warm st</t>
  </si>
  <si>
    <t>Syn_PPA</t>
  </si>
  <si>
    <t xml:space="preserve">Completed minload </t>
  </si>
  <si>
    <t>Load change after start-up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</si>
</sst>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dd\-mm\-yyyy\ hh:mm:ss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 tint="0.34998626667073579"/>
      <name val="Times New Roman"/>
      <family val="1"/>
    </font>
    <font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Times New Roman"/>
      <family val="1"/>
    </font>
    <font>
      <b/>
      <sz val="11"/>
      <color rgb="FFC00000"/>
      <name val="Calibri"/>
      <family val="2"/>
      <scheme val="minor"/>
    </font>
    <font>
      <sz val="11"/>
      <color rgb="FFC00000"/>
      <name val="Times New Roman"/>
      <family val="1"/>
    </font>
    <font>
      <sz val="11"/>
      <color rgb="FFFF9393"/>
      <name val="Times New Roman"/>
      <family val="1"/>
    </font>
    <font>
      <sz val="11"/>
      <color rgb="FFFF9393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name val="Times New Roman"/>
      <family val="1"/>
    </font>
    <font>
      <sz val="11"/>
      <color theme="0" tint="-0.249977111117893"/>
      <name val="Times New Roman"/>
      <family val="1"/>
    </font>
    <font>
      <sz val="11"/>
      <color theme="0" tint="-0.249977111117893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95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0" fillId="2" borderId="0" xfId="0" applyNumberFormat="1" applyFill="1"/>
    <xf numFmtId="164" fontId="3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22" fontId="0" fillId="2" borderId="0" xfId="0" applyNumberFormat="1" applyFill="1"/>
    <xf numFmtId="1" fontId="3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3" fillId="3" borderId="0" xfId="0" applyFont="1" applyFill="1" applyAlignment="1">
      <alignment horizontal="center"/>
    </xf>
    <xf numFmtId="1" fontId="0" fillId="3" borderId="0" xfId="0" applyNumberFormat="1" applyFill="1"/>
    <xf numFmtId="0" fontId="0" fillId="2" borderId="1" xfId="0" applyFill="1" applyBorder="1" applyAlignment="1">
      <alignment vertical="center" wrapText="1"/>
    </xf>
    <xf numFmtId="0" fontId="1" fillId="3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quotePrefix="1" applyFill="1"/>
    <xf numFmtId="0" fontId="1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0" fillId="5" borderId="0" xfId="0" applyFill="1"/>
    <xf numFmtId="0" fontId="9" fillId="3" borderId="0" xfId="0" applyFont="1" applyFill="1"/>
    <xf numFmtId="0" fontId="10" fillId="2" borderId="1" xfId="0" applyFont="1" applyFill="1" applyBorder="1" applyAlignment="1">
      <alignment horizontal="center" vertical="center" wrapText="1"/>
    </xf>
    <xf numFmtId="0" fontId="11" fillId="3" borderId="0" xfId="0" applyFont="1" applyFill="1"/>
    <xf numFmtId="0" fontId="9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9" fillId="2" borderId="0" xfId="0" applyFont="1" applyFill="1"/>
    <xf numFmtId="1" fontId="12" fillId="2" borderId="1" xfId="0" applyNumberFormat="1" applyFont="1" applyFill="1" applyBorder="1" applyAlignment="1">
      <alignment horizontal="center" vertical="center" wrapText="1"/>
    </xf>
    <xf numFmtId="164" fontId="9" fillId="3" borderId="0" xfId="0" applyNumberFormat="1" applyFont="1" applyFill="1"/>
    <xf numFmtId="1" fontId="9" fillId="3" borderId="0" xfId="0" applyNumberFormat="1" applyFont="1" applyFill="1"/>
    <xf numFmtId="164" fontId="12" fillId="2" borderId="1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Alignment="1">
      <alignment horizontal="center"/>
    </xf>
    <xf numFmtId="1" fontId="12" fillId="2" borderId="0" xfId="0" applyNumberFormat="1" applyFont="1" applyFill="1" applyAlignment="1">
      <alignment horizontal="center" vertical="center" wrapText="1"/>
    </xf>
    <xf numFmtId="164" fontId="12" fillId="2" borderId="0" xfId="0" applyNumberFormat="1" applyFont="1" applyFill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22" fontId="9" fillId="2" borderId="0" xfId="0" applyNumberFormat="1" applyFont="1" applyFill="1"/>
    <xf numFmtId="1" fontId="9" fillId="2" borderId="0" xfId="0" applyNumberFormat="1" applyFont="1" applyFill="1"/>
    <xf numFmtId="0" fontId="12" fillId="2" borderId="0" xfId="0" applyFont="1" applyFill="1" applyAlignment="1">
      <alignment horizontal="center" vertical="center" wrapText="1"/>
    </xf>
    <xf numFmtId="9" fontId="9" fillId="2" borderId="0" xfId="0" applyNumberFormat="1" applyFont="1" applyFill="1"/>
    <xf numFmtId="9" fontId="9" fillId="2" borderId="0" xfId="1" applyFont="1" applyFill="1"/>
    <xf numFmtId="0" fontId="12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9" fillId="2" borderId="1" xfId="0" applyFont="1" applyFill="1" applyBorder="1"/>
    <xf numFmtId="1" fontId="1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164" fontId="13" fillId="2" borderId="0" xfId="0" applyNumberFormat="1" applyFont="1" applyFill="1" applyAlignment="1">
      <alignment horizontal="center" vertical="center" wrapText="1"/>
    </xf>
    <xf numFmtId="1" fontId="13" fillId="2" borderId="0" xfId="0" applyNumberFormat="1" applyFont="1" applyFill="1" applyAlignment="1">
      <alignment horizontal="center" vertical="center" wrapText="1"/>
    </xf>
    <xf numFmtId="0" fontId="14" fillId="2" borderId="0" xfId="0" applyFont="1" applyFill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1" fontId="9" fillId="0" borderId="0" xfId="0" applyNumberFormat="1" applyFont="1"/>
    <xf numFmtId="0" fontId="9" fillId="0" borderId="1" xfId="0" applyFont="1" applyBorder="1"/>
    <xf numFmtId="1" fontId="9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2" borderId="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3" borderId="0" xfId="0" applyFont="1" applyFill="1"/>
    <xf numFmtId="1" fontId="18" fillId="2" borderId="1" xfId="0" applyNumberFormat="1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 wrapText="1"/>
    </xf>
    <xf numFmtId="164" fontId="18" fillId="2" borderId="0" xfId="0" applyNumberFormat="1" applyFont="1" applyFill="1" applyAlignment="1">
      <alignment horizontal="center" vertical="center" wrapText="1"/>
    </xf>
    <xf numFmtId="0" fontId="19" fillId="2" borderId="0" xfId="0" applyFont="1" applyFill="1"/>
    <xf numFmtId="9" fontId="19" fillId="2" borderId="0" xfId="1" applyFont="1" applyFill="1"/>
    <xf numFmtId="0" fontId="20" fillId="2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 wrapText="1"/>
    </xf>
    <xf numFmtId="164" fontId="21" fillId="2" borderId="0" xfId="0" applyNumberFormat="1" applyFont="1" applyFill="1" applyAlignment="1">
      <alignment horizontal="center" vertical="center" wrapText="1"/>
    </xf>
    <xf numFmtId="1" fontId="21" fillId="2" borderId="0" xfId="0" applyNumberFormat="1" applyFont="1" applyFill="1" applyAlignment="1">
      <alignment horizontal="center" vertical="center" wrapText="1"/>
    </xf>
    <xf numFmtId="0" fontId="22" fillId="2" borderId="0" xfId="0" applyFont="1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25" fillId="0" borderId="0" xfId="0" applyFont="1"/>
    <xf numFmtId="17" fontId="1" fillId="0" borderId="0" xfId="0" applyNumberFormat="1" applyFont="1" applyAlignment="1">
      <alignment horizontal="center" vertical="top"/>
    </xf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6" borderId="6" xfId="0" applyFill="1" applyBorder="1" applyAlignment="1">
      <alignment horizontal="center"/>
    </xf>
    <xf numFmtId="165" fontId="0" fillId="6" borderId="6" xfId="2" applyNumberFormat="1" applyFont="1" applyFill="1" applyBorder="1" applyAlignment="1">
      <alignment horizontal="left" vertical="top"/>
    </xf>
    <xf numFmtId="165" fontId="0" fillId="6" borderId="6" xfId="2" applyNumberFormat="1" applyFont="1" applyFill="1" applyBorder="1"/>
    <xf numFmtId="165" fontId="0" fillId="6" borderId="7" xfId="2" applyNumberFormat="1" applyFont="1" applyFill="1" applyBorder="1"/>
    <xf numFmtId="165" fontId="0" fillId="6" borderId="8" xfId="2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165" fontId="0" fillId="6" borderId="10" xfId="2" applyNumberFormat="1" applyFont="1" applyFill="1" applyBorder="1" applyAlignment="1">
      <alignment horizontal="left" vertical="top"/>
    </xf>
    <xf numFmtId="165" fontId="0" fillId="6" borderId="10" xfId="2" applyNumberFormat="1" applyFont="1" applyFill="1" applyBorder="1"/>
    <xf numFmtId="165" fontId="0" fillId="6" borderId="11" xfId="2" applyNumberFormat="1" applyFont="1" applyFill="1" applyBorder="1"/>
    <xf numFmtId="165" fontId="0" fillId="6" borderId="12" xfId="2" applyNumberFormat="1" applyFont="1" applyFill="1" applyBorder="1"/>
    <xf numFmtId="0" fontId="0" fillId="7" borderId="10" xfId="0" applyFill="1" applyBorder="1" applyAlignment="1">
      <alignment horizontal="center"/>
    </xf>
    <xf numFmtId="165" fontId="0" fillId="7" borderId="10" xfId="2" applyNumberFormat="1" applyFont="1" applyFill="1" applyBorder="1" applyAlignment="1">
      <alignment horizontal="left" vertical="top"/>
    </xf>
    <xf numFmtId="165" fontId="0" fillId="7" borderId="10" xfId="2" applyNumberFormat="1" applyFont="1" applyFill="1" applyBorder="1"/>
    <xf numFmtId="165" fontId="0" fillId="7" borderId="11" xfId="2" applyNumberFormat="1" applyFont="1" applyFill="1" applyBorder="1"/>
    <xf numFmtId="165" fontId="0" fillId="7" borderId="12" xfId="2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2" applyNumberFormat="1" applyFont="1" applyBorder="1" applyAlignment="1">
      <alignment horizontal="left" vertical="top"/>
    </xf>
    <xf numFmtId="165" fontId="24" fillId="0" borderId="0" xfId="0" applyNumberFormat="1" applyFont="1"/>
    <xf numFmtId="43" fontId="24" fillId="0" borderId="10" xfId="2" applyFont="1" applyBorder="1" applyAlignment="1">
      <alignment horizontal="left" vertical="top"/>
    </xf>
    <xf numFmtId="165" fontId="24" fillId="0" borderId="11" xfId="2" applyNumberFormat="1" applyFont="1" applyBorder="1" applyAlignment="1">
      <alignment horizontal="left" vertical="top"/>
    </xf>
    <xf numFmtId="0" fontId="24" fillId="0" borderId="0" xfId="0" applyFont="1"/>
    <xf numFmtId="0" fontId="24" fillId="0" borderId="14" xfId="0" applyFont="1" applyBorder="1" applyAlignment="1">
      <alignment horizontal="center"/>
    </xf>
    <xf numFmtId="165" fontId="24" fillId="0" borderId="14" xfId="2" applyNumberFormat="1" applyFont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24" fillId="0" borderId="0" xfId="0" applyFont="1" applyAlignment="1">
      <alignment horizontal="center"/>
    </xf>
    <xf numFmtId="43" fontId="24" fillId="0" borderId="0" xfId="2" applyFont="1" applyBorder="1" applyAlignment="1">
      <alignment horizontal="left" vertical="top"/>
    </xf>
    <xf numFmtId="165" fontId="24" fillId="0" borderId="0" xfId="2" applyNumberFormat="1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19" fillId="0" borderId="0" xfId="2" applyNumberFormat="1" applyFont="1" applyBorder="1" applyAlignment="1">
      <alignment horizontal="left" vertical="top"/>
    </xf>
    <xf numFmtId="165" fontId="24" fillId="0" borderId="15" xfId="0" applyNumberFormat="1" applyFont="1" applyBorder="1"/>
    <xf numFmtId="165" fontId="0" fillId="0" borderId="0" xfId="2" applyNumberFormat="1" applyFont="1" applyBorder="1"/>
    <xf numFmtId="165" fontId="0" fillId="0" borderId="0" xfId="0" applyNumberFormat="1"/>
    <xf numFmtId="0" fontId="0" fillId="0" borderId="0" xfId="0" applyAlignment="1">
      <alignment horizontal="center" vertical="top"/>
    </xf>
    <xf numFmtId="0" fontId="0" fillId="8" borderId="0" xfId="0" applyFill="1"/>
    <xf numFmtId="17" fontId="0" fillId="8" borderId="0" xfId="0" applyNumberFormat="1" applyFill="1" applyAlignment="1">
      <alignment horizontal="right"/>
    </xf>
    <xf numFmtId="0" fontId="0" fillId="8" borderId="0" xfId="0" applyFill="1" applyAlignment="1">
      <alignment horizontal="left" vertical="top"/>
    </xf>
    <xf numFmtId="16" fontId="0" fillId="0" borderId="0" xfId="0" applyNumberFormat="1" applyAlignment="1">
      <alignment horizontal="right"/>
    </xf>
    <xf numFmtId="0" fontId="24" fillId="0" borderId="0" xfId="0" applyFont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9" fillId="0" borderId="1" xfId="0" applyFont="1" applyBorder="1" applyAlignment="1">
      <alignment horizontal="center"/>
    </xf>
    <xf numFmtId="165" fontId="19" fillId="0" borderId="1" xfId="2" applyNumberFormat="1" applyFont="1" applyBorder="1" applyAlignment="1">
      <alignment horizontal="left" vertical="top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15" fillId="2" borderId="0" xfId="0" applyFont="1" applyFill="1" applyAlignment="1">
      <alignment horizontal="center"/>
    </xf>
    <xf numFmtId="0" fontId="20" fillId="2" borderId="2" xfId="0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wrapText="1"/>
    </xf>
    <xf numFmtId="0" fontId="0" fillId="2" borderId="0" xfId="0" quotePrefix="1" applyFill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66" fontId="0" fillId="8" borderId="0" xfId="0" applyNumberFormat="1" applyFill="1"/>
    <xf numFmtId="166" fontId="0" fillId="0" borderId="0" xfId="0" applyNumberFormat="1"/>
    <xf numFmtId="1" fontId="0" fillId="0" borderId="0" xfId="0" applyNumberFormat="1"/>
    <xf numFmtId="166" fontId="0" fillId="9" borderId="0" xfId="0" applyNumberFormat="1" applyFill="1"/>
    <xf numFmtId="0" fontId="0" fillId="9" borderId="0" xfId="0" applyFill="1"/>
    <xf numFmtId="1" fontId="0" fillId="9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Start-up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27452011409579E-2"/>
          <c:y val="0.16736757110629399"/>
          <c:w val="0.84646041119860027"/>
          <c:h val="0.6537054010188752"/>
        </c:manualLayout>
      </c:layout>
      <c:scatterChart>
        <c:scatterStyle val="lineMarker"/>
        <c:varyColors val="0"/>
        <c:ser>
          <c:idx val="2"/>
          <c:order val="0"/>
          <c:tx>
            <c:v>Proposal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comparison'!$A$3:$A$11</c:f>
              <c:numCache>
                <c:formatCode>0</c:formatCode>
                <c:ptCount val="9"/>
                <c:pt idx="0">
                  <c:v>0</c:v>
                </c:pt>
                <c:pt idx="1">
                  <c:v>4.8882681564245809</c:v>
                </c:pt>
                <c:pt idx="2">
                  <c:v>14.860335195530723</c:v>
                </c:pt>
                <c:pt idx="3">
                  <c:v>54.860335195530723</c:v>
                </c:pt>
                <c:pt idx="4">
                  <c:v>81.760335195530729</c:v>
                </c:pt>
                <c:pt idx="5">
                  <c:v>91.760335195530729</c:v>
                </c:pt>
                <c:pt idx="6">
                  <c:v>121.76033519553073</c:v>
                </c:pt>
                <c:pt idx="7">
                  <c:v>146.76033519553073</c:v>
                </c:pt>
              </c:numCache>
            </c:numRef>
          </c:xVal>
          <c:yVal>
            <c:numRef>
              <c:f>'Curve comparison'!$B$3:$B$11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71.399999999999991</c:v>
                </c:pt>
                <c:pt idx="3">
                  <c:v>71.399999999999991</c:v>
                </c:pt>
                <c:pt idx="4">
                  <c:v>264.00399999999996</c:v>
                </c:pt>
                <c:pt idx="5" formatCode="General">
                  <c:v>330</c:v>
                </c:pt>
                <c:pt idx="6" formatCode="General">
                  <c:v>330</c:v>
                </c:pt>
                <c:pt idx="7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A-4E25-A5F0-7795B40103F1}"/>
            </c:ext>
          </c:extLst>
        </c:ser>
        <c:ser>
          <c:idx val="3"/>
          <c:order val="1"/>
          <c:tx>
            <c:v>Predicted Curve in PPA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comparison'!$A$17:$A$24</c:f>
              <c:numCache>
                <c:formatCode>0</c:formatCode>
                <c:ptCount val="8"/>
                <c:pt idx="0">
                  <c:v>0</c:v>
                </c:pt>
                <c:pt idx="1">
                  <c:v>4.8882681564245809</c:v>
                </c:pt>
                <c:pt idx="2">
                  <c:v>14.860335195530723</c:v>
                </c:pt>
                <c:pt idx="3">
                  <c:v>54.860335195530723</c:v>
                </c:pt>
                <c:pt idx="4">
                  <c:v>81.760335195530729</c:v>
                </c:pt>
                <c:pt idx="5">
                  <c:v>91.760335195530729</c:v>
                </c:pt>
                <c:pt idx="6">
                  <c:v>121.76033519553073</c:v>
                </c:pt>
                <c:pt idx="7">
                  <c:v>146.76033519553073</c:v>
                </c:pt>
              </c:numCache>
            </c:numRef>
          </c:xVal>
          <c:yVal>
            <c:numRef>
              <c:f>'Curve comparison'!$B$17:$B$24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71.399999999999991</c:v>
                </c:pt>
                <c:pt idx="3">
                  <c:v>71.399999999999991</c:v>
                </c:pt>
                <c:pt idx="4">
                  <c:v>264.00399999999996</c:v>
                </c:pt>
                <c:pt idx="5" formatCode="General">
                  <c:v>330</c:v>
                </c:pt>
                <c:pt idx="6" formatCode="General">
                  <c:v>330</c:v>
                </c:pt>
                <c:pt idx="7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A-4E25-A5F0-7795B401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4735"/>
        <c:axId val="75104879"/>
      </c:scatterChart>
      <c:valAx>
        <c:axId val="1613547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879"/>
        <c:crosses val="autoZero"/>
        <c:crossBetween val="midCat"/>
      </c:valAx>
      <c:valAx>
        <c:axId val="75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7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9328549503001"/>
          <c:y val="0.85421285039157169"/>
          <c:w val="0.71326280799590724"/>
          <c:h val="0.1420314808150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37680605458297E-2"/>
          <c:y val="0.12283666822262961"/>
          <c:w val="0.83557766444243009"/>
          <c:h val="0.72747326394955547"/>
        </c:manualLayout>
      </c:layout>
      <c:scatterChart>
        <c:scatterStyle val="lineMarker"/>
        <c:varyColors val="0"/>
        <c:ser>
          <c:idx val="0"/>
          <c:order val="0"/>
          <c:tx>
            <c:v>Proposal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'Curve comparison'!$A$30:$A$39</c:f>
              <c:numCache>
                <c:formatCode>0</c:formatCode>
                <c:ptCount val="10"/>
                <c:pt idx="0">
                  <c:v>0</c:v>
                </c:pt>
                <c:pt idx="1">
                  <c:v>9.9993939393939435</c:v>
                </c:pt>
                <c:pt idx="2">
                  <c:v>17.499393939393943</c:v>
                </c:pt>
                <c:pt idx="3">
                  <c:v>47.49939393939394</c:v>
                </c:pt>
                <c:pt idx="4">
                  <c:v>64.99939393939394</c:v>
                </c:pt>
                <c:pt idx="5">
                  <c:v>94.99939393939394</c:v>
                </c:pt>
                <c:pt idx="6">
                  <c:v>112.49939393939394</c:v>
                </c:pt>
                <c:pt idx="7">
                  <c:v>142.49939393939394</c:v>
                </c:pt>
                <c:pt idx="8">
                  <c:v>149.99939393939394</c:v>
                </c:pt>
                <c:pt idx="9">
                  <c:v>159.99878787878788</c:v>
                </c:pt>
              </c:numCache>
            </c:numRef>
          </c:xVal>
          <c:yVal>
            <c:numRef>
              <c:f>'Curve comparison'!$B$30:$B$39</c:f>
              <c:numCache>
                <c:formatCode>General</c:formatCode>
                <c:ptCount val="10"/>
                <c:pt idx="0" formatCode="0">
                  <c:v>264.00399999999996</c:v>
                </c:pt>
                <c:pt idx="1">
                  <c:v>330</c:v>
                </c:pt>
                <c:pt idx="2">
                  <c:v>429</c:v>
                </c:pt>
                <c:pt idx="3">
                  <c:v>429</c:v>
                </c:pt>
                <c:pt idx="4">
                  <c:v>660</c:v>
                </c:pt>
                <c:pt idx="5">
                  <c:v>660</c:v>
                </c:pt>
                <c:pt idx="6">
                  <c:v>429</c:v>
                </c:pt>
                <c:pt idx="7">
                  <c:v>429</c:v>
                </c:pt>
                <c:pt idx="8">
                  <c:v>330</c:v>
                </c:pt>
                <c:pt idx="9" formatCode="0">
                  <c:v>264.00399999999996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1-4D09-9BC0-5643BC4E9F0C}"/>
            </c:ext>
          </c:extLst>
        </c:ser>
        <c:ser>
          <c:idx val="1"/>
          <c:order val="1"/>
          <c:tx>
            <c:v>PPA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'Curve comparison'!$A$42:$A$49</c:f>
              <c:numCache>
                <c:formatCode>0</c:formatCode>
                <c:ptCount val="8"/>
                <c:pt idx="0" formatCode="General">
                  <c:v>0</c:v>
                </c:pt>
                <c:pt idx="1">
                  <c:v>9.9993939393939435</c:v>
                </c:pt>
                <c:pt idx="2">
                  <c:v>39.99939393939394</c:v>
                </c:pt>
                <c:pt idx="3">
                  <c:v>64.99939393939394</c:v>
                </c:pt>
                <c:pt idx="4">
                  <c:v>94.99939393939394</c:v>
                </c:pt>
                <c:pt idx="5">
                  <c:v>109.99939393939394</c:v>
                </c:pt>
                <c:pt idx="6">
                  <c:v>139.99939393939394</c:v>
                </c:pt>
                <c:pt idx="7">
                  <c:v>154.99909090909091</c:v>
                </c:pt>
              </c:numCache>
            </c:numRef>
          </c:xVal>
          <c:yVal>
            <c:numRef>
              <c:f>'Curve comparison'!$B$42:$B$49</c:f>
              <c:numCache>
                <c:formatCode>General</c:formatCode>
                <c:ptCount val="8"/>
                <c:pt idx="0" formatCode="0">
                  <c:v>264.00399999999996</c:v>
                </c:pt>
                <c:pt idx="1">
                  <c:v>330</c:v>
                </c:pt>
                <c:pt idx="2">
                  <c:v>330</c:v>
                </c:pt>
                <c:pt idx="3">
                  <c:v>660</c:v>
                </c:pt>
                <c:pt idx="4">
                  <c:v>660</c:v>
                </c:pt>
                <c:pt idx="5">
                  <c:v>461.99999999999994</c:v>
                </c:pt>
                <c:pt idx="6">
                  <c:v>461.99999999999994</c:v>
                </c:pt>
                <c:pt idx="7" formatCode="0">
                  <c:v>264.00399999999996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1-4D09-9BC0-5643BC4E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73951"/>
        <c:axId val="183005711"/>
      </c:scatterChart>
      <c:valAx>
        <c:axId val="18407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5711"/>
        <c:crosses val="autoZero"/>
        <c:crossBetween val="midCat"/>
      </c:valAx>
      <c:valAx>
        <c:axId val="1830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47678748894253"/>
          <c:y val="0.89874243455730918"/>
          <c:w val="0.68212238033352623"/>
          <c:h val="7.7899645501160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</a:t>
            </a:r>
            <a:r>
              <a:rPr lang="en-US" baseline="0"/>
              <a:t> Start-up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5689738927771E-2"/>
          <c:y val="0.12813804577220703"/>
          <c:w val="0.84646041119860027"/>
          <c:h val="0.6537054010188752"/>
        </c:manualLayout>
      </c:layout>
      <c:scatterChart>
        <c:scatterStyle val="lineMarker"/>
        <c:varyColors val="0"/>
        <c:ser>
          <c:idx val="2"/>
          <c:order val="0"/>
          <c:tx>
            <c:v>Proposal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comparison'!$E$3:$E$13</c:f>
              <c:numCache>
                <c:formatCode>0</c:formatCode>
                <c:ptCount val="11"/>
                <c:pt idx="0">
                  <c:v>0</c:v>
                </c:pt>
                <c:pt idx="1">
                  <c:v>9.7765363128491618</c:v>
                </c:pt>
                <c:pt idx="2">
                  <c:v>13.720670391061454</c:v>
                </c:pt>
                <c:pt idx="3">
                  <c:v>18.720670391061454</c:v>
                </c:pt>
                <c:pt idx="4">
                  <c:v>34.720670391061446</c:v>
                </c:pt>
                <c:pt idx="5">
                  <c:v>74.720670391061446</c:v>
                </c:pt>
                <c:pt idx="6">
                  <c:v>128.52067039106146</c:v>
                </c:pt>
                <c:pt idx="7">
                  <c:v>148.52067039106146</c:v>
                </c:pt>
                <c:pt idx="8">
                  <c:v>178.52067039106146</c:v>
                </c:pt>
                <c:pt idx="9">
                  <c:v>228.52067039106146</c:v>
                </c:pt>
              </c:numCache>
            </c:numRef>
          </c:xVal>
          <c:yVal>
            <c:numRef>
              <c:f>'Curve comparison'!$F$3:$F$13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14.120000000000005</c:v>
                </c:pt>
                <c:pt idx="3">
                  <c:v>14.120000000000005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 formatCode="General">
                  <c:v>330</c:v>
                </c:pt>
                <c:pt idx="8" formatCode="General">
                  <c:v>330</c:v>
                </c:pt>
                <c:pt idx="9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2-43A0-8CB1-0C0497D1F8FD}"/>
            </c:ext>
          </c:extLst>
        </c:ser>
        <c:ser>
          <c:idx val="3"/>
          <c:order val="1"/>
          <c:tx>
            <c:v>Predicted Curve in PPA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comparison'!$E$17:$E$26</c:f>
              <c:numCache>
                <c:formatCode>0</c:formatCode>
                <c:ptCount val="10"/>
                <c:pt idx="0">
                  <c:v>0</c:v>
                </c:pt>
                <c:pt idx="1">
                  <c:v>9.7765363128491618</c:v>
                </c:pt>
                <c:pt idx="2">
                  <c:v>13.720670391061454</c:v>
                </c:pt>
                <c:pt idx="3">
                  <c:v>18.720670391061454</c:v>
                </c:pt>
                <c:pt idx="4">
                  <c:v>34.720670391061446</c:v>
                </c:pt>
                <c:pt idx="5">
                  <c:v>74.720670391061446</c:v>
                </c:pt>
                <c:pt idx="6">
                  <c:v>128.52067039106146</c:v>
                </c:pt>
                <c:pt idx="7">
                  <c:v>148.52067039106146</c:v>
                </c:pt>
                <c:pt idx="8">
                  <c:v>178.52067039106146</c:v>
                </c:pt>
                <c:pt idx="9">
                  <c:v>228.52067039106146</c:v>
                </c:pt>
              </c:numCache>
            </c:numRef>
          </c:xVal>
          <c:yVal>
            <c:numRef>
              <c:f>'Curve comparison'!$F$17:$F$26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14.120000000000005</c:v>
                </c:pt>
                <c:pt idx="3">
                  <c:v>14.120000000000005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 formatCode="General">
                  <c:v>330</c:v>
                </c:pt>
                <c:pt idx="8" formatCode="General">
                  <c:v>330</c:v>
                </c:pt>
                <c:pt idx="9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2-43A0-8CB1-0C0497D1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4735"/>
        <c:axId val="75104879"/>
      </c:scatterChart>
      <c:valAx>
        <c:axId val="1613547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879"/>
        <c:crosses val="autoZero"/>
        <c:crossBetween val="midCat"/>
      </c:valAx>
      <c:valAx>
        <c:axId val="75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7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8577458979"/>
          <c:y val="0.85421285039157169"/>
          <c:w val="0.67073739908824526"/>
          <c:h val="0.1420314808150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Start-up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608624452339723"/>
          <c:w val="0.84646041119860027"/>
          <c:h val="0.6537054010188752"/>
        </c:manualLayout>
      </c:layout>
      <c:scatterChart>
        <c:scatterStyle val="lineMarker"/>
        <c:varyColors val="0"/>
        <c:ser>
          <c:idx val="2"/>
          <c:order val="0"/>
          <c:tx>
            <c:v>Proposal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comparison'!$I$3:$I$13</c:f>
              <c:numCache>
                <c:formatCode>0</c:formatCode>
                <c:ptCount val="11"/>
                <c:pt idx="0">
                  <c:v>0</c:v>
                </c:pt>
                <c:pt idx="1">
                  <c:v>9.7765363128491618</c:v>
                </c:pt>
                <c:pt idx="2">
                  <c:v>13.720670391061454</c:v>
                </c:pt>
                <c:pt idx="3">
                  <c:v>23.720670391061454</c:v>
                </c:pt>
                <c:pt idx="4">
                  <c:v>39.720670391061446</c:v>
                </c:pt>
                <c:pt idx="5">
                  <c:v>99.720670391061446</c:v>
                </c:pt>
                <c:pt idx="6">
                  <c:v>153.52067039106146</c:v>
                </c:pt>
                <c:pt idx="7">
                  <c:v>173.52067039106146</c:v>
                </c:pt>
                <c:pt idx="8">
                  <c:v>233.52067039106146</c:v>
                </c:pt>
                <c:pt idx="9">
                  <c:v>283.52067039106146</c:v>
                </c:pt>
              </c:numCache>
            </c:numRef>
          </c:xVal>
          <c:yVal>
            <c:numRef>
              <c:f>'Curve comparison'!$J$3:$J$13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14.120000000000005</c:v>
                </c:pt>
                <c:pt idx="3">
                  <c:v>14.120000000000005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 formatCode="General">
                  <c:v>330</c:v>
                </c:pt>
                <c:pt idx="8" formatCode="General">
                  <c:v>330</c:v>
                </c:pt>
                <c:pt idx="9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9-4296-AC9D-EB674A4F9B65}"/>
            </c:ext>
          </c:extLst>
        </c:ser>
        <c:ser>
          <c:idx val="3"/>
          <c:order val="1"/>
          <c:tx>
            <c:v>Predicted Curve in PPA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comparison'!$I$17:$I$26</c:f>
              <c:numCache>
                <c:formatCode>0</c:formatCode>
                <c:ptCount val="10"/>
                <c:pt idx="0">
                  <c:v>0</c:v>
                </c:pt>
                <c:pt idx="1">
                  <c:v>9.7765363128491618</c:v>
                </c:pt>
                <c:pt idx="2">
                  <c:v>13.720670391061454</c:v>
                </c:pt>
                <c:pt idx="3">
                  <c:v>23.720670391061454</c:v>
                </c:pt>
                <c:pt idx="4">
                  <c:v>39.720670391061446</c:v>
                </c:pt>
                <c:pt idx="5">
                  <c:v>99.720670391061446</c:v>
                </c:pt>
                <c:pt idx="6">
                  <c:v>153.52067039106146</c:v>
                </c:pt>
                <c:pt idx="7">
                  <c:v>173.52067039106146</c:v>
                </c:pt>
                <c:pt idx="8">
                  <c:v>233.52067039106146</c:v>
                </c:pt>
                <c:pt idx="9">
                  <c:v>283.52067039106146</c:v>
                </c:pt>
              </c:numCache>
            </c:numRef>
          </c:xVal>
          <c:yVal>
            <c:numRef>
              <c:f>'Curve comparison'!$J$17:$J$26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14.120000000000005</c:v>
                </c:pt>
                <c:pt idx="3">
                  <c:v>14.120000000000005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 formatCode="General">
                  <c:v>330</c:v>
                </c:pt>
                <c:pt idx="8" formatCode="General">
                  <c:v>330</c:v>
                </c:pt>
                <c:pt idx="9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9-4296-AC9D-EB674A4F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4735"/>
        <c:axId val="75104879"/>
      </c:scatterChart>
      <c:valAx>
        <c:axId val="1613547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879"/>
        <c:crosses val="autoZero"/>
        <c:crossBetween val="midCat"/>
      </c:valAx>
      <c:valAx>
        <c:axId val="75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7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48786103148243"/>
          <c:y val="0.85421285039157169"/>
          <c:w val="0.70676431280831753"/>
          <c:h val="0.1420314808150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Cold Start-up</a:t>
            </a:r>
            <a:endParaRPr lang="en-US"/>
          </a:p>
        </c:rich>
      </c:tx>
      <c:layout>
        <c:manualLayout>
          <c:xMode val="edge"/>
          <c:yMode val="edge"/>
          <c:x val="0.28605432460142916"/>
          <c:y val="1.5333840315274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608624452339723"/>
          <c:w val="0.84646041119860027"/>
          <c:h val="0.6537054010188752"/>
        </c:manualLayout>
      </c:layout>
      <c:scatterChart>
        <c:scatterStyle val="lineMarker"/>
        <c:varyColors val="0"/>
        <c:ser>
          <c:idx val="2"/>
          <c:order val="0"/>
          <c:tx>
            <c:v>Proposal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comparison'!$M$3:$M$13</c:f>
              <c:numCache>
                <c:formatCode>0</c:formatCode>
                <c:ptCount val="11"/>
                <c:pt idx="0">
                  <c:v>0</c:v>
                </c:pt>
                <c:pt idx="1">
                  <c:v>5.7206703910614527</c:v>
                </c:pt>
                <c:pt idx="2">
                  <c:v>65.720670391061446</c:v>
                </c:pt>
                <c:pt idx="3">
                  <c:v>69.77653631284916</c:v>
                </c:pt>
                <c:pt idx="4">
                  <c:v>89.720670391061446</c:v>
                </c:pt>
                <c:pt idx="5">
                  <c:v>149.72067039106145</c:v>
                </c:pt>
                <c:pt idx="6">
                  <c:v>203.52067039106146</c:v>
                </c:pt>
                <c:pt idx="7">
                  <c:v>223.52067039106146</c:v>
                </c:pt>
                <c:pt idx="8">
                  <c:v>283.52067039106146</c:v>
                </c:pt>
                <c:pt idx="9">
                  <c:v>333.52067039106146</c:v>
                </c:pt>
              </c:numCache>
            </c:numRef>
          </c:xVal>
          <c:yVal>
            <c:numRef>
              <c:f>'Curve comparison'!$N$3:$N$13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 formatCode="General">
                  <c:v>330</c:v>
                </c:pt>
                <c:pt idx="8" formatCode="General">
                  <c:v>330</c:v>
                </c:pt>
                <c:pt idx="9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7-489F-8130-3AC3CDCBD058}"/>
            </c:ext>
          </c:extLst>
        </c:ser>
        <c:ser>
          <c:idx val="3"/>
          <c:order val="1"/>
          <c:tx>
            <c:v>Predicted Curve in PPA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comparison'!$M$17:$M$26</c:f>
              <c:numCache>
                <c:formatCode>0</c:formatCode>
                <c:ptCount val="10"/>
                <c:pt idx="0">
                  <c:v>0</c:v>
                </c:pt>
                <c:pt idx="1">
                  <c:v>9.7765363128491618</c:v>
                </c:pt>
                <c:pt idx="2">
                  <c:v>13.720670391061454</c:v>
                </c:pt>
                <c:pt idx="3">
                  <c:v>73.720670391061446</c:v>
                </c:pt>
                <c:pt idx="4">
                  <c:v>89.720670391061446</c:v>
                </c:pt>
                <c:pt idx="5">
                  <c:v>149.72067039106145</c:v>
                </c:pt>
                <c:pt idx="6">
                  <c:v>203.52067039106146</c:v>
                </c:pt>
                <c:pt idx="7">
                  <c:v>223.52067039106146</c:v>
                </c:pt>
                <c:pt idx="8">
                  <c:v>283.52067039106146</c:v>
                </c:pt>
                <c:pt idx="9">
                  <c:v>333.52067039106146</c:v>
                </c:pt>
              </c:numCache>
            </c:numRef>
          </c:xVal>
          <c:yVal>
            <c:numRef>
              <c:f>'Curve comparison'!$N$17:$N$26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14.120000000000005</c:v>
                </c:pt>
                <c:pt idx="3">
                  <c:v>14.120000000000005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>
                  <c:v>330</c:v>
                </c:pt>
                <c:pt idx="8">
                  <c:v>330</c:v>
                </c:pt>
                <c:pt idx="9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7-489F-8130-3AC3CDCB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4735"/>
        <c:axId val="75104879"/>
      </c:scatterChart>
      <c:valAx>
        <c:axId val="1613547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879"/>
        <c:crosses val="autoZero"/>
        <c:crossBetween val="midCat"/>
      </c:valAx>
      <c:valAx>
        <c:axId val="75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7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52976435337003"/>
          <c:y val="0.85421285039157169"/>
          <c:w val="0.61308726804724678"/>
          <c:h val="0.1420314808150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37680605458297E-2"/>
          <c:y val="0.12283666822262961"/>
          <c:w val="0.83557766444243009"/>
          <c:h val="0.72747326394955547"/>
        </c:manualLayout>
      </c:layout>
      <c:scatterChart>
        <c:scatterStyle val="lineMarker"/>
        <c:varyColors val="0"/>
        <c:ser>
          <c:idx val="0"/>
          <c:order val="0"/>
          <c:tx>
            <c:v>Proposal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'Curve comparison'!$A$30:$A$39</c:f>
              <c:numCache>
                <c:formatCode>0</c:formatCode>
                <c:ptCount val="10"/>
                <c:pt idx="0">
                  <c:v>0</c:v>
                </c:pt>
                <c:pt idx="1">
                  <c:v>9.9993939393939435</c:v>
                </c:pt>
                <c:pt idx="2">
                  <c:v>17.499393939393943</c:v>
                </c:pt>
                <c:pt idx="3">
                  <c:v>47.49939393939394</c:v>
                </c:pt>
                <c:pt idx="4">
                  <c:v>64.99939393939394</c:v>
                </c:pt>
                <c:pt idx="5">
                  <c:v>94.99939393939394</c:v>
                </c:pt>
                <c:pt idx="6">
                  <c:v>112.49939393939394</c:v>
                </c:pt>
                <c:pt idx="7">
                  <c:v>142.49939393939394</c:v>
                </c:pt>
                <c:pt idx="8">
                  <c:v>149.99939393939394</c:v>
                </c:pt>
                <c:pt idx="9">
                  <c:v>159.99878787878788</c:v>
                </c:pt>
              </c:numCache>
            </c:numRef>
          </c:xVal>
          <c:yVal>
            <c:numRef>
              <c:f>'Curve comparison'!$B$30:$B$39</c:f>
              <c:numCache>
                <c:formatCode>General</c:formatCode>
                <c:ptCount val="10"/>
                <c:pt idx="0" formatCode="0">
                  <c:v>264.00399999999996</c:v>
                </c:pt>
                <c:pt idx="1">
                  <c:v>330</c:v>
                </c:pt>
                <c:pt idx="2">
                  <c:v>429</c:v>
                </c:pt>
                <c:pt idx="3">
                  <c:v>429</c:v>
                </c:pt>
                <c:pt idx="4">
                  <c:v>660</c:v>
                </c:pt>
                <c:pt idx="5">
                  <c:v>660</c:v>
                </c:pt>
                <c:pt idx="6">
                  <c:v>429</c:v>
                </c:pt>
                <c:pt idx="7">
                  <c:v>429</c:v>
                </c:pt>
                <c:pt idx="8">
                  <c:v>330</c:v>
                </c:pt>
                <c:pt idx="9" formatCode="0">
                  <c:v>264.00399999999996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2-44A2-8106-F858D950C6C7}"/>
            </c:ext>
          </c:extLst>
        </c:ser>
        <c:ser>
          <c:idx val="1"/>
          <c:order val="1"/>
          <c:tx>
            <c:v>Predicted Curve in PPA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'Curve comparison'!$A$42:$A$49</c:f>
              <c:numCache>
                <c:formatCode>0</c:formatCode>
                <c:ptCount val="8"/>
                <c:pt idx="0" formatCode="General">
                  <c:v>0</c:v>
                </c:pt>
                <c:pt idx="1">
                  <c:v>9.9993939393939435</c:v>
                </c:pt>
                <c:pt idx="2">
                  <c:v>39.99939393939394</c:v>
                </c:pt>
                <c:pt idx="3">
                  <c:v>64.99939393939394</c:v>
                </c:pt>
                <c:pt idx="4">
                  <c:v>94.99939393939394</c:v>
                </c:pt>
                <c:pt idx="5">
                  <c:v>109.99939393939394</c:v>
                </c:pt>
                <c:pt idx="6">
                  <c:v>139.99939393939394</c:v>
                </c:pt>
                <c:pt idx="7">
                  <c:v>154.99909090909091</c:v>
                </c:pt>
              </c:numCache>
            </c:numRef>
          </c:xVal>
          <c:yVal>
            <c:numRef>
              <c:f>'Curve comparison'!$B$42:$B$49</c:f>
              <c:numCache>
                <c:formatCode>General</c:formatCode>
                <c:ptCount val="8"/>
                <c:pt idx="0" formatCode="0">
                  <c:v>264.00399999999996</c:v>
                </c:pt>
                <c:pt idx="1">
                  <c:v>330</c:v>
                </c:pt>
                <c:pt idx="2">
                  <c:v>330</c:v>
                </c:pt>
                <c:pt idx="3">
                  <c:v>660</c:v>
                </c:pt>
                <c:pt idx="4">
                  <c:v>660</c:v>
                </c:pt>
                <c:pt idx="5">
                  <c:v>461.99999999999994</c:v>
                </c:pt>
                <c:pt idx="6">
                  <c:v>461.99999999999994</c:v>
                </c:pt>
                <c:pt idx="7" formatCode="0">
                  <c:v>264.00399999999996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2-44A2-8106-F858D950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73951"/>
        <c:axId val="183005711"/>
      </c:scatterChart>
      <c:valAx>
        <c:axId val="18407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5711"/>
        <c:crosses val="autoZero"/>
        <c:crossBetween val="midCat"/>
      </c:valAx>
      <c:valAx>
        <c:axId val="1830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47678748894253"/>
          <c:y val="0.89874243455730918"/>
          <c:w val="0.68212238033352623"/>
          <c:h val="7.7899645501160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Start-up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27452011409579E-2"/>
          <c:y val="0.16736757110629399"/>
          <c:w val="0.84646041119860027"/>
          <c:h val="0.6537054010188752"/>
        </c:manualLayout>
      </c:layout>
      <c:scatterChart>
        <c:scatterStyle val="lineMarker"/>
        <c:varyColors val="0"/>
        <c:ser>
          <c:idx val="2"/>
          <c:order val="0"/>
          <c:tx>
            <c:v>Proposal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comparison'!$A$3:$A$11</c:f>
              <c:numCache>
                <c:formatCode>0</c:formatCode>
                <c:ptCount val="9"/>
                <c:pt idx="0">
                  <c:v>0</c:v>
                </c:pt>
                <c:pt idx="1">
                  <c:v>4.8882681564245809</c:v>
                </c:pt>
                <c:pt idx="2">
                  <c:v>14.860335195530723</c:v>
                </c:pt>
                <c:pt idx="3">
                  <c:v>54.860335195530723</c:v>
                </c:pt>
                <c:pt idx="4">
                  <c:v>81.760335195530729</c:v>
                </c:pt>
                <c:pt idx="5">
                  <c:v>91.760335195530729</c:v>
                </c:pt>
                <c:pt idx="6">
                  <c:v>121.76033519553073</c:v>
                </c:pt>
                <c:pt idx="7">
                  <c:v>146.76033519553073</c:v>
                </c:pt>
              </c:numCache>
            </c:numRef>
          </c:xVal>
          <c:yVal>
            <c:numRef>
              <c:f>'Curve comparison'!$B$3:$B$11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71.399999999999991</c:v>
                </c:pt>
                <c:pt idx="3">
                  <c:v>71.399999999999991</c:v>
                </c:pt>
                <c:pt idx="4">
                  <c:v>264.00399999999996</c:v>
                </c:pt>
                <c:pt idx="5" formatCode="General">
                  <c:v>330</c:v>
                </c:pt>
                <c:pt idx="6" formatCode="General">
                  <c:v>330</c:v>
                </c:pt>
                <c:pt idx="7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72-4B8C-BC78-C4C7537F92DC}"/>
            </c:ext>
          </c:extLst>
        </c:ser>
        <c:ser>
          <c:idx val="3"/>
          <c:order val="1"/>
          <c:tx>
            <c:v>PPA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comparison'!$A$17:$A$24</c:f>
              <c:numCache>
                <c:formatCode>0</c:formatCode>
                <c:ptCount val="8"/>
                <c:pt idx="0">
                  <c:v>0</c:v>
                </c:pt>
                <c:pt idx="1">
                  <c:v>4.8882681564245809</c:v>
                </c:pt>
                <c:pt idx="2">
                  <c:v>14.860335195530723</c:v>
                </c:pt>
                <c:pt idx="3">
                  <c:v>54.860335195530723</c:v>
                </c:pt>
                <c:pt idx="4">
                  <c:v>81.760335195530729</c:v>
                </c:pt>
                <c:pt idx="5">
                  <c:v>91.760335195530729</c:v>
                </c:pt>
                <c:pt idx="6">
                  <c:v>121.76033519553073</c:v>
                </c:pt>
                <c:pt idx="7">
                  <c:v>146.76033519553073</c:v>
                </c:pt>
              </c:numCache>
            </c:numRef>
          </c:xVal>
          <c:yVal>
            <c:numRef>
              <c:f>'Curve comparison'!$B$17:$B$24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71.399999999999991</c:v>
                </c:pt>
                <c:pt idx="3">
                  <c:v>71.399999999999991</c:v>
                </c:pt>
                <c:pt idx="4">
                  <c:v>264.00399999999996</c:v>
                </c:pt>
                <c:pt idx="5" formatCode="General">
                  <c:v>330</c:v>
                </c:pt>
                <c:pt idx="6" formatCode="General">
                  <c:v>330</c:v>
                </c:pt>
                <c:pt idx="7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2-4B8C-BC78-C4C7537F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4735"/>
        <c:axId val="75104879"/>
      </c:scatterChart>
      <c:valAx>
        <c:axId val="1613547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879"/>
        <c:crosses val="autoZero"/>
        <c:crossBetween val="midCat"/>
      </c:valAx>
      <c:valAx>
        <c:axId val="75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7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109690604567944"/>
          <c:y val="0.85421285039157169"/>
          <c:w val="0.60695918744525779"/>
          <c:h val="0.1420314808150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</a:t>
            </a:r>
            <a:r>
              <a:rPr lang="en-US" baseline="0"/>
              <a:t> Start-up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5689738927771E-2"/>
          <c:y val="0.12813804577220703"/>
          <c:w val="0.84646041119860027"/>
          <c:h val="0.6537054010188752"/>
        </c:manualLayout>
      </c:layout>
      <c:scatterChart>
        <c:scatterStyle val="lineMarker"/>
        <c:varyColors val="0"/>
        <c:ser>
          <c:idx val="2"/>
          <c:order val="0"/>
          <c:tx>
            <c:v>Proposal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comparison'!$E$3:$E$13</c:f>
              <c:numCache>
                <c:formatCode>0</c:formatCode>
                <c:ptCount val="11"/>
                <c:pt idx="0">
                  <c:v>0</c:v>
                </c:pt>
                <c:pt idx="1">
                  <c:v>9.7765363128491618</c:v>
                </c:pt>
                <c:pt idx="2">
                  <c:v>13.720670391061454</c:v>
                </c:pt>
                <c:pt idx="3">
                  <c:v>18.720670391061454</c:v>
                </c:pt>
                <c:pt idx="4">
                  <c:v>34.720670391061446</c:v>
                </c:pt>
                <c:pt idx="5">
                  <c:v>74.720670391061446</c:v>
                </c:pt>
                <c:pt idx="6">
                  <c:v>128.52067039106146</c:v>
                </c:pt>
                <c:pt idx="7">
                  <c:v>148.52067039106146</c:v>
                </c:pt>
                <c:pt idx="8">
                  <c:v>178.52067039106146</c:v>
                </c:pt>
                <c:pt idx="9">
                  <c:v>228.52067039106146</c:v>
                </c:pt>
              </c:numCache>
            </c:numRef>
          </c:xVal>
          <c:yVal>
            <c:numRef>
              <c:f>'Curve comparison'!$F$3:$F$13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14.120000000000005</c:v>
                </c:pt>
                <c:pt idx="3">
                  <c:v>14.120000000000005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 formatCode="General">
                  <c:v>330</c:v>
                </c:pt>
                <c:pt idx="8" formatCode="General">
                  <c:v>330</c:v>
                </c:pt>
                <c:pt idx="9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4-4532-B8F6-A1DBAF77A36A}"/>
            </c:ext>
          </c:extLst>
        </c:ser>
        <c:ser>
          <c:idx val="3"/>
          <c:order val="1"/>
          <c:tx>
            <c:v>PPA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comparison'!$E$17:$E$26</c:f>
              <c:numCache>
                <c:formatCode>0</c:formatCode>
                <c:ptCount val="10"/>
                <c:pt idx="0">
                  <c:v>0</c:v>
                </c:pt>
                <c:pt idx="1">
                  <c:v>9.7765363128491618</c:v>
                </c:pt>
                <c:pt idx="2">
                  <c:v>13.720670391061454</c:v>
                </c:pt>
                <c:pt idx="3">
                  <c:v>18.720670391061454</c:v>
                </c:pt>
                <c:pt idx="4">
                  <c:v>34.720670391061446</c:v>
                </c:pt>
                <c:pt idx="5">
                  <c:v>74.720670391061446</c:v>
                </c:pt>
                <c:pt idx="6">
                  <c:v>128.52067039106146</c:v>
                </c:pt>
                <c:pt idx="7">
                  <c:v>148.52067039106146</c:v>
                </c:pt>
                <c:pt idx="8">
                  <c:v>178.52067039106146</c:v>
                </c:pt>
                <c:pt idx="9">
                  <c:v>228.52067039106146</c:v>
                </c:pt>
              </c:numCache>
            </c:numRef>
          </c:xVal>
          <c:yVal>
            <c:numRef>
              <c:f>'Curve comparison'!$F$17:$F$26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14.120000000000005</c:v>
                </c:pt>
                <c:pt idx="3">
                  <c:v>14.120000000000005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 formatCode="General">
                  <c:v>330</c:v>
                </c:pt>
                <c:pt idx="8" formatCode="General">
                  <c:v>330</c:v>
                </c:pt>
                <c:pt idx="9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4-4532-B8F6-A1DBAF77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4735"/>
        <c:axId val="75104879"/>
      </c:scatterChart>
      <c:valAx>
        <c:axId val="1613547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879"/>
        <c:crosses val="autoZero"/>
        <c:crossBetween val="midCat"/>
      </c:valAx>
      <c:valAx>
        <c:axId val="75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7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8577458979"/>
          <c:y val="0.85421285039157169"/>
          <c:w val="0.67073739908824526"/>
          <c:h val="0.1420314808150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Start-up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608624452339723"/>
          <c:w val="0.84646041119860027"/>
          <c:h val="0.6537054010188752"/>
        </c:manualLayout>
      </c:layout>
      <c:scatterChart>
        <c:scatterStyle val="lineMarker"/>
        <c:varyColors val="0"/>
        <c:ser>
          <c:idx val="2"/>
          <c:order val="0"/>
          <c:tx>
            <c:v>Proposal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comparison'!$I$3:$I$13</c:f>
              <c:numCache>
                <c:formatCode>0</c:formatCode>
                <c:ptCount val="11"/>
                <c:pt idx="0">
                  <c:v>0</c:v>
                </c:pt>
                <c:pt idx="1">
                  <c:v>9.7765363128491618</c:v>
                </c:pt>
                <c:pt idx="2">
                  <c:v>13.720670391061454</c:v>
                </c:pt>
                <c:pt idx="3">
                  <c:v>23.720670391061454</c:v>
                </c:pt>
                <c:pt idx="4">
                  <c:v>39.720670391061446</c:v>
                </c:pt>
                <c:pt idx="5">
                  <c:v>99.720670391061446</c:v>
                </c:pt>
                <c:pt idx="6">
                  <c:v>153.52067039106146</c:v>
                </c:pt>
                <c:pt idx="7">
                  <c:v>173.52067039106146</c:v>
                </c:pt>
                <c:pt idx="8">
                  <c:v>233.52067039106146</c:v>
                </c:pt>
                <c:pt idx="9">
                  <c:v>283.52067039106146</c:v>
                </c:pt>
              </c:numCache>
            </c:numRef>
          </c:xVal>
          <c:yVal>
            <c:numRef>
              <c:f>'Curve comparison'!$J$3:$J$13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14.120000000000005</c:v>
                </c:pt>
                <c:pt idx="3">
                  <c:v>14.120000000000005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 formatCode="General">
                  <c:v>330</c:v>
                </c:pt>
                <c:pt idx="8" formatCode="General">
                  <c:v>330</c:v>
                </c:pt>
                <c:pt idx="9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8-486F-818F-494CFD7C30DF}"/>
            </c:ext>
          </c:extLst>
        </c:ser>
        <c:ser>
          <c:idx val="3"/>
          <c:order val="1"/>
          <c:tx>
            <c:v>PPA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comparison'!$I$17:$I$26</c:f>
              <c:numCache>
                <c:formatCode>0</c:formatCode>
                <c:ptCount val="10"/>
                <c:pt idx="0">
                  <c:v>0</c:v>
                </c:pt>
                <c:pt idx="1">
                  <c:v>9.7765363128491618</c:v>
                </c:pt>
                <c:pt idx="2">
                  <c:v>13.720670391061454</c:v>
                </c:pt>
                <c:pt idx="3">
                  <c:v>23.720670391061454</c:v>
                </c:pt>
                <c:pt idx="4">
                  <c:v>39.720670391061446</c:v>
                </c:pt>
                <c:pt idx="5">
                  <c:v>99.720670391061446</c:v>
                </c:pt>
                <c:pt idx="6">
                  <c:v>153.52067039106146</c:v>
                </c:pt>
                <c:pt idx="7">
                  <c:v>173.52067039106146</c:v>
                </c:pt>
                <c:pt idx="8">
                  <c:v>233.52067039106146</c:v>
                </c:pt>
                <c:pt idx="9">
                  <c:v>283.52067039106146</c:v>
                </c:pt>
              </c:numCache>
            </c:numRef>
          </c:xVal>
          <c:yVal>
            <c:numRef>
              <c:f>'Curve comparison'!$J$17:$J$26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14.120000000000005</c:v>
                </c:pt>
                <c:pt idx="3">
                  <c:v>14.120000000000005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 formatCode="General">
                  <c:v>330</c:v>
                </c:pt>
                <c:pt idx="8" formatCode="General">
                  <c:v>330</c:v>
                </c:pt>
                <c:pt idx="9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8-486F-818F-494CFD7C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4735"/>
        <c:axId val="75104879"/>
      </c:scatterChart>
      <c:valAx>
        <c:axId val="1613547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879"/>
        <c:crosses val="autoZero"/>
        <c:crossBetween val="midCat"/>
      </c:valAx>
      <c:valAx>
        <c:axId val="75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7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48786103148243"/>
          <c:y val="0.85421285039157169"/>
          <c:w val="0.70676431280831753"/>
          <c:h val="0.1420314808150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Cold Start-up</a:t>
            </a:r>
            <a:endParaRPr lang="en-US"/>
          </a:p>
        </c:rich>
      </c:tx>
      <c:layout>
        <c:manualLayout>
          <c:xMode val="edge"/>
          <c:yMode val="edge"/>
          <c:x val="0.26948798538287549"/>
          <c:y val="1.01882540661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608624452339723"/>
          <c:w val="0.84646041119860027"/>
          <c:h val="0.6537054010188752"/>
        </c:manualLayout>
      </c:layout>
      <c:scatterChart>
        <c:scatterStyle val="lineMarker"/>
        <c:varyColors val="0"/>
        <c:ser>
          <c:idx val="2"/>
          <c:order val="0"/>
          <c:tx>
            <c:v>Proposal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comparison'!$M$3:$M$13</c:f>
              <c:numCache>
                <c:formatCode>0</c:formatCode>
                <c:ptCount val="11"/>
                <c:pt idx="0">
                  <c:v>0</c:v>
                </c:pt>
                <c:pt idx="1">
                  <c:v>5.7206703910614527</c:v>
                </c:pt>
                <c:pt idx="2">
                  <c:v>65.720670391061446</c:v>
                </c:pt>
                <c:pt idx="3">
                  <c:v>69.77653631284916</c:v>
                </c:pt>
                <c:pt idx="4">
                  <c:v>89.720670391061446</c:v>
                </c:pt>
                <c:pt idx="5">
                  <c:v>149.72067039106145</c:v>
                </c:pt>
                <c:pt idx="6">
                  <c:v>203.52067039106146</c:v>
                </c:pt>
                <c:pt idx="7">
                  <c:v>223.52067039106146</c:v>
                </c:pt>
                <c:pt idx="8">
                  <c:v>283.52067039106146</c:v>
                </c:pt>
                <c:pt idx="9">
                  <c:v>333.52067039106146</c:v>
                </c:pt>
              </c:numCache>
            </c:numRef>
          </c:xVal>
          <c:yVal>
            <c:numRef>
              <c:f>'Curve comparison'!$N$3:$N$13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 formatCode="General">
                  <c:v>330</c:v>
                </c:pt>
                <c:pt idx="8" formatCode="General">
                  <c:v>330</c:v>
                </c:pt>
                <c:pt idx="9" formatCode="General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3-4947-B49D-52F70F920D66}"/>
            </c:ext>
          </c:extLst>
        </c:ser>
        <c:ser>
          <c:idx val="3"/>
          <c:order val="1"/>
          <c:tx>
            <c:v>PPA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'Curve comparison'!$M$17:$M$26</c:f>
              <c:numCache>
                <c:formatCode>0</c:formatCode>
                <c:ptCount val="10"/>
                <c:pt idx="0">
                  <c:v>0</c:v>
                </c:pt>
                <c:pt idx="1">
                  <c:v>9.7765363128491618</c:v>
                </c:pt>
                <c:pt idx="2">
                  <c:v>13.720670391061454</c:v>
                </c:pt>
                <c:pt idx="3">
                  <c:v>73.720670391061446</c:v>
                </c:pt>
                <c:pt idx="4">
                  <c:v>89.720670391061446</c:v>
                </c:pt>
                <c:pt idx="5">
                  <c:v>149.72067039106145</c:v>
                </c:pt>
                <c:pt idx="6">
                  <c:v>203.52067039106146</c:v>
                </c:pt>
                <c:pt idx="7">
                  <c:v>223.52067039106146</c:v>
                </c:pt>
                <c:pt idx="8">
                  <c:v>283.52067039106146</c:v>
                </c:pt>
                <c:pt idx="9">
                  <c:v>333.52067039106146</c:v>
                </c:pt>
              </c:numCache>
            </c:numRef>
          </c:xVal>
          <c:yVal>
            <c:numRef>
              <c:f>'Curve comparison'!$N$17:$N$26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14.120000000000005</c:v>
                </c:pt>
                <c:pt idx="3">
                  <c:v>14.120000000000005</c:v>
                </c:pt>
                <c:pt idx="4">
                  <c:v>71.399999999999991</c:v>
                </c:pt>
                <c:pt idx="5">
                  <c:v>71.399999999999991</c:v>
                </c:pt>
                <c:pt idx="6">
                  <c:v>264.00399999999996</c:v>
                </c:pt>
                <c:pt idx="7">
                  <c:v>330</c:v>
                </c:pt>
                <c:pt idx="8">
                  <c:v>330</c:v>
                </c:pt>
                <c:pt idx="9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3-4947-B49D-52F70F92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4735"/>
        <c:axId val="75104879"/>
      </c:scatterChart>
      <c:valAx>
        <c:axId val="1613547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879"/>
        <c:crosses val="autoZero"/>
        <c:crossBetween val="midCat"/>
      </c:valAx>
      <c:valAx>
        <c:axId val="75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7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326571958322225"/>
          <c:y val="0.85421304551404009"/>
          <c:w val="0.61308726804724678"/>
          <c:h val="0.1420314808150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6.png"/><Relationship Id="rId18" Type="http://schemas.openxmlformats.org/officeDocument/2006/relationships/image" Target="../media/image11.emf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12" Type="http://schemas.openxmlformats.org/officeDocument/2006/relationships/image" Target="../media/image5.png"/><Relationship Id="rId17" Type="http://schemas.openxmlformats.org/officeDocument/2006/relationships/image" Target="../media/image10.emf"/><Relationship Id="rId2" Type="http://schemas.openxmlformats.org/officeDocument/2006/relationships/image" Target="cid:image009.png@01DA0358.10A009A0" TargetMode="External"/><Relationship Id="rId16" Type="http://schemas.openxmlformats.org/officeDocument/2006/relationships/image" Target="../media/image9.emf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4.png"/><Relationship Id="rId5" Type="http://schemas.openxmlformats.org/officeDocument/2006/relationships/chart" Target="../charts/chart1.xml"/><Relationship Id="rId15" Type="http://schemas.openxmlformats.org/officeDocument/2006/relationships/image" Target="../media/image8.emf"/><Relationship Id="rId10" Type="http://schemas.openxmlformats.org/officeDocument/2006/relationships/image" Target="../media/image3.png"/><Relationship Id="rId4" Type="http://schemas.openxmlformats.org/officeDocument/2006/relationships/image" Target="cid:image008.png@01DA0358.10A009A0" TargetMode="External"/><Relationship Id="rId9" Type="http://schemas.openxmlformats.org/officeDocument/2006/relationships/chart" Target="../charts/chart5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628650</xdr:colOff>
      <xdr:row>9</xdr:row>
      <xdr:rowOff>76200</xdr:rowOff>
    </xdr:from>
    <xdr:to>
      <xdr:col>27</xdr:col>
      <xdr:colOff>320675</xdr:colOff>
      <xdr:row>20</xdr:row>
      <xdr:rowOff>76200</xdr:rowOff>
    </xdr:to>
    <xdr:pic>
      <xdr:nvPicPr>
        <xdr:cNvPr id="2" name="Picture 1" descr="cid:image009.png@01DA0358.10A009A0">
          <a:extLst>
            <a:ext uri="{FF2B5EF4-FFF2-40B4-BE49-F238E27FC236}">
              <a16:creationId xmlns:a16="http://schemas.microsoft.com/office/drawing/2014/main" id="{4A572CA2-296B-45A1-991B-35AEC4769196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0" y="3495675"/>
          <a:ext cx="3254375" cy="2381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160057</xdr:colOff>
      <xdr:row>53</xdr:row>
      <xdr:rowOff>41648</xdr:rowOff>
    </xdr:from>
    <xdr:to>
      <xdr:col>27</xdr:col>
      <xdr:colOff>502771</xdr:colOff>
      <xdr:row>64</xdr:row>
      <xdr:rowOff>44822</xdr:rowOff>
    </xdr:to>
    <xdr:pic>
      <xdr:nvPicPr>
        <xdr:cNvPr id="8" name="Picture 7" descr="cid:image008.png@01DA0358.10A009A0">
          <a:extLst>
            <a:ext uri="{FF2B5EF4-FFF2-40B4-BE49-F238E27FC236}">
              <a16:creationId xmlns:a16="http://schemas.microsoft.com/office/drawing/2014/main" id="{9319AE8A-3D2A-4462-9F5E-B419C794AD1A}"/>
            </a:ext>
          </a:extLst>
        </xdr:cNvPr>
        <xdr:cNvPicPr/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0057" y="11785413"/>
          <a:ext cx="3923740" cy="275496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116086</xdr:colOff>
      <xdr:row>88</xdr:row>
      <xdr:rowOff>43355</xdr:rowOff>
    </xdr:from>
    <xdr:to>
      <xdr:col>8</xdr:col>
      <xdr:colOff>132895</xdr:colOff>
      <xdr:row>104</xdr:row>
      <xdr:rowOff>92075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1F102B-0295-41B2-B57C-43FED0FB9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340180</xdr:colOff>
      <xdr:row>88</xdr:row>
      <xdr:rowOff>64861</xdr:rowOff>
    </xdr:from>
    <xdr:to>
      <xdr:col>12</xdr:col>
      <xdr:colOff>680358</xdr:colOff>
      <xdr:row>104</xdr:row>
      <xdr:rowOff>102508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1781AD-5817-4482-87EB-A79E85A15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136072</xdr:colOff>
      <xdr:row>88</xdr:row>
      <xdr:rowOff>40822</xdr:rowOff>
    </xdr:from>
    <xdr:to>
      <xdr:col>17</xdr:col>
      <xdr:colOff>391995</xdr:colOff>
      <xdr:row>104</xdr:row>
      <xdr:rowOff>84819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B79DCC-0A3A-4036-9F23-50FA9118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612322</xdr:colOff>
      <xdr:row>88</xdr:row>
      <xdr:rowOff>81643</xdr:rowOff>
    </xdr:from>
    <xdr:to>
      <xdr:col>21</xdr:col>
      <xdr:colOff>582753</xdr:colOff>
      <xdr:row>104</xdr:row>
      <xdr:rowOff>84818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264E69-BFCD-4284-86C8-8D91D082D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867682</xdr:colOff>
      <xdr:row>88</xdr:row>
      <xdr:rowOff>95251</xdr:rowOff>
    </xdr:from>
    <xdr:to>
      <xdr:col>26</xdr:col>
      <xdr:colOff>1143000</xdr:colOff>
      <xdr:row>104</xdr:row>
      <xdr:rowOff>68037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6876DC-9AC8-47F7-9E16-FBA6077CA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217977</xdr:colOff>
      <xdr:row>55</xdr:row>
      <xdr:rowOff>117929</xdr:rowOff>
    </xdr:from>
    <xdr:to>
      <xdr:col>32</xdr:col>
      <xdr:colOff>331150</xdr:colOff>
      <xdr:row>63</xdr:row>
      <xdr:rowOff>154216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08B8FE6-D979-45C2-B4E2-641A1CF4D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930691" y="12944929"/>
          <a:ext cx="2995166" cy="189593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9</xdr:col>
      <xdr:colOff>435805</xdr:colOff>
      <xdr:row>39</xdr:row>
      <xdr:rowOff>145948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6EB3FCA-DCDF-44CE-8307-36192A7CF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07214" y="7910286"/>
          <a:ext cx="3030234" cy="2135312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28</xdr:row>
      <xdr:rowOff>175884</xdr:rowOff>
    </xdr:from>
    <xdr:to>
      <xdr:col>13</xdr:col>
      <xdr:colOff>312719</xdr:colOff>
      <xdr:row>39</xdr:row>
      <xdr:rowOff>140192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B9BF1F0-A032-4330-9DAE-AC998F334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81358" y="8086170"/>
          <a:ext cx="2798290" cy="1960022"/>
        </a:xfrm>
        <a:prstGeom prst="rect">
          <a:avLst/>
        </a:prstGeom>
      </xdr:spPr>
    </xdr:pic>
    <xdr:clientData/>
  </xdr:twoCellAnchor>
  <xdr:twoCellAnchor editAs="oneCell">
    <xdr:from>
      <xdr:col>15</xdr:col>
      <xdr:colOff>39504</xdr:colOff>
      <xdr:row>29</xdr:row>
      <xdr:rowOff>37195</xdr:rowOff>
    </xdr:from>
    <xdr:to>
      <xdr:col>17</xdr:col>
      <xdr:colOff>154214</xdr:colOff>
      <xdr:row>38</xdr:row>
      <xdr:rowOff>172383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49B435F-9188-4204-A522-A6969CD00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086361" y="8128909"/>
          <a:ext cx="2527710" cy="1768045"/>
        </a:xfrm>
        <a:prstGeom prst="rect">
          <a:avLst/>
        </a:prstGeom>
      </xdr:spPr>
    </xdr:pic>
    <xdr:clientData/>
  </xdr:twoCellAnchor>
  <xdr:twoCellAnchor editAs="oneCell">
    <xdr:from>
      <xdr:col>19</xdr:col>
      <xdr:colOff>81642</xdr:colOff>
      <xdr:row>28</xdr:row>
      <xdr:rowOff>172971</xdr:rowOff>
    </xdr:from>
    <xdr:to>
      <xdr:col>21</xdr:col>
      <xdr:colOff>314586</xdr:colOff>
      <xdr:row>39</xdr:row>
      <xdr:rowOff>163780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EEFFAA2-E818-4249-B14C-475A725FA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30499" y="8083257"/>
          <a:ext cx="2848237" cy="1980173"/>
        </a:xfrm>
        <a:prstGeom prst="rect">
          <a:avLst/>
        </a:prstGeom>
      </xdr:spPr>
    </xdr:pic>
    <xdr:clientData/>
  </xdr:twoCellAnchor>
  <xdr:twoCellAnchor editAs="oneCell">
    <xdr:from>
      <xdr:col>7</xdr:col>
      <xdr:colOff>68036</xdr:colOff>
      <xdr:row>67</xdr:row>
      <xdr:rowOff>95250</xdr:rowOff>
    </xdr:from>
    <xdr:to>
      <xdr:col>9</xdr:col>
      <xdr:colOff>430597</xdr:colOff>
      <xdr:row>85</xdr:row>
      <xdr:rowOff>87673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D2E7DD8-A841-49CB-81BE-0FC8D21A697A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7107" y="17485179"/>
          <a:ext cx="2961526" cy="31701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124331</xdr:colOff>
      <xdr:row>69</xdr:row>
      <xdr:rowOff>23664</xdr:rowOff>
    </xdr:from>
    <xdr:to>
      <xdr:col>13</xdr:col>
      <xdr:colOff>616856</xdr:colOff>
      <xdr:row>83</xdr:row>
      <xdr:rowOff>12346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FC7C025-D764-42B7-86B9-0EFCD2489410}"/>
            </a:ext>
          </a:extLst>
        </xdr:cNvPr>
        <xdr:cNvPicPr/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3224" y="17767378"/>
          <a:ext cx="3084232" cy="24588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115791</xdr:colOff>
      <xdr:row>68</xdr:row>
      <xdr:rowOff>141913</xdr:rowOff>
    </xdr:from>
    <xdr:to>
      <xdr:col>17</xdr:col>
      <xdr:colOff>38712</xdr:colOff>
      <xdr:row>83</xdr:row>
      <xdr:rowOff>122352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B9821F8-C9C9-49AB-9341-7B85C8B6987B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0898" y="17708734"/>
          <a:ext cx="2331385" cy="26338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78546</xdr:colOff>
      <xdr:row>69</xdr:row>
      <xdr:rowOff>4426</xdr:rowOff>
    </xdr:from>
    <xdr:to>
      <xdr:col>21</xdr:col>
      <xdr:colOff>793002</xdr:colOff>
      <xdr:row>80</xdr:row>
      <xdr:rowOff>7307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4826AF8-EA9D-4C76-80B0-A0F89F2558DC}"/>
            </a:ext>
          </a:extLst>
        </xdr:cNvPr>
        <xdr:cNvPicPr/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6582" y="17748140"/>
          <a:ext cx="3327027" cy="19550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179161</xdr:colOff>
      <xdr:row>0</xdr:row>
      <xdr:rowOff>20636</xdr:rowOff>
    </xdr:from>
    <xdr:to>
      <xdr:col>20</xdr:col>
      <xdr:colOff>107674</xdr:colOff>
      <xdr:row>9</xdr:row>
      <xdr:rowOff>157370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2B7A1-0051-4799-B435-C75846292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260015</xdr:colOff>
      <xdr:row>0</xdr:row>
      <xdr:rowOff>29718</xdr:rowOff>
    </xdr:from>
    <xdr:to>
      <xdr:col>25</xdr:col>
      <xdr:colOff>182218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E2205-8C13-4DC9-A285-BC3663208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127296</xdr:colOff>
      <xdr:row>14</xdr:row>
      <xdr:rowOff>15521</xdr:rowOff>
    </xdr:from>
    <xdr:to>
      <xdr:col>19</xdr:col>
      <xdr:colOff>524980</xdr:colOff>
      <xdr:row>25</xdr:row>
      <xdr:rowOff>173935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7E7E2-A2F8-4D0E-804E-AA0C69795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159263</xdr:colOff>
      <xdr:row>14</xdr:row>
      <xdr:rowOff>44588</xdr:rowOff>
    </xdr:from>
    <xdr:to>
      <xdr:col>25</xdr:col>
      <xdr:colOff>173935</xdr:colOff>
      <xdr:row>26</xdr:row>
      <xdr:rowOff>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1C1B0-B29F-4FDB-B3F6-058B93150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402672</xdr:colOff>
      <xdr:row>27</xdr:row>
      <xdr:rowOff>127552</xdr:rowOff>
    </xdr:from>
    <xdr:to>
      <xdr:col>21</xdr:col>
      <xdr:colOff>433870</xdr:colOff>
      <xdr:row>44</xdr:row>
      <xdr:rowOff>26090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FD3E7C-8C45-4684-B528-843AEEB37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454268</xdr:colOff>
      <xdr:row>32</xdr:row>
      <xdr:rowOff>26133</xdr:rowOff>
    </xdr:from>
    <xdr:to>
      <xdr:col>19</xdr:col>
      <xdr:colOff>567348</xdr:colOff>
      <xdr:row>35</xdr:row>
      <xdr:rowOff>21980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007A527-3B2C-4AA1-B883-89562757AD1E}"/>
            </a:ext>
          </a:extLst>
        </xdr:cNvPr>
        <xdr:cNvSpPr/>
      </xdr:nvSpPr>
      <xdr:spPr>
        <a:xfrm>
          <a:off x="15071480" y="7133248"/>
          <a:ext cx="721214" cy="545367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388327</xdr:colOff>
      <xdr:row>22</xdr:row>
      <xdr:rowOff>0</xdr:rowOff>
    </xdr:from>
    <xdr:to>
      <xdr:col>21</xdr:col>
      <xdr:colOff>501407</xdr:colOff>
      <xdr:row>24</xdr:row>
      <xdr:rowOff>182196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B52F28D-3878-4A18-912D-FDCC04478E9C}"/>
            </a:ext>
          </a:extLst>
        </xdr:cNvPr>
        <xdr:cNvSpPr/>
      </xdr:nvSpPr>
      <xdr:spPr>
        <a:xfrm>
          <a:off x="16221808" y="5084885"/>
          <a:ext cx="721214" cy="548542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92075</xdr:colOff>
      <xdr:row>33</xdr:row>
      <xdr:rowOff>83772</xdr:rowOff>
    </xdr:from>
    <xdr:to>
      <xdr:col>17</xdr:col>
      <xdr:colOff>512885</xdr:colOff>
      <xdr:row>36</xdr:row>
      <xdr:rowOff>146538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874D739-AFD2-4FAD-AFA7-4079D71C165E}"/>
            </a:ext>
          </a:extLst>
        </xdr:cNvPr>
        <xdr:cNvSpPr/>
      </xdr:nvSpPr>
      <xdr:spPr>
        <a:xfrm>
          <a:off x="13493017" y="7374060"/>
          <a:ext cx="1028945" cy="612286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512885</xdr:colOff>
      <xdr:row>35</xdr:row>
      <xdr:rowOff>124558</xdr:rowOff>
    </xdr:from>
    <xdr:to>
      <xdr:col>20</xdr:col>
      <xdr:colOff>278423</xdr:colOff>
      <xdr:row>38</xdr:row>
      <xdr:rowOff>30285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AE24023-5F98-4BE6-9167-AC3E895C597B}"/>
            </a:ext>
          </a:extLst>
        </xdr:cNvPr>
        <xdr:cNvSpPr/>
      </xdr:nvSpPr>
      <xdr:spPr>
        <a:xfrm>
          <a:off x="15738231" y="7781193"/>
          <a:ext cx="373673" cy="455246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5CFC-C450-4218-BD76-993E0ECEAFF5}">
  <sheetPr codeName="Sheet1"/>
  <dimension ref="A2:AH104"/>
  <sheetViews>
    <sheetView topLeftCell="J43" zoomScale="85" zoomScaleNormal="85" workbookViewId="0">
      <selection activeCell="AD52" sqref="AD52"/>
    </sheetView>
  </sheetViews>
  <sheetFormatPr defaultColWidth="8.7109375" defaultRowHeight="15" x14ac:dyDescent="0.25"/>
  <cols>
    <col min="1" max="1" width="2.140625" style="2" customWidth="1"/>
    <col min="2" max="2" width="17.5703125" style="2" customWidth="1"/>
    <col min="3" max="3" width="12.42578125" style="2" customWidth="1"/>
    <col min="4" max="4" width="15.5703125" style="2" customWidth="1"/>
    <col min="5" max="5" width="11.85546875" style="2" customWidth="1"/>
    <col min="6" max="6" width="11.140625" style="2" customWidth="1"/>
    <col min="7" max="7" width="2.140625" style="2" customWidth="1"/>
    <col min="8" max="8" width="23.85546875" style="2" customWidth="1"/>
    <col min="9" max="9" width="13.28515625" style="2" customWidth="1"/>
    <col min="10" max="10" width="12.42578125" style="2" customWidth="1"/>
    <col min="11" max="11" width="2.140625" style="2" customWidth="1"/>
    <col min="12" max="12" width="24.42578125" style="2" customWidth="1"/>
    <col min="13" max="13" width="10.5703125" style="2" bestFit="1" customWidth="1"/>
    <col min="14" max="14" width="10.42578125" style="2" customWidth="1"/>
    <col min="15" max="15" width="2.140625" style="2" customWidth="1"/>
    <col min="16" max="16" width="24" style="2" bestFit="1" customWidth="1"/>
    <col min="17" max="17" width="10.5703125" style="2" bestFit="1" customWidth="1"/>
    <col min="18" max="18" width="10.5703125" style="2" customWidth="1"/>
    <col min="19" max="19" width="2.140625" style="2" customWidth="1"/>
    <col min="20" max="20" width="24" style="2" bestFit="1" customWidth="1"/>
    <col min="21" max="22" width="13.42578125" style="2" customWidth="1"/>
    <col min="23" max="23" width="2.140625" style="2" customWidth="1"/>
    <col min="24" max="24" width="19.42578125" style="2" customWidth="1"/>
    <col min="25" max="25" width="12.140625" style="2" customWidth="1"/>
    <col min="26" max="26" width="2.140625" style="2" customWidth="1"/>
    <col min="27" max="27" width="17.140625" style="2" customWidth="1"/>
    <col min="28" max="28" width="13.140625" style="2" customWidth="1"/>
    <col min="29" max="29" width="2.140625" style="2" customWidth="1"/>
    <col min="30" max="30" width="19" style="2" customWidth="1"/>
    <col min="31" max="31" width="20" style="2" customWidth="1"/>
    <col min="32" max="32" width="2.140625" style="2" customWidth="1"/>
    <col min="33" max="33" width="35.5703125" style="2" customWidth="1"/>
    <col min="34" max="34" width="2.140625" style="2" customWidth="1"/>
    <col min="35" max="16384" width="8.7109375" style="2"/>
  </cols>
  <sheetData>
    <row r="2" spans="1:34" ht="21.95" customHeight="1" x14ac:dyDescent="0.5">
      <c r="B2" s="172" t="s">
        <v>87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4" ht="111.75" customHeight="1" x14ac:dyDescent="0.25">
      <c r="A3" s="14"/>
      <c r="B3" s="20" t="s">
        <v>23</v>
      </c>
      <c r="C3" s="20" t="s">
        <v>0</v>
      </c>
      <c r="D3" s="20" t="s">
        <v>1</v>
      </c>
      <c r="E3" s="20" t="s">
        <v>2</v>
      </c>
      <c r="F3" s="20" t="s">
        <v>3</v>
      </c>
      <c r="G3" s="14"/>
      <c r="H3" s="169" t="s">
        <v>24</v>
      </c>
      <c r="I3" s="169"/>
      <c r="J3" s="169"/>
      <c r="K3" s="19"/>
      <c r="L3" s="169" t="s">
        <v>27</v>
      </c>
      <c r="M3" s="169"/>
      <c r="N3" s="169"/>
      <c r="O3" s="19"/>
      <c r="P3" s="169" t="s">
        <v>28</v>
      </c>
      <c r="Q3" s="169"/>
      <c r="R3" s="169"/>
      <c r="S3" s="19"/>
      <c r="T3" s="169" t="s">
        <v>31</v>
      </c>
      <c r="U3" s="169"/>
      <c r="V3" s="169"/>
      <c r="W3" s="19"/>
      <c r="X3" s="165" t="s">
        <v>32</v>
      </c>
      <c r="Y3" s="165"/>
      <c r="Z3" s="19"/>
      <c r="AA3" s="167" t="s">
        <v>33</v>
      </c>
      <c r="AB3" s="168"/>
      <c r="AC3" s="19"/>
      <c r="AD3" s="165" t="s">
        <v>35</v>
      </c>
      <c r="AE3" s="165"/>
      <c r="AF3" s="19"/>
      <c r="AG3" s="18" t="s">
        <v>34</v>
      </c>
      <c r="AH3" s="14"/>
    </row>
    <row r="4" spans="1:34" ht="29.45" customHeight="1" x14ac:dyDescent="0.25">
      <c r="A4" s="14"/>
      <c r="B4" s="3" t="s">
        <v>4</v>
      </c>
      <c r="C4" s="3" t="s">
        <v>5</v>
      </c>
      <c r="D4" s="3">
        <v>75</v>
      </c>
      <c r="E4" s="3">
        <v>145</v>
      </c>
      <c r="F4" s="3">
        <v>220</v>
      </c>
      <c r="G4" s="14"/>
      <c r="H4" s="3" t="s">
        <v>38</v>
      </c>
      <c r="I4" s="3" t="s">
        <v>11</v>
      </c>
      <c r="J4" s="22" t="s">
        <v>22</v>
      </c>
      <c r="K4" s="14"/>
      <c r="L4" s="3" t="s">
        <v>38</v>
      </c>
      <c r="M4" s="3" t="s">
        <v>11</v>
      </c>
      <c r="N4" s="22" t="s">
        <v>22</v>
      </c>
      <c r="O4" s="14"/>
      <c r="P4" s="3" t="s">
        <v>38</v>
      </c>
      <c r="Q4" s="3" t="s">
        <v>11</v>
      </c>
      <c r="R4" s="22" t="s">
        <v>22</v>
      </c>
      <c r="S4" s="14"/>
      <c r="T4" s="3" t="s">
        <v>38</v>
      </c>
      <c r="U4" s="3" t="s">
        <v>11</v>
      </c>
      <c r="V4" s="22" t="s">
        <v>22</v>
      </c>
      <c r="W4" s="14"/>
      <c r="X4" s="3" t="s">
        <v>6</v>
      </c>
      <c r="Y4" s="3" t="s">
        <v>7</v>
      </c>
      <c r="Z4" s="14"/>
      <c r="AA4" s="3" t="s">
        <v>6</v>
      </c>
      <c r="AB4" s="3" t="s">
        <v>7</v>
      </c>
      <c r="AC4" s="14"/>
      <c r="AD4" s="4" t="s">
        <v>8</v>
      </c>
      <c r="AE4" s="3">
        <f>0.01*660</f>
        <v>6.6000000000000005</v>
      </c>
      <c r="AF4" s="14"/>
    </row>
    <row r="5" spans="1:34" ht="30" x14ac:dyDescent="0.25">
      <c r="A5" s="14"/>
      <c r="B5" s="3" t="s">
        <v>9</v>
      </c>
      <c r="C5" s="3" t="s">
        <v>10</v>
      </c>
      <c r="D5" s="3">
        <v>190</v>
      </c>
      <c r="E5" s="3">
        <v>225</v>
      </c>
      <c r="F5" s="3">
        <v>415</v>
      </c>
      <c r="G5" s="14"/>
      <c r="H5" s="5">
        <v>0</v>
      </c>
      <c r="I5" s="5">
        <f>IF(J5&lt;=36,0,J5-36)</f>
        <v>0</v>
      </c>
      <c r="J5" s="23">
        <v>1</v>
      </c>
      <c r="K5" s="15"/>
      <c r="L5" s="5">
        <v>0</v>
      </c>
      <c r="M5" s="5">
        <f>IF(N5&lt;=36,0,N5-36)</f>
        <v>0</v>
      </c>
      <c r="N5" s="23">
        <v>1</v>
      </c>
      <c r="O5" s="17"/>
      <c r="P5" s="5">
        <v>0</v>
      </c>
      <c r="Q5" s="5">
        <f>IF(R5&lt;=36,0,R5-36)</f>
        <v>0</v>
      </c>
      <c r="R5" s="23">
        <v>1</v>
      </c>
      <c r="S5" s="17"/>
      <c r="T5" s="5">
        <v>0</v>
      </c>
      <c r="U5" s="5">
        <f>IF(V5&lt;=36,0,V5-36)</f>
        <v>0</v>
      </c>
      <c r="V5" s="23">
        <v>1</v>
      </c>
      <c r="W5" s="14"/>
      <c r="X5" s="5" t="s">
        <v>12</v>
      </c>
      <c r="Y5" s="7">
        <f>0.01*660</f>
        <v>6.6000000000000005</v>
      </c>
      <c r="Z5" s="14"/>
      <c r="AA5" s="5" t="s">
        <v>13</v>
      </c>
      <c r="AB5" s="7">
        <f>0.02*660</f>
        <v>13.200000000000001</v>
      </c>
      <c r="AC5" s="14"/>
      <c r="AD5" s="3" t="s">
        <v>37</v>
      </c>
      <c r="AE5" s="3" t="s">
        <v>11</v>
      </c>
      <c r="AF5" s="14"/>
    </row>
    <row r="6" spans="1:34" ht="30" x14ac:dyDescent="0.25">
      <c r="A6" s="14"/>
      <c r="B6" s="3" t="s">
        <v>14</v>
      </c>
      <c r="C6" s="3" t="s">
        <v>15</v>
      </c>
      <c r="D6" s="3">
        <v>310</v>
      </c>
      <c r="E6" s="3">
        <v>280</v>
      </c>
      <c r="F6" s="3">
        <v>590</v>
      </c>
      <c r="G6" s="14"/>
      <c r="H6" s="5">
        <f>H5+(J6-J5)/(0.01*716)</f>
        <v>4.8882681564245809</v>
      </c>
      <c r="I6" s="5">
        <f t="shared" ref="I6:I9" si="0">IF(J6&lt;=36,0,J6-36)</f>
        <v>0</v>
      </c>
      <c r="J6" s="23">
        <v>36</v>
      </c>
      <c r="K6" s="15"/>
      <c r="L6" s="5">
        <f>L5+(N6-N5)/(0.005*716)</f>
        <v>9.7765363128491618</v>
      </c>
      <c r="M6" s="5">
        <f t="shared" ref="M6:M11" si="1">IF(N6&lt;=36,0,N6-36)</f>
        <v>0</v>
      </c>
      <c r="N6" s="23">
        <v>36</v>
      </c>
      <c r="O6" s="17"/>
      <c r="P6" s="5">
        <f>P5+(R6-R5)/(0.005*716)</f>
        <v>9.7765363128491618</v>
      </c>
      <c r="Q6" s="5">
        <f t="shared" ref="Q6:Q11" si="2">IF(R6&lt;=36,0,R6-36)</f>
        <v>0</v>
      </c>
      <c r="R6" s="23">
        <v>36</v>
      </c>
      <c r="S6" s="17"/>
      <c r="T6" s="5">
        <f t="shared" ref="T6:T11" si="3">T5+(V6-V5)/(0.005*716)</f>
        <v>5.7206703910614527</v>
      </c>
      <c r="U6" s="5">
        <f t="shared" ref="U6:U11" si="4">IF(V6&lt;=36,0,V6-36)</f>
        <v>0</v>
      </c>
      <c r="V6" s="23">
        <f>0.03*716</f>
        <v>21.48</v>
      </c>
      <c r="W6" s="14"/>
      <c r="X6" s="5" t="s">
        <v>16</v>
      </c>
      <c r="Y6" s="7">
        <f>0.02*660</f>
        <v>13.200000000000001</v>
      </c>
      <c r="Z6" s="14"/>
      <c r="AA6" s="5" t="s">
        <v>17</v>
      </c>
      <c r="AB6" s="7">
        <v>0</v>
      </c>
      <c r="AC6" s="14"/>
      <c r="AD6" s="5">
        <v>0</v>
      </c>
      <c r="AE6" s="5">
        <f>0.4*660</f>
        <v>264</v>
      </c>
      <c r="AF6" s="14"/>
    </row>
    <row r="7" spans="1:34" ht="36.6" customHeight="1" x14ac:dyDescent="0.25">
      <c r="A7" s="14"/>
      <c r="B7" s="3" t="s">
        <v>18</v>
      </c>
      <c r="C7" s="3" t="s">
        <v>19</v>
      </c>
      <c r="D7" s="3">
        <v>385</v>
      </c>
      <c r="E7" s="3">
        <v>330</v>
      </c>
      <c r="F7" s="3">
        <v>715</v>
      </c>
      <c r="G7" s="14"/>
      <c r="H7" s="5">
        <f>H6+(J7-J6)/(0.01*716)</f>
        <v>14.860335195530723</v>
      </c>
      <c r="I7" s="5">
        <f t="shared" si="0"/>
        <v>71.399999999999991</v>
      </c>
      <c r="J7" s="23">
        <f>0.15*716</f>
        <v>107.39999999999999</v>
      </c>
      <c r="K7" s="15"/>
      <c r="L7" s="5">
        <f>L6+(N7-N6)/(0.005*716)</f>
        <v>13.720670391061454</v>
      </c>
      <c r="M7" s="5">
        <f t="shared" si="1"/>
        <v>14.120000000000005</v>
      </c>
      <c r="N7" s="23">
        <f>0.07*716</f>
        <v>50.120000000000005</v>
      </c>
      <c r="O7" s="17"/>
      <c r="P7" s="5">
        <f>P6+(R7-R6)/(0.005*716)</f>
        <v>13.720670391061454</v>
      </c>
      <c r="Q7" s="5">
        <f t="shared" si="2"/>
        <v>14.120000000000005</v>
      </c>
      <c r="R7" s="23">
        <f>0.07*716</f>
        <v>50.120000000000005</v>
      </c>
      <c r="S7" s="17"/>
      <c r="T7" s="5">
        <f>T6+60</f>
        <v>65.720670391061446</v>
      </c>
      <c r="U7" s="5">
        <f t="shared" si="4"/>
        <v>0</v>
      </c>
      <c r="V7" s="23">
        <f>0.03*716</f>
        <v>21.48</v>
      </c>
      <c r="W7" s="14"/>
      <c r="X7" s="5" t="s">
        <v>17</v>
      </c>
      <c r="Y7" s="7">
        <v>0</v>
      </c>
      <c r="Z7" s="14"/>
      <c r="AA7" s="5" t="s">
        <v>45</v>
      </c>
      <c r="AB7" s="7">
        <f>0.02*660</f>
        <v>13.200000000000001</v>
      </c>
      <c r="AC7" s="14"/>
      <c r="AD7" s="5">
        <v>40</v>
      </c>
      <c r="AE7" s="5">
        <f>AE6</f>
        <v>264</v>
      </c>
      <c r="AF7" s="14"/>
    </row>
    <row r="8" spans="1:34" ht="21.6" customHeight="1" x14ac:dyDescent="0.25">
      <c r="G8" s="14"/>
      <c r="H8" s="5">
        <f>H7+40</f>
        <v>54.860335195530723</v>
      </c>
      <c r="I8" s="5">
        <f t="shared" si="0"/>
        <v>71.399999999999991</v>
      </c>
      <c r="J8" s="23">
        <f>0.15*716</f>
        <v>107.39999999999999</v>
      </c>
      <c r="K8" s="15"/>
      <c r="L8" s="5">
        <f>L7+5</f>
        <v>18.720670391061454</v>
      </c>
      <c r="M8" s="5">
        <f t="shared" si="1"/>
        <v>14.120000000000005</v>
      </c>
      <c r="N8" s="23">
        <f>0.07*716</f>
        <v>50.120000000000005</v>
      </c>
      <c r="O8" s="17"/>
      <c r="P8" s="5">
        <f>P7+10</f>
        <v>23.720670391061454</v>
      </c>
      <c r="Q8" s="5">
        <f t="shared" si="2"/>
        <v>14.120000000000005</v>
      </c>
      <c r="R8" s="23">
        <f>0.07*716</f>
        <v>50.120000000000005</v>
      </c>
      <c r="S8" s="17"/>
      <c r="T8" s="5">
        <f t="shared" si="3"/>
        <v>69.77653631284916</v>
      </c>
      <c r="U8" s="5">
        <f t="shared" si="4"/>
        <v>0</v>
      </c>
      <c r="V8" s="23">
        <v>36</v>
      </c>
      <c r="W8" s="14"/>
      <c r="X8" s="5" t="s">
        <v>20</v>
      </c>
      <c r="Y8" s="7">
        <f>0.02*660</f>
        <v>13.200000000000001</v>
      </c>
      <c r="Z8" s="14"/>
      <c r="AA8" s="5" t="s">
        <v>46</v>
      </c>
      <c r="AB8" s="7">
        <v>6.6</v>
      </c>
      <c r="AC8" s="14"/>
      <c r="AD8" s="5">
        <f>AD7+(AE7-AE8)/AE4</f>
        <v>50</v>
      </c>
      <c r="AE8" s="5">
        <f>0.3*660</f>
        <v>198</v>
      </c>
      <c r="AF8" s="14"/>
    </row>
    <row r="9" spans="1:34" x14ac:dyDescent="0.25">
      <c r="G9" s="14"/>
      <c r="H9" s="5">
        <f>H8+(J9-J8)/(0.01*716)</f>
        <v>81.759776536312842</v>
      </c>
      <c r="I9" s="5">
        <f t="shared" si="0"/>
        <v>264</v>
      </c>
      <c r="J9" s="23">
        <v>300</v>
      </c>
      <c r="K9" s="15"/>
      <c r="L9" s="5">
        <f>L8+(N9-N8)/(0.005*716)</f>
        <v>34.720670391061446</v>
      </c>
      <c r="M9" s="5">
        <f t="shared" si="1"/>
        <v>71.399999999999991</v>
      </c>
      <c r="N9" s="24">
        <f>0.15*716</f>
        <v>107.39999999999999</v>
      </c>
      <c r="O9" s="17"/>
      <c r="P9" s="5">
        <f>P8+(R9-R8)/(0.005*716)</f>
        <v>39.720670391061446</v>
      </c>
      <c r="Q9" s="5">
        <f t="shared" si="2"/>
        <v>71.399999999999991</v>
      </c>
      <c r="R9" s="24">
        <f>0.15*716</f>
        <v>107.39999999999999</v>
      </c>
      <c r="S9" s="17"/>
      <c r="T9" s="5">
        <f t="shared" si="3"/>
        <v>89.720670391061446</v>
      </c>
      <c r="U9" s="5">
        <f t="shared" si="4"/>
        <v>71.399999999999991</v>
      </c>
      <c r="V9" s="24">
        <f t="shared" ref="V9:V10" si="5">0.15*716</f>
        <v>107.39999999999999</v>
      </c>
      <c r="W9" s="14"/>
      <c r="AC9" s="14"/>
      <c r="AD9" s="5">
        <f>AD8+55</f>
        <v>105</v>
      </c>
      <c r="AE9" s="5">
        <f>AE8</f>
        <v>198</v>
      </c>
      <c r="AF9" s="14"/>
    </row>
    <row r="10" spans="1:34" x14ac:dyDescent="0.25">
      <c r="G10" s="14"/>
      <c r="H10" s="8"/>
      <c r="I10" s="8"/>
      <c r="J10" s="8"/>
      <c r="K10" s="15"/>
      <c r="L10" s="9">
        <f>L9+40</f>
        <v>74.720670391061446</v>
      </c>
      <c r="M10" s="5">
        <f t="shared" si="1"/>
        <v>71.399999999999991</v>
      </c>
      <c r="N10" s="23">
        <f>0.15*716</f>
        <v>107.39999999999999</v>
      </c>
      <c r="O10" s="17"/>
      <c r="P10" s="9">
        <f>P9+60</f>
        <v>99.720670391061446</v>
      </c>
      <c r="Q10" s="5">
        <f t="shared" si="2"/>
        <v>71.399999999999991</v>
      </c>
      <c r="R10" s="23">
        <f>0.15*716</f>
        <v>107.39999999999999</v>
      </c>
      <c r="S10" s="17"/>
      <c r="T10" s="5">
        <f>T9+60</f>
        <v>149.72067039106145</v>
      </c>
      <c r="U10" s="5">
        <f t="shared" si="4"/>
        <v>71.399999999999991</v>
      </c>
      <c r="V10" s="24">
        <f t="shared" si="5"/>
        <v>107.39999999999999</v>
      </c>
      <c r="W10" s="14"/>
      <c r="AC10" s="14"/>
      <c r="AD10" s="5">
        <f>AD9+(AE9-AE10)/AE4</f>
        <v>135</v>
      </c>
      <c r="AE10" s="5">
        <v>0</v>
      </c>
      <c r="AF10" s="14"/>
    </row>
    <row r="11" spans="1:34" x14ac:dyDescent="0.25">
      <c r="G11" s="14"/>
      <c r="H11" s="8"/>
      <c r="I11" s="8"/>
      <c r="J11" s="8"/>
      <c r="K11" s="14"/>
      <c r="L11" s="5">
        <f>L10+(N11-N10)/(0.005*716)</f>
        <v>128.51955307262568</v>
      </c>
      <c r="M11" s="5">
        <f t="shared" si="1"/>
        <v>264</v>
      </c>
      <c r="N11" s="23">
        <v>300</v>
      </c>
      <c r="O11" s="14"/>
      <c r="P11" s="5">
        <f>P10+(R11-R10)/(0.005*716)</f>
        <v>153.51955307262568</v>
      </c>
      <c r="Q11" s="5">
        <f t="shared" si="2"/>
        <v>264</v>
      </c>
      <c r="R11" s="23">
        <v>300</v>
      </c>
      <c r="S11" s="14"/>
      <c r="T11" s="5">
        <f t="shared" si="3"/>
        <v>203.51955307262568</v>
      </c>
      <c r="U11" s="5">
        <f t="shared" si="4"/>
        <v>264</v>
      </c>
      <c r="V11" s="23">
        <v>300</v>
      </c>
      <c r="W11" s="14"/>
      <c r="AC11" s="14"/>
    </row>
    <row r="12" spans="1:34" ht="12" customHeight="1" x14ac:dyDescent="0.25">
      <c r="G12" s="14"/>
      <c r="K12" s="14"/>
      <c r="O12" s="14"/>
      <c r="S12" s="14"/>
      <c r="W12" s="14"/>
      <c r="AC12" s="14"/>
    </row>
    <row r="13" spans="1:34" ht="30.6" customHeight="1" x14ac:dyDescent="0.25">
      <c r="G13" s="14"/>
      <c r="H13" s="166" t="s">
        <v>39</v>
      </c>
      <c r="I13" s="166"/>
      <c r="J13" s="91"/>
      <c r="K13" s="92"/>
      <c r="L13" s="166" t="s">
        <v>40</v>
      </c>
      <c r="M13" s="166"/>
      <c r="N13" s="91"/>
      <c r="O13" s="92"/>
      <c r="P13" s="166" t="s">
        <v>41</v>
      </c>
      <c r="Q13" s="166"/>
      <c r="R13" s="91"/>
      <c r="S13" s="92"/>
      <c r="T13" s="166" t="s">
        <v>42</v>
      </c>
      <c r="U13" s="166"/>
      <c r="V13" s="91"/>
      <c r="W13" s="14"/>
      <c r="X13" s="10"/>
      <c r="Y13" s="6"/>
      <c r="AC13" s="14"/>
    </row>
    <row r="14" spans="1:34" ht="30" x14ac:dyDescent="0.25">
      <c r="B14" s="178" t="s">
        <v>36</v>
      </c>
      <c r="C14" s="178"/>
      <c r="D14" s="178"/>
      <c r="E14" s="178"/>
      <c r="F14" s="178"/>
      <c r="G14" s="14"/>
      <c r="H14" s="93" t="s">
        <v>6</v>
      </c>
      <c r="I14" s="93" t="s">
        <v>7</v>
      </c>
      <c r="J14" s="107" t="s">
        <v>44</v>
      </c>
      <c r="K14" s="95"/>
      <c r="L14" s="93" t="s">
        <v>6</v>
      </c>
      <c r="M14" s="93" t="s">
        <v>7</v>
      </c>
      <c r="N14" s="107" t="s">
        <v>44</v>
      </c>
      <c r="O14" s="95"/>
      <c r="P14" s="93" t="s">
        <v>6</v>
      </c>
      <c r="Q14" s="93" t="s">
        <v>7</v>
      </c>
      <c r="R14" s="107" t="s">
        <v>44</v>
      </c>
      <c r="S14" s="95"/>
      <c r="T14" s="93" t="s">
        <v>6</v>
      </c>
      <c r="U14" s="93" t="s">
        <v>7</v>
      </c>
      <c r="V14" s="107" t="s">
        <v>44</v>
      </c>
      <c r="W14" s="14"/>
      <c r="X14" s="10"/>
      <c r="Y14" s="6"/>
      <c r="AC14" s="14"/>
    </row>
    <row r="15" spans="1:34" x14ac:dyDescent="0.25">
      <c r="B15" s="178"/>
      <c r="C15" s="178"/>
      <c r="D15" s="178"/>
      <c r="E15" s="178"/>
      <c r="F15" s="178"/>
      <c r="G15" s="14"/>
      <c r="H15" s="96" t="s">
        <v>12</v>
      </c>
      <c r="I15" s="97">
        <f>0.01*660</f>
        <v>6.6000000000000005</v>
      </c>
      <c r="J15" s="108"/>
      <c r="K15" s="95"/>
      <c r="L15" s="96" t="s">
        <v>12</v>
      </c>
      <c r="M15" s="97">
        <v>3.3</v>
      </c>
      <c r="N15" s="108"/>
      <c r="O15" s="95"/>
      <c r="P15" s="96" t="s">
        <v>12</v>
      </c>
      <c r="Q15" s="97">
        <v>3.3</v>
      </c>
      <c r="R15" s="108"/>
      <c r="S15" s="95"/>
      <c r="T15" s="96" t="s">
        <v>12</v>
      </c>
      <c r="U15" s="97">
        <v>3.3</v>
      </c>
      <c r="V15" s="108"/>
      <c r="W15" s="14"/>
      <c r="X15" s="10"/>
      <c r="Y15" s="6"/>
      <c r="AC15" s="14"/>
    </row>
    <row r="16" spans="1:34" x14ac:dyDescent="0.25">
      <c r="B16" s="178"/>
      <c r="C16" s="178"/>
      <c r="D16" s="178"/>
      <c r="E16" s="178"/>
      <c r="F16" s="178"/>
      <c r="G16" s="14"/>
      <c r="H16" s="96" t="s">
        <v>76</v>
      </c>
      <c r="I16" s="97">
        <v>0</v>
      </c>
      <c r="J16" s="109">
        <v>30</v>
      </c>
      <c r="K16" s="95"/>
      <c r="L16" s="96" t="s">
        <v>76</v>
      </c>
      <c r="M16" s="97">
        <v>0</v>
      </c>
      <c r="N16" s="109">
        <v>30</v>
      </c>
      <c r="O16" s="95"/>
      <c r="P16" s="96" t="s">
        <v>78</v>
      </c>
      <c r="Q16" s="97">
        <v>0</v>
      </c>
      <c r="R16" s="109">
        <v>60</v>
      </c>
      <c r="S16" s="95"/>
      <c r="T16" s="96" t="s">
        <v>78</v>
      </c>
      <c r="U16" s="97">
        <v>0</v>
      </c>
      <c r="V16" s="109">
        <v>60</v>
      </c>
      <c r="W16" s="14"/>
      <c r="X16" s="10"/>
      <c r="Y16" s="6"/>
      <c r="AC16" s="14"/>
      <c r="AD16" s="2" t="s">
        <v>21</v>
      </c>
    </row>
    <row r="17" spans="2:29" x14ac:dyDescent="0.25">
      <c r="B17" s="178"/>
      <c r="C17" s="178"/>
      <c r="D17" s="178"/>
      <c r="E17" s="178"/>
      <c r="F17" s="178"/>
      <c r="G17" s="14"/>
      <c r="H17" s="96" t="s">
        <v>77</v>
      </c>
      <c r="I17" s="97">
        <f>0.02*660</f>
        <v>13.200000000000001</v>
      </c>
      <c r="J17" s="99"/>
      <c r="K17" s="95"/>
      <c r="L17" s="96" t="s">
        <v>77</v>
      </c>
      <c r="M17" s="97">
        <v>6.6</v>
      </c>
      <c r="N17" s="99"/>
      <c r="O17" s="95"/>
      <c r="P17" s="96" t="s">
        <v>77</v>
      </c>
      <c r="Q17" s="97">
        <v>6.6</v>
      </c>
      <c r="R17" s="110"/>
      <c r="S17" s="95"/>
      <c r="T17" s="96" t="s">
        <v>77</v>
      </c>
      <c r="U17" s="97">
        <v>6.6</v>
      </c>
      <c r="V17" s="110"/>
      <c r="W17" s="14"/>
      <c r="X17" s="10"/>
      <c r="Y17" s="6"/>
      <c r="AC17" s="14"/>
    </row>
    <row r="18" spans="2:29" x14ac:dyDescent="0.25">
      <c r="B18" s="178"/>
      <c r="C18" s="178"/>
      <c r="D18" s="178"/>
      <c r="E18" s="178"/>
      <c r="F18" s="178"/>
      <c r="G18" s="14"/>
      <c r="H18" s="99"/>
      <c r="I18" s="99"/>
      <c r="J18" s="98"/>
      <c r="K18" s="95"/>
      <c r="L18" s="96"/>
      <c r="M18" s="97"/>
      <c r="N18" s="98"/>
      <c r="O18" s="95"/>
      <c r="P18" s="96"/>
      <c r="Q18" s="97"/>
      <c r="R18" s="98"/>
      <c r="S18" s="95"/>
      <c r="T18" s="96"/>
      <c r="U18" s="97"/>
      <c r="V18" s="98"/>
      <c r="W18" s="14"/>
      <c r="Y18" s="6"/>
      <c r="AC18" s="14"/>
    </row>
    <row r="19" spans="2:29" ht="12.95" customHeight="1" x14ac:dyDescent="0.25">
      <c r="B19" s="178"/>
      <c r="C19" s="178"/>
      <c r="D19" s="178"/>
      <c r="E19" s="178"/>
      <c r="F19" s="178"/>
      <c r="G19" s="14"/>
      <c r="H19" s="99"/>
      <c r="I19" s="99"/>
      <c r="J19" s="99"/>
      <c r="K19" s="95"/>
      <c r="L19" s="99"/>
      <c r="M19" s="99"/>
      <c r="N19" s="99"/>
      <c r="O19" s="95"/>
      <c r="P19" s="99"/>
      <c r="Q19" s="99"/>
      <c r="R19" s="99"/>
      <c r="S19" s="95"/>
      <c r="T19" s="99"/>
      <c r="U19" s="99"/>
      <c r="V19" s="100"/>
      <c r="W19" s="16"/>
      <c r="Y19" s="6"/>
      <c r="AC19" s="14"/>
    </row>
    <row r="20" spans="2:29" ht="32.1" customHeight="1" x14ac:dyDescent="0.25">
      <c r="B20" s="178"/>
      <c r="C20" s="178"/>
      <c r="D20" s="178"/>
      <c r="E20" s="178"/>
      <c r="F20" s="178"/>
      <c r="G20" s="17"/>
      <c r="H20" s="176" t="s">
        <v>25</v>
      </c>
      <c r="I20" s="177"/>
      <c r="J20" s="101"/>
      <c r="K20" s="92"/>
      <c r="L20" s="176" t="s">
        <v>26</v>
      </c>
      <c r="M20" s="177"/>
      <c r="N20" s="101"/>
      <c r="O20" s="92"/>
      <c r="P20" s="176" t="s">
        <v>29</v>
      </c>
      <c r="Q20" s="177"/>
      <c r="R20" s="101"/>
      <c r="S20" s="92"/>
      <c r="T20" s="176" t="s">
        <v>30</v>
      </c>
      <c r="U20" s="177"/>
      <c r="V20" s="101"/>
      <c r="W20" s="16"/>
      <c r="AC20" s="14"/>
    </row>
    <row r="21" spans="2:29" ht="30" customHeight="1" x14ac:dyDescent="0.25">
      <c r="B21" s="178"/>
      <c r="C21" s="178"/>
      <c r="D21" s="178"/>
      <c r="E21" s="178"/>
      <c r="F21" s="178"/>
      <c r="G21" s="14"/>
      <c r="H21" s="93" t="s">
        <v>43</v>
      </c>
      <c r="I21" s="93" t="s">
        <v>11</v>
      </c>
      <c r="J21" s="94"/>
      <c r="K21" s="102"/>
      <c r="L21" s="93" t="s">
        <v>43</v>
      </c>
      <c r="M21" s="93" t="s">
        <v>11</v>
      </c>
      <c r="N21" s="94"/>
      <c r="O21" s="102"/>
      <c r="P21" s="93" t="s">
        <v>43</v>
      </c>
      <c r="Q21" s="93" t="s">
        <v>11</v>
      </c>
      <c r="R21" s="94"/>
      <c r="S21" s="102"/>
      <c r="T21" s="93" t="s">
        <v>43</v>
      </c>
      <c r="U21" s="93" t="s">
        <v>11</v>
      </c>
      <c r="V21" s="94"/>
      <c r="W21" s="14"/>
      <c r="AC21" s="14"/>
    </row>
    <row r="22" spans="2:29" x14ac:dyDescent="0.25">
      <c r="B22" s="178"/>
      <c r="C22" s="178"/>
      <c r="D22" s="178"/>
      <c r="E22" s="178"/>
      <c r="F22" s="178"/>
      <c r="G22" s="14"/>
      <c r="H22" s="103">
        <v>0</v>
      </c>
      <c r="I22" s="104">
        <v>264</v>
      </c>
      <c r="J22" s="105"/>
      <c r="K22" s="106"/>
      <c r="L22" s="103">
        <v>0</v>
      </c>
      <c r="M22" s="104">
        <v>264</v>
      </c>
      <c r="N22" s="105"/>
      <c r="O22" s="106"/>
      <c r="P22" s="103">
        <v>0</v>
      </c>
      <c r="Q22" s="104">
        <v>264</v>
      </c>
      <c r="R22" s="105"/>
      <c r="S22" s="106"/>
      <c r="T22" s="103">
        <v>0</v>
      </c>
      <c r="U22" s="104">
        <v>264</v>
      </c>
      <c r="V22" s="105"/>
      <c r="W22" s="14"/>
      <c r="AC22" s="14"/>
    </row>
    <row r="23" spans="2:29" x14ac:dyDescent="0.25">
      <c r="G23" s="14"/>
      <c r="H23" s="103">
        <f>H22+(I23-I22)/I15</f>
        <v>10</v>
      </c>
      <c r="I23" s="104">
        <v>330</v>
      </c>
      <c r="J23" s="105"/>
      <c r="K23" s="106"/>
      <c r="L23" s="103">
        <f>L22+(M23-M22)/M15</f>
        <v>20</v>
      </c>
      <c r="M23" s="104">
        <v>330</v>
      </c>
      <c r="N23" s="105"/>
      <c r="O23" s="106"/>
      <c r="P23" s="103">
        <f>P22+(Q23-Q22)/Q15</f>
        <v>20</v>
      </c>
      <c r="Q23" s="104">
        <v>330</v>
      </c>
      <c r="R23" s="105"/>
      <c r="S23" s="106"/>
      <c r="T23" s="103">
        <f>T22+(U23-U22)/U15</f>
        <v>20</v>
      </c>
      <c r="U23" s="104">
        <v>330</v>
      </c>
      <c r="V23" s="105"/>
      <c r="W23" s="14"/>
      <c r="Y23" s="12"/>
      <c r="AC23" s="14"/>
    </row>
    <row r="24" spans="2:29" x14ac:dyDescent="0.25">
      <c r="E24" s="6"/>
      <c r="G24" s="14"/>
      <c r="H24" s="103">
        <f>H23+J16</f>
        <v>40</v>
      </c>
      <c r="I24" s="104">
        <v>330</v>
      </c>
      <c r="J24" s="105"/>
      <c r="K24" s="106"/>
      <c r="L24" s="103">
        <f>L23+N16</f>
        <v>50</v>
      </c>
      <c r="M24" s="104">
        <v>330</v>
      </c>
      <c r="N24" s="105"/>
      <c r="O24" s="106"/>
      <c r="P24" s="103">
        <f>P23+R16</f>
        <v>80</v>
      </c>
      <c r="Q24" s="104">
        <v>330</v>
      </c>
      <c r="R24" s="105"/>
      <c r="S24" s="106"/>
      <c r="T24" s="103">
        <f>T23+V16</f>
        <v>80</v>
      </c>
      <c r="U24" s="104">
        <v>330</v>
      </c>
      <c r="V24" s="105"/>
      <c r="W24" s="14"/>
      <c r="AC24" s="14"/>
    </row>
    <row r="25" spans="2:29" x14ac:dyDescent="0.25">
      <c r="G25" s="14"/>
      <c r="H25" s="103">
        <f>H24+(I25-I24)/I17</f>
        <v>65</v>
      </c>
      <c r="I25" s="104">
        <v>660</v>
      </c>
      <c r="J25" s="105"/>
      <c r="K25" s="106"/>
      <c r="L25" s="103">
        <f>L24+(M25-M24)/M17</f>
        <v>100</v>
      </c>
      <c r="M25" s="104">
        <v>660</v>
      </c>
      <c r="N25" s="105"/>
      <c r="O25" s="106"/>
      <c r="P25" s="103">
        <f>P24+(Q25-Q24)/Q17</f>
        <v>130</v>
      </c>
      <c r="Q25" s="104">
        <v>660</v>
      </c>
      <c r="R25" s="105"/>
      <c r="S25" s="106"/>
      <c r="T25" s="103">
        <f>T24+(U25-U24)/U17</f>
        <v>130</v>
      </c>
      <c r="U25" s="104">
        <v>660</v>
      </c>
      <c r="V25" s="105"/>
      <c r="W25" s="14"/>
      <c r="AC25" s="14"/>
    </row>
    <row r="26" spans="2:29" x14ac:dyDescent="0.25">
      <c r="G26" s="14"/>
      <c r="J26" s="21"/>
      <c r="K26" s="16"/>
      <c r="L26" s="11"/>
      <c r="M26" s="13"/>
      <c r="N26" s="21"/>
      <c r="O26" s="16"/>
      <c r="P26" s="11"/>
      <c r="Q26" s="13"/>
      <c r="R26" s="21"/>
      <c r="S26" s="16"/>
      <c r="T26" s="11"/>
      <c r="U26" s="13"/>
      <c r="V26" s="21"/>
      <c r="W26" s="14"/>
      <c r="AC26" s="14"/>
    </row>
    <row r="36" spans="1:34" x14ac:dyDescent="0.25">
      <c r="H36" s="26"/>
    </row>
    <row r="37" spans="1:34" x14ac:dyDescent="0.25">
      <c r="H37" s="26"/>
    </row>
    <row r="38" spans="1:34" x14ac:dyDescent="0.25">
      <c r="H38" s="26"/>
    </row>
    <row r="39" spans="1:34" x14ac:dyDescent="0.25">
      <c r="H39" s="26"/>
    </row>
    <row r="40" spans="1:34" x14ac:dyDescent="0.25">
      <c r="H40" s="26"/>
    </row>
    <row r="42" spans="1:34" ht="6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</row>
    <row r="43" spans="1:34" x14ac:dyDescent="0.2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4" ht="26.45" customHeight="1" x14ac:dyDescent="0.5">
      <c r="B44" s="175" t="s">
        <v>86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4" ht="111.75" customHeight="1" x14ac:dyDescent="0.25">
      <c r="A45" s="38"/>
      <c r="B45" s="39" t="s">
        <v>23</v>
      </c>
      <c r="C45" s="39" t="s">
        <v>0</v>
      </c>
      <c r="D45" s="39" t="s">
        <v>1</v>
      </c>
      <c r="E45" s="39" t="s">
        <v>2</v>
      </c>
      <c r="F45" s="39" t="s">
        <v>3</v>
      </c>
      <c r="G45" s="38"/>
      <c r="H45" s="163" t="s">
        <v>24</v>
      </c>
      <c r="I45" s="163"/>
      <c r="J45" s="163"/>
      <c r="K45" s="40"/>
      <c r="L45" s="163" t="s">
        <v>27</v>
      </c>
      <c r="M45" s="163"/>
      <c r="N45" s="163"/>
      <c r="O45" s="40"/>
      <c r="P45" s="163" t="s">
        <v>28</v>
      </c>
      <c r="Q45" s="163"/>
      <c r="R45" s="163"/>
      <c r="S45" s="40"/>
      <c r="T45" s="163" t="s">
        <v>31</v>
      </c>
      <c r="U45" s="163"/>
      <c r="V45" s="163"/>
      <c r="W45" s="40"/>
      <c r="X45" s="162" t="s">
        <v>32</v>
      </c>
      <c r="Y45" s="162"/>
      <c r="Z45" s="40"/>
      <c r="AA45" s="170" t="s">
        <v>33</v>
      </c>
      <c r="AB45" s="171"/>
      <c r="AC45" s="40"/>
      <c r="AD45" s="162" t="s">
        <v>35</v>
      </c>
      <c r="AE45" s="162"/>
      <c r="AF45" s="40"/>
      <c r="AG45" s="41" t="s">
        <v>82</v>
      </c>
      <c r="AH45" s="14"/>
    </row>
    <row r="46" spans="1:34" ht="29.45" customHeight="1" x14ac:dyDescent="0.25">
      <c r="A46" s="38"/>
      <c r="B46" s="42" t="s">
        <v>4</v>
      </c>
      <c r="C46" s="42" t="s">
        <v>5</v>
      </c>
      <c r="D46" s="42">
        <v>75</v>
      </c>
      <c r="E46" s="42">
        <v>145</v>
      </c>
      <c r="F46" s="42">
        <v>220</v>
      </c>
      <c r="G46" s="38"/>
      <c r="H46" s="42" t="s">
        <v>38</v>
      </c>
      <c r="I46" s="42" t="s">
        <v>11</v>
      </c>
      <c r="J46" s="68" t="s">
        <v>22</v>
      </c>
      <c r="K46" s="38"/>
      <c r="L46" s="42" t="s">
        <v>38</v>
      </c>
      <c r="M46" s="42" t="s">
        <v>11</v>
      </c>
      <c r="N46" s="68" t="s">
        <v>22</v>
      </c>
      <c r="O46" s="38"/>
      <c r="P46" s="42" t="s">
        <v>38</v>
      </c>
      <c r="Q46" s="42" t="s">
        <v>11</v>
      </c>
      <c r="R46" s="68" t="s">
        <v>22</v>
      </c>
      <c r="S46" s="38"/>
      <c r="T46" s="42" t="s">
        <v>38</v>
      </c>
      <c r="U46" s="42" t="s">
        <v>11</v>
      </c>
      <c r="V46" s="68" t="s">
        <v>22</v>
      </c>
      <c r="W46" s="38"/>
      <c r="X46" s="42" t="s">
        <v>6</v>
      </c>
      <c r="Y46" s="42" t="s">
        <v>7</v>
      </c>
      <c r="Z46" s="38"/>
      <c r="AA46" s="42" t="s">
        <v>6</v>
      </c>
      <c r="AB46" s="42" t="s">
        <v>7</v>
      </c>
      <c r="AC46" s="38"/>
      <c r="AD46" s="43" t="s">
        <v>8</v>
      </c>
      <c r="AE46" s="42">
        <f>0.01*660</f>
        <v>6.6000000000000005</v>
      </c>
      <c r="AF46" s="38"/>
      <c r="AG46" s="44"/>
    </row>
    <row r="47" spans="1:34" ht="30" x14ac:dyDescent="0.25">
      <c r="A47" s="38"/>
      <c r="B47" s="42" t="s">
        <v>9</v>
      </c>
      <c r="C47" s="42" t="s">
        <v>10</v>
      </c>
      <c r="D47" s="42">
        <v>190</v>
      </c>
      <c r="E47" s="42">
        <v>225</v>
      </c>
      <c r="F47" s="42">
        <v>415</v>
      </c>
      <c r="G47" s="38"/>
      <c r="H47" s="45">
        <v>0</v>
      </c>
      <c r="I47" s="45">
        <v>0</v>
      </c>
      <c r="J47" s="69">
        <v>1</v>
      </c>
      <c r="K47" s="46"/>
      <c r="L47" s="45">
        <v>0</v>
      </c>
      <c r="M47" s="45">
        <v>0</v>
      </c>
      <c r="N47" s="69">
        <v>1</v>
      </c>
      <c r="O47" s="47"/>
      <c r="P47" s="45">
        <v>0</v>
      </c>
      <c r="Q47" s="45">
        <v>0</v>
      </c>
      <c r="R47" s="69">
        <v>1</v>
      </c>
      <c r="S47" s="47"/>
      <c r="T47" s="45">
        <v>0</v>
      </c>
      <c r="U47" s="45">
        <f>IF(V47&lt;=36,0,V47-36)</f>
        <v>0</v>
      </c>
      <c r="V47" s="69">
        <v>1</v>
      </c>
      <c r="W47" s="38"/>
      <c r="X47" s="45" t="s">
        <v>12</v>
      </c>
      <c r="Y47" s="48">
        <f>0.01*660</f>
        <v>6.6000000000000005</v>
      </c>
      <c r="Z47" s="38"/>
      <c r="AA47" s="45" t="s">
        <v>79</v>
      </c>
      <c r="AB47" s="48">
        <f>0.02*660</f>
        <v>13.200000000000001</v>
      </c>
      <c r="AC47" s="38"/>
      <c r="AD47" s="42" t="s">
        <v>37</v>
      </c>
      <c r="AE47" s="42" t="s">
        <v>11</v>
      </c>
      <c r="AF47" s="38"/>
      <c r="AG47" s="44"/>
    </row>
    <row r="48" spans="1:34" ht="30" x14ac:dyDescent="0.25">
      <c r="A48" s="38"/>
      <c r="B48" s="42" t="s">
        <v>14</v>
      </c>
      <c r="C48" s="42" t="s">
        <v>15</v>
      </c>
      <c r="D48" s="42">
        <v>310</v>
      </c>
      <c r="E48" s="42">
        <v>280</v>
      </c>
      <c r="F48" s="42">
        <v>590</v>
      </c>
      <c r="G48" s="38"/>
      <c r="H48" s="45">
        <v>4.8882681564245809</v>
      </c>
      <c r="I48" s="45">
        <v>0</v>
      </c>
      <c r="J48" s="69">
        <v>36</v>
      </c>
      <c r="K48" s="46"/>
      <c r="L48" s="45">
        <v>9.7765363128491618</v>
      </c>
      <c r="M48" s="45">
        <v>0</v>
      </c>
      <c r="N48" s="69">
        <v>36</v>
      </c>
      <c r="O48" s="47"/>
      <c r="P48" s="45">
        <v>9.7765363128491618</v>
      </c>
      <c r="Q48" s="45">
        <v>0</v>
      </c>
      <c r="R48" s="69">
        <v>36</v>
      </c>
      <c r="S48" s="47"/>
      <c r="T48" s="49">
        <f>T47+(V48-V47)/3.58</f>
        <v>9.7765363128491618</v>
      </c>
      <c r="U48" s="45">
        <f t="shared" ref="U48:U50" si="6">IF(V48&lt;=36,0,V48-36)</f>
        <v>0</v>
      </c>
      <c r="V48" s="69">
        <v>36</v>
      </c>
      <c r="W48" s="38"/>
      <c r="X48" s="45" t="s">
        <v>76</v>
      </c>
      <c r="Y48" s="48">
        <v>0</v>
      </c>
      <c r="Z48" s="38"/>
      <c r="AA48" s="45" t="s">
        <v>80</v>
      </c>
      <c r="AB48" s="48">
        <v>0</v>
      </c>
      <c r="AC48" s="38"/>
      <c r="AD48" s="45">
        <v>0</v>
      </c>
      <c r="AE48" s="45">
        <f>0.4*660</f>
        <v>264</v>
      </c>
      <c r="AF48" s="38"/>
      <c r="AG48" s="44"/>
    </row>
    <row r="49" spans="1:33" ht="22.5" customHeight="1" x14ac:dyDescent="0.25">
      <c r="A49" s="38"/>
      <c r="B49" s="42" t="s">
        <v>18</v>
      </c>
      <c r="C49" s="42" t="s">
        <v>19</v>
      </c>
      <c r="D49" s="42">
        <v>385</v>
      </c>
      <c r="E49" s="42">
        <v>330</v>
      </c>
      <c r="F49" s="42">
        <v>715</v>
      </c>
      <c r="G49" s="38"/>
      <c r="H49" s="45">
        <v>14.860335195530723</v>
      </c>
      <c r="I49" s="45">
        <v>71.399999999999991</v>
      </c>
      <c r="J49" s="69">
        <v>107.39999999999999</v>
      </c>
      <c r="K49" s="46"/>
      <c r="L49" s="45">
        <v>13.720670391061454</v>
      </c>
      <c r="M49" s="45">
        <v>14.120000000000005</v>
      </c>
      <c r="N49" s="69">
        <v>50.120000000000005</v>
      </c>
      <c r="O49" s="47"/>
      <c r="P49" s="45">
        <v>13.720670391061454</v>
      </c>
      <c r="Q49" s="45">
        <v>14.120000000000005</v>
      </c>
      <c r="R49" s="69">
        <v>50.120000000000005</v>
      </c>
      <c r="S49" s="47"/>
      <c r="T49" s="45">
        <f>T48+(V49-V48)/3.58</f>
        <v>13.720670391061454</v>
      </c>
      <c r="U49" s="45">
        <f t="shared" si="6"/>
        <v>14.120000000000005</v>
      </c>
      <c r="V49" s="69">
        <f>0.07*716</f>
        <v>50.120000000000005</v>
      </c>
      <c r="W49" s="38"/>
      <c r="X49" s="45" t="s">
        <v>77</v>
      </c>
      <c r="Y49" s="48">
        <f>0.02*660</f>
        <v>13.200000000000001</v>
      </c>
      <c r="Z49" s="38"/>
      <c r="AA49" s="45" t="s">
        <v>81</v>
      </c>
      <c r="AB49" s="48">
        <f>0.02*660</f>
        <v>13.200000000000001</v>
      </c>
      <c r="AC49" s="38"/>
      <c r="AD49" s="45">
        <v>40</v>
      </c>
      <c r="AE49" s="45">
        <f>AE48</f>
        <v>264</v>
      </c>
      <c r="AF49" s="38"/>
      <c r="AG49" s="44"/>
    </row>
    <row r="50" spans="1:33" ht="21.6" customHeight="1" x14ac:dyDescent="0.25">
      <c r="A50" s="44"/>
      <c r="B50" s="44"/>
      <c r="C50" s="44"/>
      <c r="D50" s="44"/>
      <c r="E50" s="44"/>
      <c r="F50" s="44"/>
      <c r="G50" s="38"/>
      <c r="H50" s="45">
        <v>54.860335195530723</v>
      </c>
      <c r="I50" s="45">
        <v>71.399999999999991</v>
      </c>
      <c r="J50" s="69">
        <v>107.39999999999999</v>
      </c>
      <c r="K50" s="46"/>
      <c r="L50" s="45">
        <v>18.720670391061454</v>
      </c>
      <c r="M50" s="45">
        <v>14.120000000000005</v>
      </c>
      <c r="N50" s="69">
        <v>50.120000000000005</v>
      </c>
      <c r="O50" s="47"/>
      <c r="P50" s="45">
        <v>23.720670391061454</v>
      </c>
      <c r="Q50" s="45">
        <v>14.120000000000005</v>
      </c>
      <c r="R50" s="69">
        <v>50.120000000000005</v>
      </c>
      <c r="S50" s="47"/>
      <c r="T50" s="45">
        <f>T49+60</f>
        <v>73.720670391061446</v>
      </c>
      <c r="U50" s="45">
        <f t="shared" si="6"/>
        <v>14.120000000000005</v>
      </c>
      <c r="V50" s="69">
        <f>0.07*716</f>
        <v>50.120000000000005</v>
      </c>
      <c r="W50" s="38"/>
      <c r="X50" s="50"/>
      <c r="Y50" s="44"/>
      <c r="Z50" s="38"/>
      <c r="AA50" s="50"/>
      <c r="AB50" s="51"/>
      <c r="AC50" s="38"/>
      <c r="AD50" s="45">
        <f>AD49+(AE49-AE50)/AE46</f>
        <v>50</v>
      </c>
      <c r="AE50" s="45">
        <f>0.3*660</f>
        <v>198</v>
      </c>
      <c r="AF50" s="38"/>
      <c r="AG50" s="44"/>
    </row>
    <row r="51" spans="1:33" x14ac:dyDescent="0.25">
      <c r="A51" s="44"/>
      <c r="B51" s="44"/>
      <c r="C51" s="44"/>
      <c r="D51" s="44"/>
      <c r="E51" s="44"/>
      <c r="F51" s="44"/>
      <c r="G51" s="38"/>
      <c r="H51" s="45">
        <v>81.760335195530729</v>
      </c>
      <c r="I51" s="45">
        <v>264.00399999999996</v>
      </c>
      <c r="J51" s="69">
        <v>300.00399999999996</v>
      </c>
      <c r="K51" s="46"/>
      <c r="L51" s="52">
        <v>34.720670391061446</v>
      </c>
      <c r="M51" s="52">
        <v>71.399999999999991</v>
      </c>
      <c r="N51" s="69">
        <v>107.39999999999999</v>
      </c>
      <c r="O51" s="47"/>
      <c r="P51" s="52">
        <v>39.720670391061446</v>
      </c>
      <c r="Q51" s="52">
        <v>71.399999999999991</v>
      </c>
      <c r="R51" s="69">
        <v>107.39999999999999</v>
      </c>
      <c r="S51" s="47"/>
      <c r="T51" s="52">
        <f>T50+(V51-V50)/3.58</f>
        <v>89.720670391061446</v>
      </c>
      <c r="U51" s="52">
        <v>71.399999999999991</v>
      </c>
      <c r="V51" s="69">
        <v>107.39999999999999</v>
      </c>
      <c r="W51" s="38"/>
      <c r="X51" s="44"/>
      <c r="Y51" s="44"/>
      <c r="Z51" s="44"/>
      <c r="AA51" s="44"/>
      <c r="AB51" s="44"/>
      <c r="AC51" s="38"/>
      <c r="AD51" s="45">
        <f>AD50+55</f>
        <v>105</v>
      </c>
      <c r="AE51" s="45">
        <f>AE50</f>
        <v>198</v>
      </c>
      <c r="AF51" s="38"/>
      <c r="AG51" s="44"/>
    </row>
    <row r="52" spans="1:33" x14ac:dyDescent="0.25">
      <c r="A52" s="44"/>
      <c r="B52" s="44"/>
      <c r="C52" s="44"/>
      <c r="D52" s="44"/>
      <c r="E52" s="44"/>
      <c r="F52" s="44"/>
      <c r="G52" s="38"/>
      <c r="H52" s="50"/>
      <c r="I52" s="50"/>
      <c r="J52" s="50"/>
      <c r="K52" s="46"/>
      <c r="L52" s="52">
        <v>74.720670391061446</v>
      </c>
      <c r="M52" s="45">
        <v>71.399999999999991</v>
      </c>
      <c r="N52" s="68">
        <v>107.39999999999999</v>
      </c>
      <c r="O52" s="47"/>
      <c r="P52" s="52">
        <v>99.720670391061446</v>
      </c>
      <c r="Q52" s="45">
        <v>71.399999999999991</v>
      </c>
      <c r="R52" s="68">
        <v>107.39999999999999</v>
      </c>
      <c r="S52" s="47"/>
      <c r="T52" s="52">
        <f>T51+60</f>
        <v>149.72067039106145</v>
      </c>
      <c r="U52" s="45">
        <f>IF(V52&lt;=36,0,V52-36)</f>
        <v>71.399999999999991</v>
      </c>
      <c r="V52" s="68">
        <v>107.39999999999999</v>
      </c>
      <c r="W52" s="38"/>
      <c r="X52" s="44"/>
      <c r="Y52" s="44"/>
      <c r="Z52" s="44"/>
      <c r="AA52" s="44"/>
      <c r="AB52" s="44"/>
      <c r="AC52" s="38"/>
      <c r="AD52" s="45">
        <f>AD51+(AE51-AE52)/AE46</f>
        <v>135</v>
      </c>
      <c r="AE52" s="45">
        <v>0</v>
      </c>
      <c r="AF52" s="38"/>
      <c r="AG52" s="44"/>
    </row>
    <row r="53" spans="1:33" x14ac:dyDescent="0.25">
      <c r="A53" s="44"/>
      <c r="B53" s="44"/>
      <c r="C53" s="44"/>
      <c r="D53" s="44"/>
      <c r="E53" s="44"/>
      <c r="F53" s="44"/>
      <c r="G53" s="38"/>
      <c r="H53" s="50"/>
      <c r="I53" s="50"/>
      <c r="J53" s="50"/>
      <c r="K53" s="38"/>
      <c r="L53" s="45">
        <v>128.52067039106146</v>
      </c>
      <c r="M53" s="45">
        <v>264.00399999999996</v>
      </c>
      <c r="N53" s="69">
        <v>300.00399999999996</v>
      </c>
      <c r="O53" s="38"/>
      <c r="P53" s="45">
        <v>153.52067039106146</v>
      </c>
      <c r="Q53" s="45">
        <v>264.00399999999996</v>
      </c>
      <c r="R53" s="69">
        <v>300.00399999999996</v>
      </c>
      <c r="S53" s="38"/>
      <c r="T53" s="52">
        <f>T52+(V53-V52)/3.58</f>
        <v>203.52067039106146</v>
      </c>
      <c r="U53" s="45">
        <f t="shared" ref="U53" si="7">IF(V53&lt;=36,0,V53-36)</f>
        <v>264.00399999999996</v>
      </c>
      <c r="V53" s="69">
        <v>300.00399999999996</v>
      </c>
      <c r="W53" s="38"/>
      <c r="X53" s="44"/>
      <c r="Y53" s="44"/>
      <c r="Z53" s="44"/>
      <c r="AA53" s="44"/>
      <c r="AB53" s="44"/>
      <c r="AC53" s="38"/>
      <c r="AD53" s="44"/>
      <c r="AE53" s="44"/>
      <c r="AF53" s="44"/>
      <c r="AG53" s="44"/>
    </row>
    <row r="54" spans="1:33" ht="12" customHeight="1" x14ac:dyDescent="0.25">
      <c r="A54" s="44"/>
      <c r="B54" s="44"/>
      <c r="C54" s="44"/>
      <c r="D54" s="44"/>
      <c r="E54" s="44"/>
      <c r="F54" s="44"/>
      <c r="G54" s="38"/>
      <c r="H54" s="44"/>
      <c r="I54" s="44"/>
      <c r="J54" s="44"/>
      <c r="K54" s="38"/>
      <c r="L54" s="44"/>
      <c r="M54" s="44"/>
      <c r="N54" s="44"/>
      <c r="O54" s="38"/>
      <c r="P54" s="44"/>
      <c r="Q54" s="44"/>
      <c r="R54" s="44"/>
      <c r="S54" s="38"/>
      <c r="T54" s="44"/>
      <c r="U54" s="44"/>
      <c r="V54" s="44"/>
      <c r="W54" s="38"/>
      <c r="X54" s="44"/>
      <c r="Y54" s="44"/>
      <c r="Z54" s="44"/>
      <c r="AA54" s="44"/>
      <c r="AB54" s="44"/>
      <c r="AC54" s="38"/>
      <c r="AD54" s="44"/>
      <c r="AE54" s="44"/>
      <c r="AF54" s="44"/>
      <c r="AG54" s="44"/>
    </row>
    <row r="55" spans="1:33" ht="30.6" customHeight="1" x14ac:dyDescent="0.25">
      <c r="A55" s="44"/>
      <c r="B55" s="44"/>
      <c r="C55" s="44"/>
      <c r="D55" s="44"/>
      <c r="E55" s="44"/>
      <c r="F55" s="44"/>
      <c r="G55" s="38"/>
      <c r="H55" s="162" t="s">
        <v>39</v>
      </c>
      <c r="I55" s="162"/>
      <c r="J55" s="53"/>
      <c r="K55" s="40"/>
      <c r="L55" s="162" t="s">
        <v>40</v>
      </c>
      <c r="M55" s="162"/>
      <c r="N55" s="53"/>
      <c r="O55" s="40"/>
      <c r="P55" s="162" t="s">
        <v>41</v>
      </c>
      <c r="Q55" s="162"/>
      <c r="R55" s="53"/>
      <c r="S55" s="40"/>
      <c r="T55" s="162" t="s">
        <v>42</v>
      </c>
      <c r="U55" s="162"/>
      <c r="V55" s="53"/>
      <c r="W55" s="38"/>
      <c r="X55" s="54"/>
      <c r="Y55" s="55"/>
      <c r="Z55" s="44"/>
      <c r="AA55" s="44"/>
      <c r="AB55" s="44"/>
      <c r="AC55" s="38"/>
      <c r="AD55" s="44"/>
      <c r="AE55" s="44"/>
      <c r="AF55" s="44"/>
      <c r="AG55" s="44"/>
    </row>
    <row r="56" spans="1:33" ht="30" x14ac:dyDescent="0.25">
      <c r="A56" s="44"/>
      <c r="B56" s="44"/>
      <c r="C56" s="44"/>
      <c r="D56" s="44"/>
      <c r="E56" s="44"/>
      <c r="F56" s="44"/>
      <c r="G56" s="38"/>
      <c r="H56" s="42" t="s">
        <v>6</v>
      </c>
      <c r="I56" s="42" t="s">
        <v>7</v>
      </c>
      <c r="J56" s="70" t="s">
        <v>44</v>
      </c>
      <c r="K56" s="38"/>
      <c r="L56" s="42" t="s">
        <v>6</v>
      </c>
      <c r="M56" s="42" t="s">
        <v>7</v>
      </c>
      <c r="N56" s="70" t="s">
        <v>44</v>
      </c>
      <c r="O56" s="38"/>
      <c r="P56" s="42" t="s">
        <v>6</v>
      </c>
      <c r="Q56" s="42" t="s">
        <v>7</v>
      </c>
      <c r="R56" s="70" t="s">
        <v>44</v>
      </c>
      <c r="S56" s="38"/>
      <c r="T56" s="42" t="s">
        <v>6</v>
      </c>
      <c r="U56" s="42" t="s">
        <v>7</v>
      </c>
      <c r="V56" s="70" t="s">
        <v>44</v>
      </c>
      <c r="W56" s="38"/>
      <c r="X56" s="54"/>
      <c r="Y56" s="55"/>
      <c r="Z56" s="44"/>
      <c r="AA56" s="44"/>
      <c r="AB56" s="44"/>
      <c r="AC56" s="38"/>
      <c r="AD56" s="44"/>
      <c r="AE56" s="44"/>
      <c r="AF56" s="44"/>
      <c r="AG56" s="44"/>
    </row>
    <row r="57" spans="1:33" x14ac:dyDescent="0.25">
      <c r="A57" s="44"/>
      <c r="B57" s="44"/>
      <c r="C57" s="44"/>
      <c r="D57" s="44"/>
      <c r="E57" s="57">
        <v>0.01</v>
      </c>
      <c r="F57" s="44"/>
      <c r="G57" s="38"/>
      <c r="H57" s="45" t="s">
        <v>12</v>
      </c>
      <c r="I57" s="48">
        <f>0.01*660</f>
        <v>6.6000000000000005</v>
      </c>
      <c r="J57" s="71"/>
      <c r="K57" s="38"/>
      <c r="L57" s="45" t="s">
        <v>12</v>
      </c>
      <c r="M57" s="48">
        <v>3.3</v>
      </c>
      <c r="N57" s="71"/>
      <c r="O57" s="38"/>
      <c r="P57" s="45" t="s">
        <v>12</v>
      </c>
      <c r="Q57" s="48">
        <v>3.3</v>
      </c>
      <c r="R57" s="71"/>
      <c r="S57" s="38"/>
      <c r="T57" s="45" t="s">
        <v>12</v>
      </c>
      <c r="U57" s="48">
        <v>3.3</v>
      </c>
      <c r="V57" s="71"/>
      <c r="W57" s="38"/>
      <c r="X57" s="54"/>
      <c r="Y57" s="55"/>
      <c r="Z57" s="44"/>
      <c r="AA57" s="44"/>
      <c r="AB57" s="44"/>
      <c r="AC57" s="38"/>
      <c r="AD57" s="44"/>
      <c r="AE57" s="44"/>
      <c r="AF57" s="44"/>
      <c r="AG57" s="44"/>
    </row>
    <row r="58" spans="1:33" x14ac:dyDescent="0.25">
      <c r="A58" s="44"/>
      <c r="B58" s="44"/>
      <c r="C58" s="44"/>
      <c r="D58" s="44"/>
      <c r="E58" s="44">
        <f>0.01*660</f>
        <v>6.6000000000000005</v>
      </c>
      <c r="F58" s="44"/>
      <c r="G58" s="38"/>
      <c r="H58" s="45" t="s">
        <v>76</v>
      </c>
      <c r="I58" s="48">
        <v>0</v>
      </c>
      <c r="J58" s="72">
        <v>30</v>
      </c>
      <c r="K58" s="38"/>
      <c r="L58" s="45" t="s">
        <v>76</v>
      </c>
      <c r="M58" s="48">
        <v>0</v>
      </c>
      <c r="N58" s="72">
        <v>30</v>
      </c>
      <c r="O58" s="38"/>
      <c r="P58" s="45" t="s">
        <v>78</v>
      </c>
      <c r="Q58" s="48">
        <v>0</v>
      </c>
      <c r="R58" s="72">
        <v>60</v>
      </c>
      <c r="S58" s="38"/>
      <c r="T58" s="45" t="s">
        <v>78</v>
      </c>
      <c r="U58" s="48">
        <v>0</v>
      </c>
      <c r="V58" s="72">
        <v>60</v>
      </c>
      <c r="W58" s="38"/>
      <c r="X58" s="54"/>
      <c r="Y58" s="55"/>
      <c r="Z58" s="44"/>
      <c r="AA58" s="44"/>
      <c r="AB58" s="44"/>
      <c r="AC58" s="38"/>
      <c r="AD58" s="44" t="s">
        <v>21</v>
      </c>
      <c r="AE58" s="44"/>
      <c r="AF58" s="44"/>
      <c r="AG58" s="44"/>
    </row>
    <row r="59" spans="1:33" x14ac:dyDescent="0.25">
      <c r="A59" s="44"/>
      <c r="B59" s="44"/>
      <c r="C59" s="44"/>
      <c r="D59" s="44"/>
      <c r="E59" s="44"/>
      <c r="F59" s="44"/>
      <c r="G59" s="38"/>
      <c r="H59" s="45" t="s">
        <v>77</v>
      </c>
      <c r="I59" s="48">
        <f>0.02*660</f>
        <v>13.200000000000001</v>
      </c>
      <c r="J59" s="72"/>
      <c r="K59" s="38"/>
      <c r="L59" s="45" t="s">
        <v>77</v>
      </c>
      <c r="M59" s="48">
        <v>6.6</v>
      </c>
      <c r="N59" s="73"/>
      <c r="O59" s="38"/>
      <c r="P59" s="45" t="s">
        <v>77</v>
      </c>
      <c r="Q59" s="48">
        <v>6.6</v>
      </c>
      <c r="R59" s="73"/>
      <c r="S59" s="38"/>
      <c r="T59" s="45" t="s">
        <v>77</v>
      </c>
      <c r="U59" s="48">
        <v>6.6</v>
      </c>
      <c r="V59" s="73"/>
      <c r="W59" s="38"/>
      <c r="X59" s="54"/>
      <c r="Y59" s="55"/>
      <c r="Z59" s="44"/>
      <c r="AA59" s="44"/>
      <c r="AB59" s="44"/>
      <c r="AC59" s="38"/>
      <c r="AD59" s="44"/>
      <c r="AE59" s="44"/>
      <c r="AF59" s="44"/>
      <c r="AG59" s="44"/>
    </row>
    <row r="60" spans="1:33" x14ac:dyDescent="0.25">
      <c r="A60" s="44"/>
      <c r="B60" s="44"/>
      <c r="C60" s="44"/>
      <c r="D60" s="44"/>
      <c r="E60" s="44"/>
      <c r="F60" s="44"/>
      <c r="G60" s="38"/>
      <c r="H60" s="45"/>
      <c r="I60" s="48"/>
      <c r="J60" s="51"/>
      <c r="K60" s="38"/>
      <c r="L60" s="45"/>
      <c r="M60" s="48"/>
      <c r="N60" s="51"/>
      <c r="O60" s="38"/>
      <c r="P60" s="45"/>
      <c r="Q60" s="48"/>
      <c r="R60" s="51"/>
      <c r="S60" s="38"/>
      <c r="T60" s="45"/>
      <c r="U60" s="48"/>
      <c r="V60" s="51"/>
      <c r="W60" s="38"/>
      <c r="X60" s="44"/>
      <c r="Y60" s="55"/>
      <c r="Z60" s="44"/>
      <c r="AA60" s="44"/>
      <c r="AB60" s="44"/>
      <c r="AC60" s="38"/>
      <c r="AD60" s="44"/>
      <c r="AE60" s="44"/>
      <c r="AF60" s="44"/>
      <c r="AG60" s="44"/>
    </row>
    <row r="61" spans="1:33" ht="12.95" customHeight="1" x14ac:dyDescent="0.25">
      <c r="A61" s="44"/>
      <c r="B61" s="44"/>
      <c r="C61" s="44"/>
      <c r="D61" s="44"/>
      <c r="E61" s="44"/>
      <c r="F61" s="44"/>
      <c r="G61" s="38"/>
      <c r="H61" s="44"/>
      <c r="I61" s="44"/>
      <c r="J61" s="44"/>
      <c r="K61" s="38"/>
      <c r="L61" s="44"/>
      <c r="M61" s="44"/>
      <c r="N61" s="44"/>
      <c r="O61" s="38"/>
      <c r="P61" s="44"/>
      <c r="Q61" s="44"/>
      <c r="R61" s="44"/>
      <c r="S61" s="38"/>
      <c r="T61" s="44"/>
      <c r="U61" s="44"/>
      <c r="V61" s="58"/>
      <c r="W61" s="59"/>
      <c r="X61" s="44"/>
      <c r="Y61" s="55"/>
      <c r="Z61" s="44"/>
      <c r="AA61" s="44"/>
      <c r="AB61" s="44"/>
      <c r="AC61" s="38"/>
      <c r="AD61" s="44"/>
      <c r="AE61" s="44"/>
      <c r="AF61" s="44"/>
      <c r="AG61" s="44"/>
    </row>
    <row r="62" spans="1:33" ht="32.1" customHeight="1" x14ac:dyDescent="0.25">
      <c r="A62" s="44"/>
      <c r="B62" s="44"/>
      <c r="C62" s="44"/>
      <c r="D62" s="44"/>
      <c r="E62" s="44"/>
      <c r="F62" s="44"/>
      <c r="G62" s="47"/>
      <c r="H62" s="173" t="s">
        <v>25</v>
      </c>
      <c r="I62" s="174"/>
      <c r="J62" s="60"/>
      <c r="K62" s="40"/>
      <c r="L62" s="173" t="s">
        <v>26</v>
      </c>
      <c r="M62" s="174"/>
      <c r="N62" s="60"/>
      <c r="O62" s="40"/>
      <c r="P62" s="173" t="s">
        <v>29</v>
      </c>
      <c r="Q62" s="174"/>
      <c r="R62" s="60"/>
      <c r="S62" s="40"/>
      <c r="T62" s="173" t="s">
        <v>30</v>
      </c>
      <c r="U62" s="174"/>
      <c r="V62" s="60"/>
      <c r="W62" s="59"/>
      <c r="X62" s="44"/>
      <c r="Y62" s="44"/>
      <c r="Z62" s="44"/>
      <c r="AA62" s="44"/>
      <c r="AB62" s="44"/>
      <c r="AC62" s="38"/>
      <c r="AD62" s="44"/>
      <c r="AE62" s="44"/>
      <c r="AF62" s="44"/>
      <c r="AG62" s="44"/>
    </row>
    <row r="63" spans="1:33" ht="30" customHeight="1" x14ac:dyDescent="0.25">
      <c r="A63" s="44"/>
      <c r="B63" s="44"/>
      <c r="C63" s="44"/>
      <c r="D63" s="44"/>
      <c r="E63" s="44"/>
      <c r="F63" s="44"/>
      <c r="G63" s="38"/>
      <c r="H63" s="42" t="s">
        <v>43</v>
      </c>
      <c r="I63" s="42" t="s">
        <v>11</v>
      </c>
      <c r="J63" s="56"/>
      <c r="K63" s="61"/>
      <c r="L63" s="42" t="s">
        <v>43</v>
      </c>
      <c r="M63" s="42" t="s">
        <v>11</v>
      </c>
      <c r="N63" s="56"/>
      <c r="O63" s="61"/>
      <c r="P63" s="42" t="s">
        <v>43</v>
      </c>
      <c r="Q63" s="42" t="s">
        <v>11</v>
      </c>
      <c r="R63" s="56"/>
      <c r="S63" s="61"/>
      <c r="T63" s="42" t="s">
        <v>43</v>
      </c>
      <c r="U63" s="42" t="s">
        <v>11</v>
      </c>
      <c r="V63" s="56"/>
      <c r="W63" s="38"/>
      <c r="X63" s="44"/>
      <c r="Y63" s="44"/>
      <c r="Z63" s="44"/>
      <c r="AA63" s="44"/>
      <c r="AB63" s="44"/>
      <c r="AC63" s="38"/>
      <c r="AD63" s="44"/>
      <c r="AE63" s="44"/>
      <c r="AF63" s="44"/>
      <c r="AG63" s="44"/>
    </row>
    <row r="64" spans="1:33" x14ac:dyDescent="0.25">
      <c r="A64" s="44"/>
      <c r="B64" s="44"/>
      <c r="C64" s="44"/>
      <c r="D64" s="44"/>
      <c r="E64" s="44"/>
      <c r="F64" s="44"/>
      <c r="G64" s="38"/>
      <c r="H64" s="62">
        <v>0</v>
      </c>
      <c r="I64" s="63">
        <v>264</v>
      </c>
      <c r="J64" s="64"/>
      <c r="K64" s="59"/>
      <c r="L64" s="62">
        <v>0</v>
      </c>
      <c r="M64" s="63">
        <v>264</v>
      </c>
      <c r="N64" s="64"/>
      <c r="O64" s="59"/>
      <c r="P64" s="62">
        <v>0</v>
      </c>
      <c r="Q64" s="63">
        <v>264</v>
      </c>
      <c r="R64" s="64"/>
      <c r="S64" s="59"/>
      <c r="T64" s="62">
        <v>0</v>
      </c>
      <c r="U64" s="63">
        <v>264</v>
      </c>
      <c r="V64" s="64"/>
      <c r="W64" s="38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x14ac:dyDescent="0.25">
      <c r="A65" s="44"/>
      <c r="B65" s="44"/>
      <c r="C65" s="44"/>
      <c r="D65" s="44"/>
      <c r="E65" s="44"/>
      <c r="F65" s="44"/>
      <c r="G65" s="38"/>
      <c r="H65" s="62">
        <f>H64+(I65-I64)/I57</f>
        <v>10</v>
      </c>
      <c r="I65" s="63">
        <v>330</v>
      </c>
      <c r="J65" s="64"/>
      <c r="K65" s="59"/>
      <c r="L65" s="62">
        <f>L64+(M65-M64)/M57</f>
        <v>20</v>
      </c>
      <c r="M65" s="63">
        <v>330</v>
      </c>
      <c r="N65" s="64"/>
      <c r="O65" s="59"/>
      <c r="P65" s="62">
        <f>P64+(Q65-Q64)/Q57</f>
        <v>20</v>
      </c>
      <c r="Q65" s="63">
        <v>330</v>
      </c>
      <c r="R65" s="64"/>
      <c r="S65" s="59"/>
      <c r="T65" s="62">
        <f>T64+(U65-U64)/U57</f>
        <v>20</v>
      </c>
      <c r="U65" s="63">
        <v>330</v>
      </c>
      <c r="V65" s="64"/>
      <c r="W65" s="38"/>
      <c r="X65" s="44"/>
      <c r="Y65" s="65"/>
      <c r="Z65" s="44"/>
      <c r="AA65" s="44"/>
      <c r="AB65" s="44"/>
      <c r="AC65" s="44"/>
      <c r="AD65" s="44"/>
      <c r="AE65" s="44"/>
      <c r="AF65" s="44"/>
      <c r="AG65" s="44"/>
    </row>
    <row r="66" spans="1:33" x14ac:dyDescent="0.25">
      <c r="A66" s="44"/>
      <c r="B66" s="44"/>
      <c r="C66" s="44"/>
      <c r="D66" s="44"/>
      <c r="E66" s="55"/>
      <c r="F66" s="44"/>
      <c r="G66" s="38"/>
      <c r="H66" s="62">
        <f>H65+J58</f>
        <v>40</v>
      </c>
      <c r="I66" s="63">
        <v>330</v>
      </c>
      <c r="J66" s="64"/>
      <c r="K66" s="59"/>
      <c r="L66" s="62">
        <f>L65+N58</f>
        <v>50</v>
      </c>
      <c r="M66" s="63">
        <v>330</v>
      </c>
      <c r="N66" s="64"/>
      <c r="O66" s="59"/>
      <c r="P66" s="62">
        <f>P65+R58</f>
        <v>80</v>
      </c>
      <c r="Q66" s="63">
        <v>330</v>
      </c>
      <c r="R66" s="64"/>
      <c r="S66" s="59"/>
      <c r="T66" s="62">
        <f>T65+V58</f>
        <v>80</v>
      </c>
      <c r="U66" s="63">
        <v>330</v>
      </c>
      <c r="V66" s="64"/>
      <c r="W66" s="38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x14ac:dyDescent="0.25">
      <c r="A67" s="44"/>
      <c r="B67" s="44"/>
      <c r="C67" s="44"/>
      <c r="D67" s="44"/>
      <c r="E67" s="44"/>
      <c r="F67" s="44"/>
      <c r="G67" s="38"/>
      <c r="H67" s="62">
        <f>H66+(I67-I66)/I59</f>
        <v>65</v>
      </c>
      <c r="I67" s="63">
        <v>660</v>
      </c>
      <c r="J67" s="64"/>
      <c r="K67" s="59"/>
      <c r="L67" s="62">
        <f>L66+(M67-M66)/M59</f>
        <v>100</v>
      </c>
      <c r="M67" s="63">
        <v>660</v>
      </c>
      <c r="N67" s="64"/>
      <c r="O67" s="59"/>
      <c r="P67" s="62">
        <f>P66+(Q67-Q66)/Q59</f>
        <v>130</v>
      </c>
      <c r="Q67" s="63">
        <v>660</v>
      </c>
      <c r="R67" s="64"/>
      <c r="S67" s="59"/>
      <c r="T67" s="62">
        <f>T66+(U67-U66)/U59</f>
        <v>130</v>
      </c>
      <c r="U67" s="63">
        <v>660</v>
      </c>
      <c r="V67" s="64"/>
      <c r="W67" s="38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x14ac:dyDescent="0.25">
      <c r="A68" s="44"/>
      <c r="B68" s="44"/>
      <c r="C68" s="44"/>
      <c r="D68" s="44"/>
      <c r="E68" s="44"/>
      <c r="F68" s="44"/>
      <c r="H68" s="66"/>
      <c r="I68" s="67"/>
      <c r="J68" s="67"/>
      <c r="L68" s="66"/>
      <c r="M68" s="67"/>
      <c r="N68" s="67"/>
      <c r="P68" s="66"/>
      <c r="Q68" s="67"/>
      <c r="R68" s="67"/>
      <c r="T68" s="66"/>
      <c r="U68" s="67"/>
      <c r="V68" s="67"/>
      <c r="W68" s="38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87" spans="1:34" ht="7.5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</row>
    <row r="91" spans="1:34" x14ac:dyDescent="0.25">
      <c r="B91" s="164" t="s">
        <v>85</v>
      </c>
      <c r="C91" s="164"/>
      <c r="D91" s="164"/>
      <c r="E91" s="164"/>
    </row>
    <row r="92" spans="1:34" x14ac:dyDescent="0.25">
      <c r="B92" s="164"/>
      <c r="C92" s="164"/>
      <c r="D92" s="164"/>
      <c r="E92" s="164"/>
    </row>
    <row r="93" spans="1:34" x14ac:dyDescent="0.25">
      <c r="B93" s="164"/>
      <c r="C93" s="164"/>
      <c r="D93" s="164"/>
      <c r="E93" s="164"/>
    </row>
    <row r="94" spans="1:34" x14ac:dyDescent="0.25">
      <c r="B94" s="164"/>
      <c r="C94" s="164"/>
      <c r="D94" s="164"/>
      <c r="E94" s="164"/>
    </row>
    <row r="95" spans="1:34" x14ac:dyDescent="0.25">
      <c r="B95" s="164"/>
      <c r="C95" s="164"/>
      <c r="D95" s="164"/>
      <c r="E95" s="164"/>
    </row>
    <row r="96" spans="1:34" x14ac:dyDescent="0.25">
      <c r="B96" s="164"/>
      <c r="C96" s="164"/>
      <c r="D96" s="164"/>
      <c r="E96" s="164"/>
    </row>
    <row r="97" spans="2:5" ht="14.1" customHeight="1" x14ac:dyDescent="0.25">
      <c r="B97" s="164"/>
      <c r="C97" s="164"/>
      <c r="D97" s="164"/>
      <c r="E97" s="164"/>
    </row>
    <row r="98" spans="2:5" x14ac:dyDescent="0.25">
      <c r="B98" s="164"/>
      <c r="C98" s="164"/>
      <c r="D98" s="164"/>
      <c r="E98" s="164"/>
    </row>
    <row r="99" spans="2:5" x14ac:dyDescent="0.25">
      <c r="B99" s="164"/>
      <c r="C99" s="164"/>
      <c r="D99" s="164"/>
      <c r="E99" s="164"/>
    </row>
    <row r="100" spans="2:5" x14ac:dyDescent="0.25">
      <c r="B100" s="164"/>
      <c r="C100" s="164"/>
      <c r="D100" s="164"/>
      <c r="E100" s="164"/>
    </row>
    <row r="101" spans="2:5" x14ac:dyDescent="0.25">
      <c r="B101" s="164"/>
      <c r="C101" s="164"/>
      <c r="D101" s="164"/>
      <c r="E101" s="164"/>
    </row>
    <row r="102" spans="2:5" x14ac:dyDescent="0.25">
      <c r="B102" s="164"/>
      <c r="C102" s="164"/>
      <c r="D102" s="164"/>
      <c r="E102" s="164"/>
    </row>
    <row r="103" spans="2:5" x14ac:dyDescent="0.25">
      <c r="B103" s="164"/>
      <c r="C103" s="164"/>
      <c r="D103" s="164"/>
      <c r="E103" s="164"/>
    </row>
    <row r="104" spans="2:5" x14ac:dyDescent="0.25">
      <c r="B104" s="164"/>
      <c r="C104" s="164"/>
      <c r="D104" s="164"/>
      <c r="E104" s="164"/>
    </row>
  </sheetData>
  <mergeCells count="34">
    <mergeCell ref="AA45:AB45"/>
    <mergeCell ref="AD45:AE45"/>
    <mergeCell ref="X45:Y45"/>
    <mergeCell ref="B2:L2"/>
    <mergeCell ref="H62:I62"/>
    <mergeCell ref="L62:M62"/>
    <mergeCell ref="P62:Q62"/>
    <mergeCell ref="T62:U62"/>
    <mergeCell ref="B44:L44"/>
    <mergeCell ref="H20:I20"/>
    <mergeCell ref="L20:M20"/>
    <mergeCell ref="P20:Q20"/>
    <mergeCell ref="T20:U20"/>
    <mergeCell ref="B14:F22"/>
    <mergeCell ref="P55:Q55"/>
    <mergeCell ref="T55:U55"/>
    <mergeCell ref="AD3:AE3"/>
    <mergeCell ref="H13:I13"/>
    <mergeCell ref="L13:M13"/>
    <mergeCell ref="P13:Q13"/>
    <mergeCell ref="T13:U13"/>
    <mergeCell ref="X3:Y3"/>
    <mergeCell ref="AA3:AB3"/>
    <mergeCell ref="H3:J3"/>
    <mergeCell ref="L3:N3"/>
    <mergeCell ref="P3:R3"/>
    <mergeCell ref="T3:V3"/>
    <mergeCell ref="H55:I55"/>
    <mergeCell ref="L55:M55"/>
    <mergeCell ref="P45:R45"/>
    <mergeCell ref="T45:V45"/>
    <mergeCell ref="B91:E104"/>
    <mergeCell ref="H45:J45"/>
    <mergeCell ref="L45:N4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032E-B1B9-485D-8BD7-E82E1CA548A9}">
  <dimension ref="A1:P23"/>
  <sheetViews>
    <sheetView tabSelected="1" topLeftCell="A2" workbookViewId="0">
      <selection activeCell="C13" sqref="C13:D23"/>
    </sheetView>
  </sheetViews>
  <sheetFormatPr defaultRowHeight="15" x14ac:dyDescent="0.25"/>
  <cols>
    <col min="2" max="2" width="22.28515625" customWidth="1"/>
    <col min="3" max="3" width="24.42578125" customWidth="1"/>
    <col min="4" max="4" width="21.28515625" customWidth="1"/>
    <col min="7" max="8" width="23" customWidth="1"/>
    <col min="12" max="16" width="25.85546875" customWidth="1"/>
  </cols>
  <sheetData>
    <row r="1" spans="1:16" ht="32.25" customHeight="1" x14ac:dyDescent="0.25">
      <c r="A1" s="152" t="s">
        <v>138</v>
      </c>
      <c r="B1" s="152" t="s">
        <v>139</v>
      </c>
      <c r="C1" s="152" t="s">
        <v>140</v>
      </c>
      <c r="D1" s="152" t="s">
        <v>141</v>
      </c>
      <c r="E1" s="152"/>
      <c r="F1" s="152"/>
      <c r="G1" s="189">
        <v>45882.458969907399</v>
      </c>
      <c r="H1" s="189">
        <v>45882.459016203698</v>
      </c>
      <c r="L1" s="39" t="s">
        <v>23</v>
      </c>
      <c r="M1" s="39" t="s">
        <v>0</v>
      </c>
      <c r="N1" s="39" t="s">
        <v>1</v>
      </c>
      <c r="O1" s="39" t="s">
        <v>2</v>
      </c>
      <c r="P1" s="39" t="s">
        <v>3</v>
      </c>
    </row>
    <row r="2" spans="1:16" ht="32.25" customHeight="1" x14ac:dyDescent="0.25">
      <c r="A2" t="s">
        <v>142</v>
      </c>
      <c r="B2" t="s">
        <v>139</v>
      </c>
      <c r="C2" t="s">
        <v>140</v>
      </c>
      <c r="D2" t="s">
        <v>143</v>
      </c>
      <c r="E2">
        <v>50</v>
      </c>
      <c r="F2">
        <v>50</v>
      </c>
      <c r="G2" s="190">
        <v>45882.536331018498</v>
      </c>
      <c r="H2" s="190">
        <v>45882.536805555603</v>
      </c>
      <c r="L2" s="42" t="s">
        <v>4</v>
      </c>
      <c r="M2" s="42" t="s">
        <v>5</v>
      </c>
      <c r="N2" s="42">
        <v>75</v>
      </c>
      <c r="O2" s="42">
        <v>145</v>
      </c>
      <c r="P2" s="42">
        <v>220</v>
      </c>
    </row>
    <row r="3" spans="1:16" ht="32.25" customHeight="1" x14ac:dyDescent="0.25">
      <c r="A3" s="193" t="s">
        <v>144</v>
      </c>
      <c r="B3" s="193" t="s">
        <v>139</v>
      </c>
      <c r="C3" s="193" t="s">
        <v>140</v>
      </c>
      <c r="D3" s="193" t="s">
        <v>145</v>
      </c>
      <c r="E3" s="193">
        <v>264</v>
      </c>
      <c r="F3" s="193">
        <v>264</v>
      </c>
      <c r="G3" s="192">
        <v>45882.563946759299</v>
      </c>
      <c r="H3" s="192">
        <v>45882.623946759297</v>
      </c>
      <c r="L3" s="42" t="s">
        <v>9</v>
      </c>
      <c r="M3" s="42" t="s">
        <v>10</v>
      </c>
      <c r="N3" s="42">
        <v>190</v>
      </c>
      <c r="O3" s="42">
        <v>225</v>
      </c>
      <c r="P3" s="42">
        <v>415</v>
      </c>
    </row>
    <row r="4" spans="1:16" ht="32.25" customHeight="1" x14ac:dyDescent="0.25">
      <c r="A4" t="s">
        <v>146</v>
      </c>
      <c r="B4" t="s">
        <v>139</v>
      </c>
      <c r="C4" t="s">
        <v>140</v>
      </c>
      <c r="D4" t="s">
        <v>145</v>
      </c>
      <c r="E4">
        <v>420.4</v>
      </c>
      <c r="F4">
        <v>340</v>
      </c>
      <c r="G4" s="190">
        <v>45882.631932870398</v>
      </c>
      <c r="H4" s="190">
        <v>45882.648263888899</v>
      </c>
      <c r="L4" s="42" t="s">
        <v>14</v>
      </c>
      <c r="M4" s="42" t="s">
        <v>15</v>
      </c>
      <c r="N4" s="42">
        <v>310</v>
      </c>
      <c r="O4" s="42">
        <v>280</v>
      </c>
      <c r="P4" s="42">
        <v>590</v>
      </c>
    </row>
    <row r="5" spans="1:16" ht="32.25" customHeight="1" x14ac:dyDescent="0.25">
      <c r="A5" t="s">
        <v>147</v>
      </c>
      <c r="B5" t="s">
        <v>139</v>
      </c>
      <c r="C5" t="s">
        <v>140</v>
      </c>
      <c r="D5" t="s">
        <v>145</v>
      </c>
      <c r="E5">
        <v>660</v>
      </c>
      <c r="F5">
        <v>660</v>
      </c>
      <c r="G5" s="190">
        <v>45882.648275462998</v>
      </c>
      <c r="H5" s="190">
        <v>45882.690833333298</v>
      </c>
      <c r="L5" s="42" t="s">
        <v>18</v>
      </c>
      <c r="M5" s="42" t="s">
        <v>19</v>
      </c>
      <c r="N5" s="42">
        <v>385</v>
      </c>
      <c r="O5" s="42">
        <v>330</v>
      </c>
      <c r="P5" s="42">
        <v>715</v>
      </c>
    </row>
    <row r="6" spans="1:16" ht="32.25" customHeight="1" x14ac:dyDescent="0.25">
      <c r="A6" t="s">
        <v>148</v>
      </c>
      <c r="B6" t="s">
        <v>139</v>
      </c>
      <c r="C6" t="s">
        <v>140</v>
      </c>
      <c r="D6" t="s">
        <v>145</v>
      </c>
      <c r="E6">
        <v>533.9</v>
      </c>
      <c r="F6">
        <v>533.9</v>
      </c>
      <c r="G6" s="190">
        <v>45883.001296296301</v>
      </c>
      <c r="H6" s="190">
        <v>45883.009548611102</v>
      </c>
    </row>
    <row r="7" spans="1:16" ht="32.25" customHeight="1" x14ac:dyDescent="0.25">
      <c r="A7" t="s">
        <v>149</v>
      </c>
      <c r="B7" t="s">
        <v>139</v>
      </c>
      <c r="C7" t="s">
        <v>140</v>
      </c>
      <c r="D7" t="s">
        <v>145</v>
      </c>
      <c r="E7">
        <v>604</v>
      </c>
      <c r="F7">
        <v>604</v>
      </c>
      <c r="G7" s="190">
        <v>45883.028761574104</v>
      </c>
      <c r="H7" s="190">
        <v>45883.032743055599</v>
      </c>
      <c r="L7" s="163" t="s">
        <v>27</v>
      </c>
      <c r="M7" s="163"/>
      <c r="N7" s="163"/>
    </row>
    <row r="8" spans="1:16" ht="32.25" customHeight="1" x14ac:dyDescent="0.25">
      <c r="A8" t="s">
        <v>150</v>
      </c>
      <c r="B8" t="s">
        <v>139</v>
      </c>
      <c r="C8" t="s">
        <v>140</v>
      </c>
      <c r="D8" t="s">
        <v>145</v>
      </c>
      <c r="E8">
        <v>660</v>
      </c>
      <c r="F8">
        <v>660</v>
      </c>
      <c r="G8" s="190">
        <v>45883.042361111096</v>
      </c>
      <c r="H8" s="190">
        <v>45883.045983796299</v>
      </c>
      <c r="L8" s="42" t="s">
        <v>38</v>
      </c>
      <c r="M8" s="42" t="s">
        <v>11</v>
      </c>
      <c r="N8" s="68" t="s">
        <v>22</v>
      </c>
    </row>
    <row r="9" spans="1:16" ht="32.25" customHeight="1" x14ac:dyDescent="0.25">
      <c r="A9" t="s">
        <v>151</v>
      </c>
      <c r="B9" t="s">
        <v>139</v>
      </c>
      <c r="C9" t="s">
        <v>140</v>
      </c>
      <c r="D9" t="s">
        <v>145</v>
      </c>
      <c r="E9">
        <v>467.1</v>
      </c>
      <c r="F9">
        <v>467.1</v>
      </c>
      <c r="G9" s="190">
        <v>45883.080439814803</v>
      </c>
      <c r="H9" s="190">
        <v>45883.090763888897</v>
      </c>
      <c r="L9" s="45">
        <v>0</v>
      </c>
      <c r="M9" s="45">
        <v>0</v>
      </c>
      <c r="N9" s="69">
        <v>1</v>
      </c>
    </row>
    <row r="10" spans="1:16" x14ac:dyDescent="0.25">
      <c r="L10" s="45">
        <v>9.7765363128491618</v>
      </c>
      <c r="M10" s="45">
        <v>0</v>
      </c>
      <c r="N10" s="69">
        <v>36</v>
      </c>
    </row>
    <row r="11" spans="1:16" x14ac:dyDescent="0.25">
      <c r="L11" s="45">
        <v>13.720670391061454</v>
      </c>
      <c r="M11" s="45">
        <v>14.120000000000005</v>
      </c>
      <c r="N11" s="69">
        <v>50.120000000000005</v>
      </c>
    </row>
    <row r="12" spans="1:16" x14ac:dyDescent="0.25">
      <c r="L12" s="45">
        <v>18.720670391061454</v>
      </c>
      <c r="M12" s="45">
        <v>14.120000000000005</v>
      </c>
      <c r="N12" s="69">
        <v>50.120000000000005</v>
      </c>
    </row>
    <row r="13" spans="1:16" x14ac:dyDescent="0.25">
      <c r="B13" s="190">
        <f>G1</f>
        <v>45882.458969907399</v>
      </c>
      <c r="C13" t="s">
        <v>152</v>
      </c>
      <c r="D13">
        <v>0</v>
      </c>
      <c r="L13" s="52">
        <v>34.720670391061446</v>
      </c>
      <c r="M13" s="52">
        <v>71.399999999999991</v>
      </c>
      <c r="N13" s="69">
        <v>107.39999999999999</v>
      </c>
    </row>
    <row r="14" spans="1:16" x14ac:dyDescent="0.25">
      <c r="B14" s="190">
        <f>B13+190/24/60</f>
        <v>45882.590914351844</v>
      </c>
      <c r="C14" t="s">
        <v>153</v>
      </c>
      <c r="D14">
        <v>0</v>
      </c>
      <c r="L14" s="52">
        <v>74.720670391061446</v>
      </c>
      <c r="M14" s="45">
        <v>71.399999999999991</v>
      </c>
      <c r="N14" s="68">
        <v>107.39999999999999</v>
      </c>
    </row>
    <row r="15" spans="1:16" x14ac:dyDescent="0.25">
      <c r="B15" s="190">
        <f>B14+10/24/60</f>
        <v>45882.597858796289</v>
      </c>
      <c r="D15">
        <v>0</v>
      </c>
      <c r="L15" s="45">
        <v>128.52067039106146</v>
      </c>
      <c r="M15" s="45">
        <v>264.00399999999996</v>
      </c>
      <c r="N15" s="69">
        <v>300.00399999999996</v>
      </c>
    </row>
    <row r="16" spans="1:16" x14ac:dyDescent="0.25">
      <c r="B16" s="190">
        <f>B14+L11/24/60</f>
        <v>45882.600442595169</v>
      </c>
      <c r="D16" s="191">
        <f>M11</f>
        <v>14.120000000000005</v>
      </c>
      <c r="L16" s="44"/>
      <c r="M16" s="44"/>
      <c r="N16" s="44"/>
    </row>
    <row r="17" spans="2:14" x14ac:dyDescent="0.25">
      <c r="B17" s="190">
        <f>B14+L12/24/60</f>
        <v>45882.603914817395</v>
      </c>
      <c r="D17" s="191">
        <f>M12</f>
        <v>14.120000000000005</v>
      </c>
      <c r="L17" s="162" t="s">
        <v>40</v>
      </c>
      <c r="M17" s="162"/>
      <c r="N17" s="53"/>
    </row>
    <row r="18" spans="2:14" x14ac:dyDescent="0.25">
      <c r="B18" s="190">
        <f>B14+L13/24/60</f>
        <v>45882.615025928506</v>
      </c>
      <c r="D18" s="191">
        <f>M13</f>
        <v>71.399999999999991</v>
      </c>
      <c r="L18" s="42" t="s">
        <v>6</v>
      </c>
      <c r="M18" s="42" t="s">
        <v>7</v>
      </c>
      <c r="N18" s="70" t="s">
        <v>44</v>
      </c>
    </row>
    <row r="19" spans="2:14" x14ac:dyDescent="0.25">
      <c r="B19" s="190">
        <f>H3</f>
        <v>45882.623946759297</v>
      </c>
      <c r="C19" t="s">
        <v>154</v>
      </c>
      <c r="D19" s="191">
        <f>E3</f>
        <v>264</v>
      </c>
      <c r="L19" s="45" t="s">
        <v>12</v>
      </c>
      <c r="M19" s="48">
        <v>3.3</v>
      </c>
      <c r="N19" s="71"/>
    </row>
    <row r="20" spans="2:14" x14ac:dyDescent="0.25">
      <c r="B20" s="192">
        <f>G4</f>
        <v>45882.631932870398</v>
      </c>
      <c r="C20" s="193" t="s">
        <v>155</v>
      </c>
      <c r="D20" s="194">
        <f>D19</f>
        <v>264</v>
      </c>
      <c r="L20" s="45" t="s">
        <v>76</v>
      </c>
      <c r="M20" s="48">
        <v>0</v>
      </c>
      <c r="N20" s="72">
        <v>30</v>
      </c>
    </row>
    <row r="21" spans="2:14" x14ac:dyDescent="0.25">
      <c r="B21" s="190">
        <f>B20+(D21-D20)/3.3/24/60</f>
        <v>45882.645821759288</v>
      </c>
      <c r="D21">
        <f>330</f>
        <v>330</v>
      </c>
      <c r="L21" s="45" t="s">
        <v>77</v>
      </c>
      <c r="M21" s="48">
        <v>6.6</v>
      </c>
      <c r="N21" s="73"/>
    </row>
    <row r="22" spans="2:14" x14ac:dyDescent="0.25">
      <c r="B22" s="190">
        <f>B21+30/24/60</f>
        <v>45882.666655092624</v>
      </c>
      <c r="D22">
        <v>330</v>
      </c>
    </row>
    <row r="23" spans="2:14" x14ac:dyDescent="0.25">
      <c r="B23" s="190">
        <f>B22+(D23-D22)/6.6/24/60</f>
        <v>45882.667707281173</v>
      </c>
      <c r="D23">
        <f>F4</f>
        <v>340</v>
      </c>
    </row>
  </sheetData>
  <mergeCells count="2">
    <mergeCell ref="L7:N7"/>
    <mergeCell ref="L17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9625-E3CF-4241-9E3F-B9D51968D7BB}">
  <sheetPr codeName="Sheet2"/>
  <dimension ref="A1:O49"/>
  <sheetViews>
    <sheetView topLeftCell="N28" zoomScale="115" zoomScaleNormal="115" workbookViewId="0">
      <selection activeCell="K32" sqref="K32"/>
    </sheetView>
  </sheetViews>
  <sheetFormatPr defaultRowHeight="15" x14ac:dyDescent="0.25"/>
  <cols>
    <col min="1" max="1" width="20.42578125" customWidth="1"/>
    <col min="2" max="2" width="15" customWidth="1"/>
    <col min="3" max="3" width="12.5703125" customWidth="1"/>
    <col min="4" max="4" width="2.5703125" customWidth="1"/>
    <col min="5" max="5" width="15" customWidth="1"/>
    <col min="6" max="6" width="12.42578125" customWidth="1"/>
    <col min="7" max="7" width="13.85546875" customWidth="1"/>
    <col min="8" max="8" width="1.7109375" customWidth="1"/>
    <col min="9" max="9" width="21.42578125" customWidth="1"/>
    <col min="11" max="11" width="12.28515625" customWidth="1"/>
    <col min="12" max="12" width="1.5703125" customWidth="1"/>
    <col min="13" max="13" width="21" customWidth="1"/>
    <col min="15" max="15" width="15.7109375" customWidth="1"/>
  </cols>
  <sheetData>
    <row r="1" spans="1:15" x14ac:dyDescent="0.25">
      <c r="A1" s="169" t="s">
        <v>24</v>
      </c>
      <c r="B1" s="169"/>
      <c r="C1" s="169"/>
      <c r="E1" s="169" t="s">
        <v>27</v>
      </c>
      <c r="F1" s="169"/>
      <c r="G1" s="169"/>
      <c r="I1" s="169" t="s">
        <v>28</v>
      </c>
      <c r="J1" s="169"/>
      <c r="K1" s="169"/>
      <c r="M1" s="169" t="s">
        <v>31</v>
      </c>
      <c r="N1" s="169"/>
      <c r="O1" s="169"/>
    </row>
    <row r="2" spans="1:15" ht="45" x14ac:dyDescent="0.25">
      <c r="A2" s="3" t="s">
        <v>38</v>
      </c>
      <c r="B2" s="3" t="s">
        <v>11</v>
      </c>
      <c r="C2" s="22" t="s">
        <v>22</v>
      </c>
      <c r="E2" s="3" t="s">
        <v>38</v>
      </c>
      <c r="F2" s="3" t="s">
        <v>11</v>
      </c>
      <c r="G2" s="22" t="s">
        <v>22</v>
      </c>
      <c r="I2" s="3" t="s">
        <v>38</v>
      </c>
      <c r="J2" s="3" t="s">
        <v>11</v>
      </c>
      <c r="K2" s="22" t="s">
        <v>22</v>
      </c>
      <c r="M2" s="3" t="s">
        <v>38</v>
      </c>
      <c r="N2" s="3" t="s">
        <v>11</v>
      </c>
      <c r="O2" s="22" t="s">
        <v>22</v>
      </c>
    </row>
    <row r="3" spans="1:15" x14ac:dyDescent="0.25">
      <c r="A3" s="45">
        <v>0</v>
      </c>
      <c r="B3" s="45">
        <v>0</v>
      </c>
      <c r="C3" s="69">
        <v>1</v>
      </c>
      <c r="E3" s="45">
        <v>0</v>
      </c>
      <c r="F3" s="45">
        <v>0</v>
      </c>
      <c r="G3" s="69">
        <v>1</v>
      </c>
      <c r="I3" s="5">
        <v>0</v>
      </c>
      <c r="J3" s="5">
        <v>0</v>
      </c>
      <c r="K3" s="23">
        <v>1</v>
      </c>
      <c r="M3" s="5">
        <v>0</v>
      </c>
      <c r="N3" s="5">
        <v>0</v>
      </c>
      <c r="O3" s="23">
        <v>1</v>
      </c>
    </row>
    <row r="4" spans="1:15" x14ac:dyDescent="0.25">
      <c r="A4" s="45">
        <v>4.8882681564245809</v>
      </c>
      <c r="B4" s="45">
        <v>0</v>
      </c>
      <c r="C4" s="69">
        <v>36</v>
      </c>
      <c r="E4" s="45">
        <v>9.7765363128491618</v>
      </c>
      <c r="F4" s="45">
        <v>0</v>
      </c>
      <c r="G4" s="69">
        <v>36</v>
      </c>
      <c r="I4" s="5">
        <v>9.7765363128491618</v>
      </c>
      <c r="J4" s="5">
        <v>0</v>
      </c>
      <c r="K4" s="23">
        <v>36</v>
      </c>
      <c r="M4" s="5">
        <v>5.7206703910614527</v>
      </c>
      <c r="N4" s="5">
        <v>0</v>
      </c>
      <c r="O4" s="23">
        <v>21.48</v>
      </c>
    </row>
    <row r="5" spans="1:15" x14ac:dyDescent="0.25">
      <c r="A5" s="45">
        <v>14.860335195530723</v>
      </c>
      <c r="B5" s="45">
        <v>71.399999999999991</v>
      </c>
      <c r="C5" s="69">
        <v>107.39999999999999</v>
      </c>
      <c r="E5" s="45">
        <v>13.720670391061454</v>
      </c>
      <c r="F5" s="45">
        <v>14.120000000000005</v>
      </c>
      <c r="G5" s="69">
        <v>50.120000000000005</v>
      </c>
      <c r="I5" s="5">
        <v>13.720670391061454</v>
      </c>
      <c r="J5" s="5">
        <v>14.120000000000005</v>
      </c>
      <c r="K5" s="23">
        <v>50.120000000000005</v>
      </c>
      <c r="M5" s="5">
        <v>65.720670391061446</v>
      </c>
      <c r="N5" s="5">
        <v>0</v>
      </c>
      <c r="O5" s="23">
        <v>21.48</v>
      </c>
    </row>
    <row r="6" spans="1:15" x14ac:dyDescent="0.25">
      <c r="A6" s="45">
        <v>54.860335195530723</v>
      </c>
      <c r="B6" s="45">
        <v>71.399999999999991</v>
      </c>
      <c r="C6" s="69">
        <v>107.39999999999999</v>
      </c>
      <c r="E6" s="45">
        <v>18.720670391061454</v>
      </c>
      <c r="F6" s="45">
        <v>14.120000000000005</v>
      </c>
      <c r="G6" s="69">
        <v>50.120000000000005</v>
      </c>
      <c r="I6" s="5">
        <v>23.720670391061454</v>
      </c>
      <c r="J6" s="5">
        <v>14.120000000000005</v>
      </c>
      <c r="K6" s="23">
        <v>50.120000000000005</v>
      </c>
      <c r="M6" s="5">
        <v>69.77653631284916</v>
      </c>
      <c r="N6" s="5">
        <v>0</v>
      </c>
      <c r="O6" s="23">
        <v>36</v>
      </c>
    </row>
    <row r="7" spans="1:15" x14ac:dyDescent="0.25">
      <c r="A7" s="45">
        <v>81.760335195530729</v>
      </c>
      <c r="B7" s="45">
        <v>264.00399999999996</v>
      </c>
      <c r="C7" s="69">
        <v>300.00399999999996</v>
      </c>
      <c r="E7" s="52">
        <v>34.720670391061446</v>
      </c>
      <c r="F7" s="52">
        <v>71.399999999999991</v>
      </c>
      <c r="G7" s="69">
        <v>107.39999999999999</v>
      </c>
      <c r="I7" s="9">
        <v>39.720670391061446</v>
      </c>
      <c r="J7" s="9">
        <v>71.399999999999991</v>
      </c>
      <c r="K7" s="24">
        <v>107.39999999999999</v>
      </c>
      <c r="M7" s="9">
        <v>89.720670391061446</v>
      </c>
      <c r="N7" s="9">
        <v>71.399999999999991</v>
      </c>
      <c r="O7" s="24">
        <v>107.39999999999999</v>
      </c>
    </row>
    <row r="8" spans="1:15" x14ac:dyDescent="0.25">
      <c r="A8" s="78">
        <v>91.760335195530729</v>
      </c>
      <c r="B8" s="79">
        <v>330</v>
      </c>
      <c r="C8" s="79"/>
      <c r="E8" s="52">
        <v>74.720670391061446</v>
      </c>
      <c r="F8" s="45">
        <v>71.399999999999991</v>
      </c>
      <c r="G8" s="42">
        <v>107.39999999999999</v>
      </c>
      <c r="I8" s="9">
        <v>99.720670391061446</v>
      </c>
      <c r="J8" s="5">
        <v>71.399999999999991</v>
      </c>
      <c r="K8" s="23">
        <v>107.39999999999999</v>
      </c>
      <c r="M8" s="9">
        <v>149.72067039106145</v>
      </c>
      <c r="N8" s="5">
        <v>71.399999999999991</v>
      </c>
      <c r="O8" s="23">
        <v>107.39999999999999</v>
      </c>
    </row>
    <row r="9" spans="1:15" x14ac:dyDescent="0.25">
      <c r="A9" s="78">
        <v>121.76033519553073</v>
      </c>
      <c r="B9" s="79">
        <v>330</v>
      </c>
      <c r="C9" s="79"/>
      <c r="E9" s="45">
        <v>128.52067039106146</v>
      </c>
      <c r="F9" s="45">
        <v>264.00399999999996</v>
      </c>
      <c r="G9" s="45">
        <v>300.00399999999996</v>
      </c>
      <c r="I9" s="5">
        <v>153.52067039106146</v>
      </c>
      <c r="J9" s="5">
        <v>264.00399999999996</v>
      </c>
      <c r="K9" s="23">
        <v>300.00399999999996</v>
      </c>
      <c r="M9" s="5">
        <v>203.52067039106146</v>
      </c>
      <c r="N9" s="5">
        <v>264.00399999999996</v>
      </c>
      <c r="O9" s="23">
        <v>300.00399999999996</v>
      </c>
    </row>
    <row r="10" spans="1:15" x14ac:dyDescent="0.25">
      <c r="A10" s="78">
        <v>146.76033519553073</v>
      </c>
      <c r="B10" s="79">
        <v>660</v>
      </c>
      <c r="C10" s="79"/>
      <c r="E10" s="78">
        <v>148.52067039106146</v>
      </c>
      <c r="F10" s="79">
        <v>330</v>
      </c>
      <c r="G10" s="79"/>
      <c r="I10" s="74">
        <v>173.52067039106146</v>
      </c>
      <c r="J10" s="75">
        <v>330</v>
      </c>
      <c r="K10" s="75"/>
      <c r="M10" s="74">
        <f>$M$9+'Table comparison'!T23</f>
        <v>223.52067039106146</v>
      </c>
      <c r="N10" s="75">
        <f>'Table comparison'!U23</f>
        <v>330</v>
      </c>
      <c r="O10" s="75"/>
    </row>
    <row r="11" spans="1:15" x14ac:dyDescent="0.25">
      <c r="A11" s="74"/>
      <c r="B11" s="75"/>
      <c r="C11" s="75"/>
      <c r="E11" s="78">
        <v>178.52067039106146</v>
      </c>
      <c r="F11" s="79">
        <v>330</v>
      </c>
      <c r="G11" s="82"/>
      <c r="I11" s="74">
        <v>233.52067039106146</v>
      </c>
      <c r="J11" s="75">
        <v>330</v>
      </c>
      <c r="K11" s="75"/>
      <c r="M11" s="74">
        <f>$M$9+'Table comparison'!T24</f>
        <v>283.52067039106146</v>
      </c>
      <c r="N11" s="75">
        <f>'Table comparison'!U24</f>
        <v>330</v>
      </c>
      <c r="O11" s="75"/>
    </row>
    <row r="12" spans="1:15" x14ac:dyDescent="0.25">
      <c r="A12" s="76"/>
      <c r="B12" s="77"/>
      <c r="C12" s="77"/>
      <c r="E12" s="78">
        <v>228.52067039106146</v>
      </c>
      <c r="F12" s="79">
        <v>660</v>
      </c>
      <c r="G12" s="82"/>
      <c r="I12" s="74">
        <v>283.52067039106146</v>
      </c>
      <c r="J12" s="75">
        <v>660</v>
      </c>
      <c r="K12" s="75"/>
      <c r="M12" s="74">
        <f>$M$9+'Table comparison'!T25</f>
        <v>333.52067039106146</v>
      </c>
      <c r="N12" s="75">
        <f>'Table comparison'!U25</f>
        <v>660</v>
      </c>
      <c r="O12" s="75"/>
    </row>
    <row r="13" spans="1:15" x14ac:dyDescent="0.25">
      <c r="A13" s="76"/>
      <c r="B13" s="77"/>
      <c r="C13" s="77"/>
      <c r="E13" s="74"/>
      <c r="F13" s="75"/>
      <c r="G13" s="75"/>
      <c r="I13" s="74"/>
      <c r="J13" s="75"/>
      <c r="K13" s="75"/>
      <c r="M13" s="74"/>
      <c r="N13" s="75"/>
      <c r="O13" s="75"/>
    </row>
    <row r="14" spans="1:15" x14ac:dyDescent="0.25">
      <c r="A14" s="76"/>
      <c r="B14" s="77"/>
      <c r="E14" s="76"/>
      <c r="F14" s="77"/>
      <c r="I14" s="76"/>
      <c r="J14" s="77"/>
      <c r="M14" s="76"/>
      <c r="N14" s="77"/>
    </row>
    <row r="15" spans="1:15" x14ac:dyDescent="0.25">
      <c r="A15" s="163" t="s">
        <v>24</v>
      </c>
      <c r="B15" s="163"/>
      <c r="C15" s="163"/>
      <c r="E15" s="163" t="s">
        <v>27</v>
      </c>
      <c r="F15" s="163"/>
      <c r="G15" s="163"/>
      <c r="I15" s="163" t="s">
        <v>28</v>
      </c>
      <c r="J15" s="163"/>
      <c r="K15" s="163"/>
      <c r="M15" s="163" t="s">
        <v>31</v>
      </c>
      <c r="N15" s="163"/>
      <c r="O15" s="163"/>
    </row>
    <row r="16" spans="1:15" ht="45" x14ac:dyDescent="0.25">
      <c r="A16" s="42" t="s">
        <v>38</v>
      </c>
      <c r="B16" s="42" t="s">
        <v>11</v>
      </c>
      <c r="C16" s="68" t="s">
        <v>22</v>
      </c>
      <c r="E16" s="42" t="s">
        <v>38</v>
      </c>
      <c r="F16" s="42" t="s">
        <v>11</v>
      </c>
      <c r="G16" s="68" t="s">
        <v>22</v>
      </c>
      <c r="I16" s="42" t="s">
        <v>38</v>
      </c>
      <c r="J16" s="42" t="s">
        <v>11</v>
      </c>
      <c r="K16" s="68" t="s">
        <v>22</v>
      </c>
      <c r="M16" s="42" t="s">
        <v>38</v>
      </c>
      <c r="N16" s="42" t="s">
        <v>11</v>
      </c>
      <c r="O16" s="68" t="s">
        <v>22</v>
      </c>
    </row>
    <row r="17" spans="1:15" x14ac:dyDescent="0.25">
      <c r="A17" s="45">
        <v>0</v>
      </c>
      <c r="B17" s="45">
        <v>0</v>
      </c>
      <c r="C17" s="69">
        <v>1</v>
      </c>
      <c r="E17" s="45">
        <v>0</v>
      </c>
      <c r="F17" s="45">
        <v>0</v>
      </c>
      <c r="G17" s="69">
        <v>1</v>
      </c>
      <c r="I17" s="45">
        <v>0</v>
      </c>
      <c r="J17" s="45">
        <v>0</v>
      </c>
      <c r="K17" s="69">
        <v>1</v>
      </c>
      <c r="M17" s="45">
        <v>0</v>
      </c>
      <c r="N17" s="45">
        <f>IF(O17&lt;=36,0,O17-36)</f>
        <v>0</v>
      </c>
      <c r="O17" s="69">
        <v>1</v>
      </c>
    </row>
    <row r="18" spans="1:15" x14ac:dyDescent="0.25">
      <c r="A18" s="45">
        <v>4.8882681564245809</v>
      </c>
      <c r="B18" s="45">
        <v>0</v>
      </c>
      <c r="C18" s="69">
        <v>36</v>
      </c>
      <c r="E18" s="45">
        <v>9.7765363128491618</v>
      </c>
      <c r="F18" s="45">
        <v>0</v>
      </c>
      <c r="G18" s="69">
        <v>36</v>
      </c>
      <c r="I18" s="45">
        <v>9.7765363128491618</v>
      </c>
      <c r="J18" s="45">
        <v>0</v>
      </c>
      <c r="K18" s="69">
        <v>36</v>
      </c>
      <c r="M18" s="83">
        <f>M17+(O18-O17)/3.58</f>
        <v>9.7765363128491618</v>
      </c>
      <c r="N18" s="45">
        <f t="shared" ref="N18:N20" si="0">IF(O18&lt;=36,0,O18-36)</f>
        <v>0</v>
      </c>
      <c r="O18" s="69">
        <v>36</v>
      </c>
    </row>
    <row r="19" spans="1:15" x14ac:dyDescent="0.25">
      <c r="A19" s="45">
        <v>14.860335195530723</v>
      </c>
      <c r="B19" s="45">
        <v>71.399999999999991</v>
      </c>
      <c r="C19" s="69">
        <v>107.39999999999999</v>
      </c>
      <c r="E19" s="45">
        <v>13.720670391061454</v>
      </c>
      <c r="F19" s="45">
        <v>14.120000000000005</v>
      </c>
      <c r="G19" s="69">
        <v>50.120000000000005</v>
      </c>
      <c r="I19" s="45">
        <v>13.720670391061454</v>
      </c>
      <c r="J19" s="45">
        <v>14.120000000000005</v>
      </c>
      <c r="K19" s="69">
        <v>50.120000000000005</v>
      </c>
      <c r="M19" s="45">
        <f>M18+(O19-O18)/3.58</f>
        <v>13.720670391061454</v>
      </c>
      <c r="N19" s="45">
        <f t="shared" si="0"/>
        <v>14.120000000000005</v>
      </c>
      <c r="O19" s="69">
        <f>0.07*716</f>
        <v>50.120000000000005</v>
      </c>
    </row>
    <row r="20" spans="1:15" x14ac:dyDescent="0.25">
      <c r="A20" s="45">
        <v>54.860335195530723</v>
      </c>
      <c r="B20" s="45">
        <v>71.399999999999991</v>
      </c>
      <c r="C20" s="69">
        <v>107.39999999999999</v>
      </c>
      <c r="E20" s="45">
        <v>18.720670391061454</v>
      </c>
      <c r="F20" s="45">
        <v>14.120000000000005</v>
      </c>
      <c r="G20" s="69">
        <v>50.120000000000005</v>
      </c>
      <c r="I20" s="45">
        <v>23.720670391061454</v>
      </c>
      <c r="J20" s="45">
        <v>14.120000000000005</v>
      </c>
      <c r="K20" s="69">
        <v>50.120000000000005</v>
      </c>
      <c r="M20" s="45">
        <f>M19+60</f>
        <v>73.720670391061446</v>
      </c>
      <c r="N20" s="45">
        <f t="shared" si="0"/>
        <v>14.120000000000005</v>
      </c>
      <c r="O20" s="69">
        <f>0.07*716</f>
        <v>50.120000000000005</v>
      </c>
    </row>
    <row r="21" spans="1:15" x14ac:dyDescent="0.25">
      <c r="A21" s="45">
        <v>81.760335195530729</v>
      </c>
      <c r="B21" s="45">
        <v>264.00399999999996</v>
      </c>
      <c r="C21" s="69">
        <v>300.00399999999996</v>
      </c>
      <c r="E21" s="52">
        <v>34.720670391061446</v>
      </c>
      <c r="F21" s="52">
        <v>71.399999999999991</v>
      </c>
      <c r="G21" s="69">
        <v>107.39999999999999</v>
      </c>
      <c r="I21" s="52">
        <v>39.720670391061446</v>
      </c>
      <c r="J21" s="52">
        <v>71.399999999999991</v>
      </c>
      <c r="K21" s="69">
        <v>107.39999999999999</v>
      </c>
      <c r="M21" s="52">
        <f>M20+(O21-O20)/3.58</f>
        <v>89.720670391061446</v>
      </c>
      <c r="N21" s="52">
        <v>71.399999999999991</v>
      </c>
      <c r="O21" s="69">
        <v>107.39999999999999</v>
      </c>
    </row>
    <row r="22" spans="1:15" x14ac:dyDescent="0.25">
      <c r="A22" s="78">
        <f>$A$21+'Table comparison'!H65</f>
        <v>91.760335195530729</v>
      </c>
      <c r="B22" s="79">
        <f>'Table comparison'!I65</f>
        <v>330</v>
      </c>
      <c r="C22" s="79"/>
      <c r="D22" s="80"/>
      <c r="E22" s="52">
        <v>74.720670391061446</v>
      </c>
      <c r="F22" s="45">
        <v>71.399999999999991</v>
      </c>
      <c r="G22" s="42">
        <v>107.39999999999999</v>
      </c>
      <c r="H22" s="80"/>
      <c r="I22" s="52">
        <v>99.720670391061446</v>
      </c>
      <c r="J22" s="45">
        <v>71.399999999999991</v>
      </c>
      <c r="K22" s="42">
        <v>107.39999999999999</v>
      </c>
      <c r="L22" s="80"/>
      <c r="M22" s="52">
        <f>M21+60</f>
        <v>149.72067039106145</v>
      </c>
      <c r="N22" s="45">
        <f>IF(O22&lt;=36,0,O22-36)</f>
        <v>71.399999999999991</v>
      </c>
      <c r="O22" s="68">
        <v>107.39999999999999</v>
      </c>
    </row>
    <row r="23" spans="1:15" x14ac:dyDescent="0.25">
      <c r="A23" s="78">
        <f>$A$21+'Table comparison'!H66</f>
        <v>121.76033519553073</v>
      </c>
      <c r="B23" s="79">
        <f>'Table comparison'!I66</f>
        <v>330</v>
      </c>
      <c r="C23" s="79"/>
      <c r="D23" s="80"/>
      <c r="E23" s="45">
        <v>128.52067039106146</v>
      </c>
      <c r="F23" s="45">
        <v>264.00399999999996</v>
      </c>
      <c r="G23" s="45">
        <v>300.00399999999996</v>
      </c>
      <c r="H23" s="80"/>
      <c r="I23" s="45">
        <v>153.52067039106146</v>
      </c>
      <c r="J23" s="45">
        <v>264.00399999999996</v>
      </c>
      <c r="K23" s="45">
        <v>300.00399999999996</v>
      </c>
      <c r="L23" s="80"/>
      <c r="M23" s="52">
        <f>M22+(O23-O22)/3.58</f>
        <v>203.52067039106146</v>
      </c>
      <c r="N23" s="45">
        <f t="shared" ref="N23" si="1">IF(O23&lt;=36,0,O23-36)</f>
        <v>264.00399999999996</v>
      </c>
      <c r="O23" s="69">
        <v>300.00399999999996</v>
      </c>
    </row>
    <row r="24" spans="1:15" x14ac:dyDescent="0.25">
      <c r="A24" s="78">
        <f>$A$21+'Table comparison'!H67</f>
        <v>146.76033519553073</v>
      </c>
      <c r="B24" s="79">
        <f>'Table comparison'!I67</f>
        <v>660</v>
      </c>
      <c r="C24" s="79"/>
      <c r="D24" s="80"/>
      <c r="E24" s="78">
        <f>$E$23+'Table comparison'!L65</f>
        <v>148.52067039106146</v>
      </c>
      <c r="F24" s="79">
        <f>'Table comparison'!M65</f>
        <v>330</v>
      </c>
      <c r="G24" s="79"/>
      <c r="H24" s="80"/>
      <c r="I24" s="78">
        <f>$I$23+'Table comparison'!P65</f>
        <v>173.52067039106146</v>
      </c>
      <c r="J24" s="79">
        <f>'Table comparison'!Q65</f>
        <v>330</v>
      </c>
      <c r="K24" s="79"/>
      <c r="L24" s="80"/>
      <c r="M24" s="78">
        <f>$M$23+'Table comparison'!T65</f>
        <v>223.52067039106146</v>
      </c>
      <c r="N24" s="45">
        <f>'Table comparison'!U65</f>
        <v>330</v>
      </c>
      <c r="O24" s="75"/>
    </row>
    <row r="25" spans="1:15" x14ac:dyDescent="0.25">
      <c r="A25" s="81"/>
      <c r="B25" s="80"/>
      <c r="C25" s="80"/>
      <c r="D25" s="80"/>
      <c r="E25" s="78">
        <f>$E$23+'Table comparison'!L66</f>
        <v>178.52067039106146</v>
      </c>
      <c r="F25" s="79">
        <f>'Table comparison'!M66</f>
        <v>330</v>
      </c>
      <c r="G25" s="82"/>
      <c r="H25" s="80"/>
      <c r="I25" s="78">
        <f>$I$23+'Table comparison'!P66</f>
        <v>233.52067039106146</v>
      </c>
      <c r="J25" s="79">
        <f>'Table comparison'!Q66</f>
        <v>330</v>
      </c>
      <c r="K25" s="79"/>
      <c r="L25" s="80"/>
      <c r="M25" s="78">
        <f>$M$23+'Table comparison'!T66</f>
        <v>283.52067039106146</v>
      </c>
      <c r="N25" s="45">
        <f>'Table comparison'!U66</f>
        <v>330</v>
      </c>
      <c r="O25" s="75"/>
    </row>
    <row r="26" spans="1:15" x14ac:dyDescent="0.25">
      <c r="A26" s="81"/>
      <c r="B26" s="80"/>
      <c r="C26" s="80"/>
      <c r="D26" s="80"/>
      <c r="E26" s="78">
        <f>$E$23+'Table comparison'!L67</f>
        <v>228.52067039106146</v>
      </c>
      <c r="F26" s="79">
        <f>'Table comparison'!M67</f>
        <v>660</v>
      </c>
      <c r="G26" s="82"/>
      <c r="H26" s="80"/>
      <c r="I26" s="78">
        <f>$I$23+'Table comparison'!P67</f>
        <v>283.52067039106146</v>
      </c>
      <c r="J26" s="79">
        <f>'Table comparison'!Q67</f>
        <v>660</v>
      </c>
      <c r="K26" s="79"/>
      <c r="L26" s="80"/>
      <c r="M26" s="78">
        <f>$M$23+'Table comparison'!T67</f>
        <v>333.52067039106146</v>
      </c>
      <c r="N26" s="45">
        <f>'Table comparison'!U67</f>
        <v>660</v>
      </c>
      <c r="O26" s="75"/>
    </row>
    <row r="27" spans="1:15" x14ac:dyDescent="0.25">
      <c r="A27" s="8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9" spans="1:15" ht="30" x14ac:dyDescent="0.25">
      <c r="A29" s="88" t="s">
        <v>83</v>
      </c>
      <c r="B29" s="85" t="s">
        <v>6</v>
      </c>
    </row>
    <row r="30" spans="1:15" x14ac:dyDescent="0.25">
      <c r="A30" s="87">
        <v>0</v>
      </c>
      <c r="B30" s="5">
        <v>264.00399999999996</v>
      </c>
    </row>
    <row r="31" spans="1:15" x14ac:dyDescent="0.25">
      <c r="A31" s="87">
        <f>A30+(B31-B30)/'Table comparison'!Y5</f>
        <v>9.9993939393939435</v>
      </c>
      <c r="B31" s="85">
        <v>330</v>
      </c>
    </row>
    <row r="32" spans="1:15" x14ac:dyDescent="0.25">
      <c r="A32" s="87">
        <f>A31+(B32-B31)/'Table comparison'!Y6</f>
        <v>17.499393939393943</v>
      </c>
      <c r="B32" s="85">
        <v>429</v>
      </c>
    </row>
    <row r="33" spans="1:2" x14ac:dyDescent="0.25">
      <c r="A33" s="87">
        <f>A32+30</f>
        <v>47.49939393939394</v>
      </c>
      <c r="B33" s="85">
        <v>429</v>
      </c>
    </row>
    <row r="34" spans="1:2" x14ac:dyDescent="0.25">
      <c r="A34" s="87">
        <f>A33+(B34-B33)/'Table comparison'!Y8</f>
        <v>64.99939393939394</v>
      </c>
      <c r="B34" s="85">
        <v>660</v>
      </c>
    </row>
    <row r="35" spans="1:2" x14ac:dyDescent="0.25">
      <c r="A35" s="87">
        <f>A34+30</f>
        <v>94.99939393939394</v>
      </c>
      <c r="B35" s="85">
        <f>B34</f>
        <v>660</v>
      </c>
    </row>
    <row r="36" spans="1:2" x14ac:dyDescent="0.25">
      <c r="A36" s="87">
        <f>A35+(B35-B36)/'Table comparison'!AB5</f>
        <v>112.49939393939394</v>
      </c>
      <c r="B36" s="85">
        <f>B33</f>
        <v>429</v>
      </c>
    </row>
    <row r="37" spans="1:2" x14ac:dyDescent="0.25">
      <c r="A37" s="87">
        <f>A36+30</f>
        <v>142.49939393939394</v>
      </c>
      <c r="B37" s="85">
        <f>B36</f>
        <v>429</v>
      </c>
    </row>
    <row r="38" spans="1:2" x14ac:dyDescent="0.25">
      <c r="A38" s="87">
        <f>A37+(B37-B38)/'Table comparison'!AB7</f>
        <v>149.99939393939394</v>
      </c>
      <c r="B38" s="85">
        <f>B31</f>
        <v>330</v>
      </c>
    </row>
    <row r="39" spans="1:2" x14ac:dyDescent="0.25">
      <c r="A39" s="87">
        <f>A38+(B38-B39)/'Table comparison'!AB8</f>
        <v>159.99878787878788</v>
      </c>
      <c r="B39" s="87">
        <f>B30</f>
        <v>264.00399999999996</v>
      </c>
    </row>
    <row r="40" spans="1:2" x14ac:dyDescent="0.25">
      <c r="A40" s="84"/>
      <c r="B40" s="84"/>
    </row>
    <row r="41" spans="1:2" ht="30" x14ac:dyDescent="0.25">
      <c r="A41" s="89" t="s">
        <v>84</v>
      </c>
      <c r="B41" s="86" t="s">
        <v>6</v>
      </c>
    </row>
    <row r="42" spans="1:2" x14ac:dyDescent="0.25">
      <c r="A42" s="86">
        <v>0</v>
      </c>
      <c r="B42" s="45">
        <v>264.00399999999996</v>
      </c>
    </row>
    <row r="43" spans="1:2" x14ac:dyDescent="0.25">
      <c r="A43" s="90">
        <f>A42+(B43-B42)/'Table comparison'!Y47</f>
        <v>9.9993939393939435</v>
      </c>
      <c r="B43" s="86">
        <v>330</v>
      </c>
    </row>
    <row r="44" spans="1:2" x14ac:dyDescent="0.25">
      <c r="A44" s="90">
        <f>A43+30</f>
        <v>39.99939393939394</v>
      </c>
      <c r="B44" s="86">
        <v>330</v>
      </c>
    </row>
    <row r="45" spans="1:2" x14ac:dyDescent="0.25">
      <c r="A45" s="90">
        <f>A44+(B45-B44)/'Table comparison'!Y49</f>
        <v>64.99939393939394</v>
      </c>
      <c r="B45" s="86">
        <v>660</v>
      </c>
    </row>
    <row r="46" spans="1:2" x14ac:dyDescent="0.25">
      <c r="A46" s="90">
        <f>A45+30</f>
        <v>94.99939393939394</v>
      </c>
      <c r="B46" s="86">
        <f>B45</f>
        <v>660</v>
      </c>
    </row>
    <row r="47" spans="1:2" x14ac:dyDescent="0.25">
      <c r="A47" s="90">
        <f>A46+(B46-B47)/'Table comparison'!AB47</f>
        <v>109.99939393939394</v>
      </c>
      <c r="B47" s="86">
        <f>B46*0.7</f>
        <v>461.99999999999994</v>
      </c>
    </row>
    <row r="48" spans="1:2" x14ac:dyDescent="0.25">
      <c r="A48" s="90">
        <f>A47+30</f>
        <v>139.99939393939394</v>
      </c>
      <c r="B48" s="86">
        <f>B47</f>
        <v>461.99999999999994</v>
      </c>
    </row>
    <row r="49" spans="1:2" x14ac:dyDescent="0.25">
      <c r="A49" s="90">
        <f>A48+(B48-B49)/'Table comparison'!AB49</f>
        <v>154.99909090909091</v>
      </c>
      <c r="B49" s="90">
        <f>B42</f>
        <v>264.00399999999996</v>
      </c>
    </row>
  </sheetData>
  <mergeCells count="8">
    <mergeCell ref="M1:O1"/>
    <mergeCell ref="M15:O15"/>
    <mergeCell ref="A1:C1"/>
    <mergeCell ref="A15:C15"/>
    <mergeCell ref="E1:G1"/>
    <mergeCell ref="E15:G15"/>
    <mergeCell ref="I1:K1"/>
    <mergeCell ref="I15:K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20B1-46D6-46F7-BEAE-A42E1E6BBDC1}">
  <dimension ref="A1:U66"/>
  <sheetViews>
    <sheetView topLeftCell="B1" workbookViewId="0">
      <selection activeCell="H85" sqref="H85"/>
    </sheetView>
  </sheetViews>
  <sheetFormatPr defaultRowHeight="15" x14ac:dyDescent="0.25"/>
  <cols>
    <col min="1" max="1" width="0" hidden="1" customWidth="1"/>
    <col min="3" max="3" width="10.42578125" style="112" bestFit="1" customWidth="1"/>
    <col min="4" max="4" width="10.42578125" style="112" customWidth="1"/>
    <col min="5" max="5" width="13.42578125" style="113" customWidth="1"/>
    <col min="6" max="20" width="13.42578125" customWidth="1"/>
    <col min="21" max="21" width="15" customWidth="1"/>
  </cols>
  <sheetData>
    <row r="1" spans="2:21" x14ac:dyDescent="0.25">
      <c r="B1" s="111" t="s">
        <v>88</v>
      </c>
    </row>
    <row r="2" spans="2:21" x14ac:dyDescent="0.25">
      <c r="B2" s="114" t="s">
        <v>89</v>
      </c>
    </row>
    <row r="3" spans="2:21" x14ac:dyDescent="0.25">
      <c r="E3" s="115">
        <v>45200</v>
      </c>
      <c r="F3" s="116">
        <v>45231</v>
      </c>
      <c r="G3" s="116">
        <v>45261</v>
      </c>
      <c r="H3" s="116">
        <v>45292</v>
      </c>
      <c r="I3" s="116">
        <v>45323</v>
      </c>
      <c r="J3" s="116">
        <v>45352</v>
      </c>
      <c r="K3" s="116">
        <v>45383</v>
      </c>
      <c r="L3" s="116">
        <v>45413</v>
      </c>
      <c r="M3" s="116">
        <v>45444</v>
      </c>
      <c r="N3" s="116">
        <v>45474</v>
      </c>
      <c r="O3" s="116">
        <v>45505</v>
      </c>
      <c r="P3" s="116">
        <v>45536</v>
      </c>
      <c r="Q3" s="116">
        <v>45566</v>
      </c>
      <c r="R3" s="116">
        <v>45597</v>
      </c>
      <c r="S3" s="116">
        <v>45627</v>
      </c>
      <c r="T3" s="116"/>
      <c r="U3" s="117" t="s">
        <v>90</v>
      </c>
    </row>
    <row r="4" spans="2:21" x14ac:dyDescent="0.25">
      <c r="B4" s="183" t="s">
        <v>91</v>
      </c>
      <c r="C4" s="185" t="s">
        <v>92</v>
      </c>
      <c r="D4" s="118" t="s">
        <v>93</v>
      </c>
      <c r="E4" s="119">
        <v>153222211</v>
      </c>
      <c r="F4" s="120">
        <v>169212496</v>
      </c>
      <c r="G4" s="120">
        <v>161873883</v>
      </c>
      <c r="H4" s="120">
        <v>217414168</v>
      </c>
      <c r="I4" s="120">
        <v>111808684</v>
      </c>
      <c r="J4" s="120">
        <v>63907001</v>
      </c>
      <c r="K4" s="120">
        <v>131689054</v>
      </c>
      <c r="L4" s="120">
        <v>191325409</v>
      </c>
      <c r="M4" s="121"/>
      <c r="N4" s="121"/>
      <c r="O4" s="121"/>
      <c r="P4" s="121"/>
      <c r="Q4" s="121"/>
      <c r="R4" s="121"/>
      <c r="S4" s="121"/>
      <c r="T4" s="122"/>
    </row>
    <row r="5" spans="2:21" x14ac:dyDescent="0.25">
      <c r="B5" s="184"/>
      <c r="C5" s="186"/>
      <c r="D5" s="124" t="s">
        <v>94</v>
      </c>
      <c r="E5" s="125"/>
      <c r="F5" s="126"/>
      <c r="G5" s="126"/>
      <c r="H5" s="126">
        <v>285080376</v>
      </c>
      <c r="I5" s="126">
        <v>202973702</v>
      </c>
      <c r="J5" s="126">
        <v>65802602</v>
      </c>
      <c r="K5" s="126">
        <v>163614767</v>
      </c>
      <c r="L5" s="126">
        <v>165447504</v>
      </c>
      <c r="M5" s="127"/>
      <c r="N5" s="127"/>
      <c r="O5" s="127"/>
      <c r="P5" s="127"/>
      <c r="Q5" s="127"/>
      <c r="R5" s="127"/>
      <c r="S5" s="127"/>
      <c r="T5" s="128"/>
    </row>
    <row r="6" spans="2:21" x14ac:dyDescent="0.25">
      <c r="B6" s="184"/>
      <c r="C6" s="187" t="s">
        <v>95</v>
      </c>
      <c r="D6" s="129" t="s">
        <v>93</v>
      </c>
      <c r="E6" s="130">
        <v>0</v>
      </c>
      <c r="F6" s="131">
        <v>0</v>
      </c>
      <c r="G6" s="131">
        <v>1261936</v>
      </c>
      <c r="H6" s="131">
        <v>619331</v>
      </c>
      <c r="I6" s="131">
        <v>171004</v>
      </c>
      <c r="J6" s="131">
        <v>0</v>
      </c>
      <c r="K6" s="131"/>
      <c r="L6" s="131"/>
      <c r="M6" s="132"/>
      <c r="N6" s="132"/>
      <c r="O6" s="132"/>
      <c r="P6" s="132"/>
      <c r="Q6" s="132"/>
      <c r="R6" s="132"/>
      <c r="S6" s="132"/>
      <c r="T6" s="133"/>
    </row>
    <row r="7" spans="2:21" x14ac:dyDescent="0.25">
      <c r="B7" s="184"/>
      <c r="C7" s="187"/>
      <c r="D7" s="129" t="s">
        <v>94</v>
      </c>
      <c r="E7" s="130"/>
      <c r="F7" s="131"/>
      <c r="G7" s="131"/>
      <c r="H7" s="131">
        <v>0</v>
      </c>
      <c r="I7" s="131">
        <v>535570</v>
      </c>
      <c r="J7" s="131">
        <v>0</v>
      </c>
      <c r="K7" s="131"/>
      <c r="L7" s="131"/>
      <c r="M7" s="132"/>
      <c r="N7" s="132"/>
      <c r="O7" s="132"/>
      <c r="P7" s="132"/>
      <c r="Q7" s="132"/>
      <c r="R7" s="132"/>
      <c r="S7" s="132"/>
      <c r="T7" s="133"/>
    </row>
    <row r="8" spans="2:21" x14ac:dyDescent="0.25">
      <c r="B8" s="184"/>
      <c r="C8" s="134" t="s">
        <v>90</v>
      </c>
      <c r="D8" s="134" t="s">
        <v>96</v>
      </c>
      <c r="E8" s="135">
        <f>SUM(E4:E7)</f>
        <v>153222211</v>
      </c>
      <c r="F8" s="135">
        <f t="shared" ref="F8:L8" si="0">SUM(F4:F7)</f>
        <v>169212496</v>
      </c>
      <c r="G8" s="135">
        <f t="shared" si="0"/>
        <v>163135819</v>
      </c>
      <c r="H8" s="135">
        <f t="shared" si="0"/>
        <v>503113875</v>
      </c>
      <c r="I8" s="135">
        <f t="shared" si="0"/>
        <v>315488960</v>
      </c>
      <c r="J8" s="135">
        <f t="shared" si="0"/>
        <v>129709603</v>
      </c>
      <c r="K8" s="135">
        <f t="shared" si="0"/>
        <v>295303821</v>
      </c>
      <c r="L8" s="135">
        <f t="shared" si="0"/>
        <v>356772913</v>
      </c>
      <c r="M8" s="135"/>
      <c r="N8" s="135"/>
      <c r="O8" s="135"/>
      <c r="P8" s="135"/>
      <c r="Q8" s="135"/>
      <c r="R8" s="135"/>
      <c r="S8" s="135"/>
      <c r="T8" s="135">
        <v>0</v>
      </c>
      <c r="U8" s="136">
        <v>2085959698</v>
      </c>
    </row>
    <row r="9" spans="2:21" x14ac:dyDescent="0.25">
      <c r="B9" s="123"/>
      <c r="C9" s="134"/>
      <c r="D9" s="134" t="s">
        <v>97</v>
      </c>
      <c r="E9" s="137">
        <v>6384.2587916666671</v>
      </c>
      <c r="F9" s="137">
        <v>7050.5206666666663</v>
      </c>
      <c r="G9" s="137">
        <v>6797.3257916666671</v>
      </c>
      <c r="H9" s="137">
        <v>20963.078125</v>
      </c>
      <c r="I9" s="137">
        <v>13145.373333333333</v>
      </c>
      <c r="J9" s="137">
        <v>5404.5667916666671</v>
      </c>
      <c r="K9" s="137">
        <v>12304.325875</v>
      </c>
      <c r="L9" s="137">
        <v>14865.538041666667</v>
      </c>
      <c r="M9" s="138"/>
      <c r="N9" s="138"/>
      <c r="O9" s="138"/>
      <c r="P9" s="138"/>
      <c r="Q9" s="138"/>
      <c r="R9" s="138"/>
      <c r="S9" s="138"/>
      <c r="T9" s="138"/>
      <c r="U9" s="136"/>
    </row>
    <row r="10" spans="2:21" x14ac:dyDescent="0.25">
      <c r="B10" s="184" t="s">
        <v>98</v>
      </c>
      <c r="C10" s="186" t="s">
        <v>92</v>
      </c>
      <c r="D10" s="124" t="s">
        <v>93</v>
      </c>
      <c r="E10" s="125">
        <v>78639388</v>
      </c>
      <c r="F10" s="126">
        <v>153115471.31657356</v>
      </c>
      <c r="G10" s="126">
        <v>149807175.15860441</v>
      </c>
      <c r="H10" s="126">
        <v>110007210</v>
      </c>
      <c r="I10" s="126">
        <v>3979660.6735966965</v>
      </c>
      <c r="J10" s="126">
        <v>1538944</v>
      </c>
      <c r="K10" s="126">
        <v>26467306.421445683</v>
      </c>
      <c r="L10" s="126">
        <v>39948418</v>
      </c>
      <c r="M10" s="127"/>
      <c r="N10" s="127"/>
      <c r="O10" s="127"/>
      <c r="P10" s="127"/>
      <c r="Q10" s="127"/>
      <c r="R10" s="127"/>
      <c r="S10" s="127"/>
      <c r="T10" s="128"/>
      <c r="U10" s="139"/>
    </row>
    <row r="11" spans="2:21" x14ac:dyDescent="0.25">
      <c r="B11" s="184"/>
      <c r="C11" s="186"/>
      <c r="D11" s="124" t="s">
        <v>94</v>
      </c>
      <c r="E11" s="125"/>
      <c r="F11" s="126"/>
      <c r="G11" s="126"/>
      <c r="H11" s="126">
        <v>235074185</v>
      </c>
      <c r="I11" s="126">
        <v>76269725.285704195</v>
      </c>
      <c r="J11" s="126">
        <v>18519298</v>
      </c>
      <c r="K11" s="126">
        <v>0</v>
      </c>
      <c r="L11" s="126">
        <v>56753891</v>
      </c>
      <c r="M11" s="127"/>
      <c r="N11" s="127"/>
      <c r="O11" s="127"/>
      <c r="P11" s="127"/>
      <c r="Q11" s="127"/>
      <c r="R11" s="127"/>
      <c r="S11" s="127"/>
      <c r="T11" s="128"/>
      <c r="U11" s="139"/>
    </row>
    <row r="12" spans="2:21" x14ac:dyDescent="0.25">
      <c r="B12" s="184"/>
      <c r="C12" s="187" t="s">
        <v>95</v>
      </c>
      <c r="D12" s="129" t="s">
        <v>93</v>
      </c>
      <c r="E12" s="130">
        <v>0</v>
      </c>
      <c r="F12" s="131">
        <v>0</v>
      </c>
      <c r="G12" s="131">
        <v>1460959.3559685235</v>
      </c>
      <c r="H12" s="131">
        <v>0</v>
      </c>
      <c r="I12" s="131"/>
      <c r="J12" s="131"/>
      <c r="K12" s="131"/>
      <c r="L12" s="131"/>
      <c r="M12" s="132"/>
      <c r="N12" s="132"/>
      <c r="O12" s="132"/>
      <c r="P12" s="132"/>
      <c r="Q12" s="132"/>
      <c r="R12" s="132"/>
      <c r="S12" s="132"/>
      <c r="T12" s="133"/>
      <c r="U12" s="139"/>
    </row>
    <row r="13" spans="2:21" x14ac:dyDescent="0.25">
      <c r="B13" s="184"/>
      <c r="C13" s="187"/>
      <c r="D13" s="129" t="s">
        <v>94</v>
      </c>
      <c r="E13" s="130"/>
      <c r="F13" s="131"/>
      <c r="G13" s="131"/>
      <c r="H13" s="131">
        <v>0</v>
      </c>
      <c r="I13" s="131"/>
      <c r="J13" s="131"/>
      <c r="K13" s="131"/>
      <c r="L13" s="131"/>
      <c r="M13" s="132"/>
      <c r="N13" s="132"/>
      <c r="O13" s="132"/>
      <c r="P13" s="132"/>
      <c r="Q13" s="132"/>
      <c r="R13" s="132"/>
      <c r="S13" s="132"/>
      <c r="T13" s="133"/>
      <c r="U13" s="139"/>
    </row>
    <row r="14" spans="2:21" x14ac:dyDescent="0.25">
      <c r="B14" s="188"/>
      <c r="C14" s="140" t="s">
        <v>90</v>
      </c>
      <c r="D14" s="134" t="s">
        <v>96</v>
      </c>
      <c r="E14" s="141">
        <f>SUM(E10:E13)</f>
        <v>78639388</v>
      </c>
      <c r="F14" s="141">
        <f t="shared" ref="F14:L14" si="1">SUM(F10:F13)</f>
        <v>153115471.31657356</v>
      </c>
      <c r="G14" s="141">
        <f t="shared" si="1"/>
        <v>151268134.51457295</v>
      </c>
      <c r="H14" s="141">
        <f t="shared" si="1"/>
        <v>345081395</v>
      </c>
      <c r="I14" s="141">
        <f t="shared" si="1"/>
        <v>80249385.959300891</v>
      </c>
      <c r="J14" s="141">
        <f t="shared" si="1"/>
        <v>20058242</v>
      </c>
      <c r="K14" s="141">
        <f t="shared" si="1"/>
        <v>26467306.421445683</v>
      </c>
      <c r="L14" s="141">
        <f t="shared" si="1"/>
        <v>96702309</v>
      </c>
      <c r="M14" s="141"/>
      <c r="N14" s="141"/>
      <c r="O14" s="141"/>
      <c r="P14" s="141"/>
      <c r="Q14" s="141"/>
      <c r="R14" s="141"/>
      <c r="S14" s="141"/>
      <c r="T14" s="141">
        <v>0</v>
      </c>
      <c r="U14" s="136">
        <v>951581632.21189308</v>
      </c>
    </row>
    <row r="15" spans="2:21" x14ac:dyDescent="0.25">
      <c r="B15" s="142"/>
      <c r="C15" s="143"/>
      <c r="D15" s="134" t="s">
        <v>97</v>
      </c>
      <c r="E15" s="144">
        <v>3276.6411666666668</v>
      </c>
      <c r="F15" s="144">
        <v>6379.8113048572313</v>
      </c>
      <c r="G15" s="144">
        <v>6302.8389381072066</v>
      </c>
      <c r="H15" s="144">
        <v>14378.391458333334</v>
      </c>
      <c r="I15" s="144">
        <v>3343.7244149708704</v>
      </c>
      <c r="J15" s="144">
        <v>835.76008333333334</v>
      </c>
      <c r="K15" s="144">
        <v>1102.8044342269034</v>
      </c>
      <c r="L15" s="144">
        <v>4029.2628749999999</v>
      </c>
      <c r="M15" s="145"/>
      <c r="N15" s="145"/>
      <c r="O15" s="145"/>
      <c r="P15" s="145"/>
      <c r="Q15" s="145"/>
      <c r="R15" s="145"/>
      <c r="S15" s="145"/>
      <c r="T15" s="145"/>
      <c r="U15" s="136"/>
    </row>
    <row r="16" spans="2:21" x14ac:dyDescent="0.25">
      <c r="B16" s="142"/>
      <c r="C16" s="143"/>
      <c r="D16" s="143"/>
      <c r="E16" s="144"/>
      <c r="F16" s="144"/>
      <c r="G16" s="144"/>
      <c r="H16" s="144"/>
      <c r="I16" s="144"/>
      <c r="J16" s="144"/>
      <c r="K16" s="144"/>
      <c r="L16" s="144"/>
      <c r="M16" s="145"/>
      <c r="N16" s="145"/>
      <c r="O16" s="145"/>
      <c r="P16" s="145"/>
      <c r="Q16" s="145"/>
      <c r="R16" s="145"/>
      <c r="S16" s="145"/>
      <c r="T16" s="145"/>
      <c r="U16" s="136"/>
    </row>
    <row r="17" spans="1:21" x14ac:dyDescent="0.25">
      <c r="B17" s="146"/>
      <c r="C17" s="181" t="s">
        <v>137</v>
      </c>
      <c r="D17" s="160" t="s">
        <v>96</v>
      </c>
      <c r="E17" s="161">
        <v>74582823</v>
      </c>
      <c r="F17" s="161">
        <v>16097024.68342644</v>
      </c>
      <c r="G17" s="161">
        <v>11867684.485427052</v>
      </c>
      <c r="H17" s="161">
        <v>158032480</v>
      </c>
      <c r="I17" s="161">
        <v>235239574.04069912</v>
      </c>
      <c r="J17" s="161">
        <v>109651361</v>
      </c>
      <c r="K17" s="161">
        <v>268836514.57855433</v>
      </c>
      <c r="L17" s="161">
        <v>260070604</v>
      </c>
      <c r="M17" s="147"/>
      <c r="N17" s="147"/>
      <c r="O17" s="147"/>
      <c r="P17" s="147"/>
      <c r="Q17" s="147"/>
      <c r="R17" s="147"/>
      <c r="S17" s="147"/>
      <c r="T17" s="147">
        <v>0</v>
      </c>
      <c r="U17" s="148">
        <v>1134378065.7881069</v>
      </c>
    </row>
    <row r="18" spans="1:21" x14ac:dyDescent="0.25">
      <c r="B18" s="146"/>
      <c r="C18" s="182"/>
      <c r="D18" s="160" t="s">
        <v>97</v>
      </c>
      <c r="E18" s="161">
        <f>E9-E15</f>
        <v>3107.6176250000003</v>
      </c>
      <c r="F18" s="161">
        <f t="shared" ref="F18:L18" si="2">F9-F15</f>
        <v>670.70936180943499</v>
      </c>
      <c r="G18" s="161">
        <f t="shared" si="2"/>
        <v>494.48685355946054</v>
      </c>
      <c r="H18" s="161">
        <f t="shared" si="2"/>
        <v>6584.6866666666665</v>
      </c>
      <c r="I18" s="161">
        <f t="shared" si="2"/>
        <v>9801.6489183624617</v>
      </c>
      <c r="J18" s="161">
        <f t="shared" si="2"/>
        <v>4568.8067083333335</v>
      </c>
      <c r="K18" s="161">
        <f t="shared" si="2"/>
        <v>11201.521440773096</v>
      </c>
      <c r="L18" s="161">
        <f t="shared" si="2"/>
        <v>10836.275166666666</v>
      </c>
      <c r="M18" s="149"/>
      <c r="N18" s="149"/>
      <c r="O18" s="149"/>
      <c r="P18" s="149"/>
      <c r="Q18" s="149"/>
      <c r="R18" s="149"/>
      <c r="S18" s="149"/>
      <c r="T18" s="149"/>
      <c r="U18" s="150"/>
    </row>
    <row r="19" spans="1:21" hidden="1" x14ac:dyDescent="0.25">
      <c r="E19" s="151" t="s">
        <v>99</v>
      </c>
      <c r="F19" s="77" t="s">
        <v>100</v>
      </c>
      <c r="G19" s="77" t="s">
        <v>101</v>
      </c>
      <c r="H19" s="77" t="s">
        <v>102</v>
      </c>
    </row>
    <row r="20" spans="1:21" ht="13.5" hidden="1" customHeight="1" x14ac:dyDescent="0.25">
      <c r="A20" t="s">
        <v>103</v>
      </c>
      <c r="E20" s="179"/>
      <c r="F20" s="179"/>
      <c r="G20" s="179"/>
      <c r="H20" s="179"/>
      <c r="I20" s="179"/>
      <c r="J20" s="179"/>
    </row>
    <row r="21" spans="1:21" ht="13.5" hidden="1" customHeight="1" x14ac:dyDescent="0.25">
      <c r="A21" s="152" t="s">
        <v>104</v>
      </c>
      <c r="B21" s="152"/>
      <c r="C21" s="153">
        <v>45230</v>
      </c>
      <c r="D21" s="153"/>
      <c r="E21" s="154"/>
      <c r="F21" t="s">
        <v>105</v>
      </c>
    </row>
    <row r="22" spans="1:21" ht="13.5" hidden="1" customHeight="1" x14ac:dyDescent="0.25">
      <c r="C22" s="155">
        <v>45237</v>
      </c>
      <c r="D22" s="155"/>
      <c r="E22" s="156" t="s">
        <v>106</v>
      </c>
      <c r="F22" s="180" t="s">
        <v>107</v>
      </c>
    </row>
    <row r="23" spans="1:21" ht="13.5" hidden="1" customHeight="1" x14ac:dyDescent="0.25">
      <c r="B23">
        <v>20</v>
      </c>
      <c r="C23" s="155">
        <v>45250</v>
      </c>
      <c r="D23" s="155"/>
      <c r="E23" s="156" t="s">
        <v>108</v>
      </c>
      <c r="F23" s="180"/>
    </row>
    <row r="24" spans="1:21" ht="13.5" hidden="1" customHeight="1" x14ac:dyDescent="0.25">
      <c r="B24">
        <v>15</v>
      </c>
      <c r="C24" s="155">
        <v>45265</v>
      </c>
      <c r="D24" s="155"/>
      <c r="E24" s="156" t="s">
        <v>109</v>
      </c>
      <c r="F24" s="180" t="s">
        <v>110</v>
      </c>
    </row>
    <row r="25" spans="1:21" ht="13.5" hidden="1" customHeight="1" x14ac:dyDescent="0.25">
      <c r="A25" s="152" t="s">
        <v>104</v>
      </c>
      <c r="B25" s="152"/>
      <c r="C25" s="153">
        <v>45260</v>
      </c>
      <c r="D25" s="153"/>
      <c r="E25" s="157"/>
      <c r="F25" s="180"/>
    </row>
    <row r="26" spans="1:21" ht="13.5" hidden="1" customHeight="1" x14ac:dyDescent="0.25">
      <c r="C26" s="155">
        <v>45267</v>
      </c>
      <c r="D26" s="155"/>
      <c r="E26" s="156" t="s">
        <v>111</v>
      </c>
      <c r="F26" s="180"/>
    </row>
    <row r="27" spans="1:21" ht="13.5" hidden="1" customHeight="1" x14ac:dyDescent="0.25">
      <c r="C27" s="155">
        <v>45271</v>
      </c>
      <c r="D27" s="155"/>
      <c r="E27" s="158" t="s">
        <v>112</v>
      </c>
      <c r="F27" s="180"/>
    </row>
    <row r="28" spans="1:21" ht="13.5" hidden="1" customHeight="1" x14ac:dyDescent="0.25">
      <c r="C28" s="155">
        <v>45272</v>
      </c>
      <c r="D28" s="155"/>
      <c r="E28" s="158" t="s">
        <v>113</v>
      </c>
      <c r="F28" s="180"/>
    </row>
    <row r="29" spans="1:21" ht="13.5" hidden="1" customHeight="1" x14ac:dyDescent="0.25">
      <c r="C29" s="155">
        <v>45280</v>
      </c>
      <c r="D29" s="155"/>
      <c r="E29" s="158" t="s">
        <v>114</v>
      </c>
      <c r="F29" s="180"/>
    </row>
    <row r="30" spans="1:21" ht="13.5" hidden="1" customHeight="1" x14ac:dyDescent="0.25">
      <c r="C30" s="155">
        <v>45295</v>
      </c>
      <c r="D30" s="155"/>
      <c r="E30" s="158" t="s">
        <v>115</v>
      </c>
      <c r="F30" s="180" t="s">
        <v>116</v>
      </c>
    </row>
    <row r="31" spans="1:21" ht="13.5" hidden="1" customHeight="1" x14ac:dyDescent="0.25">
      <c r="A31" s="152" t="s">
        <v>104</v>
      </c>
      <c r="B31" s="152"/>
      <c r="C31" s="153">
        <v>45291</v>
      </c>
      <c r="D31" s="153"/>
      <c r="E31" s="157"/>
      <c r="F31" s="180"/>
    </row>
    <row r="32" spans="1:21" ht="13.5" hidden="1" customHeight="1" x14ac:dyDescent="0.25">
      <c r="C32" s="155">
        <v>45298</v>
      </c>
      <c r="D32" s="155"/>
      <c r="E32" s="158" t="s">
        <v>117</v>
      </c>
      <c r="F32" s="180"/>
    </row>
    <row r="33" spans="1:6" ht="13.5" hidden="1" customHeight="1" x14ac:dyDescent="0.25">
      <c r="C33" s="155">
        <v>45302</v>
      </c>
      <c r="D33" s="155"/>
      <c r="E33" s="156" t="s">
        <v>118</v>
      </c>
      <c r="F33" s="180"/>
    </row>
    <row r="34" spans="1:6" ht="13.5" hidden="1" customHeight="1" x14ac:dyDescent="0.25">
      <c r="C34" s="155">
        <v>45303</v>
      </c>
      <c r="D34" s="155"/>
      <c r="E34" s="156" t="s">
        <v>119</v>
      </c>
      <c r="F34" s="180"/>
    </row>
    <row r="35" spans="1:6" ht="13.5" hidden="1" customHeight="1" x14ac:dyDescent="0.25">
      <c r="C35" s="155">
        <v>45311</v>
      </c>
      <c r="D35" s="155"/>
      <c r="E35" s="158" t="s">
        <v>120</v>
      </c>
    </row>
    <row r="36" spans="1:6" ht="13.5" hidden="1" customHeight="1" x14ac:dyDescent="0.25">
      <c r="C36" s="155">
        <v>45326</v>
      </c>
      <c r="D36" s="155"/>
      <c r="E36" s="158" t="s">
        <v>121</v>
      </c>
    </row>
    <row r="37" spans="1:6" ht="13.5" hidden="1" customHeight="1" x14ac:dyDescent="0.25">
      <c r="A37" s="152" t="s">
        <v>104</v>
      </c>
      <c r="B37" s="152"/>
      <c r="C37" s="153">
        <v>45322</v>
      </c>
      <c r="D37" s="153"/>
      <c r="E37" s="154"/>
    </row>
    <row r="38" spans="1:6" ht="13.5" hidden="1" customHeight="1" x14ac:dyDescent="0.25">
      <c r="C38" s="155">
        <v>45329</v>
      </c>
      <c r="D38" s="155"/>
      <c r="E38" s="158" t="s">
        <v>122</v>
      </c>
    </row>
    <row r="39" spans="1:6" ht="13.5" hidden="1" customHeight="1" x14ac:dyDescent="0.25">
      <c r="C39" s="155">
        <v>45333</v>
      </c>
      <c r="D39" s="155"/>
      <c r="E39" s="158" t="s">
        <v>123</v>
      </c>
    </row>
    <row r="40" spans="1:6" ht="13.5" hidden="1" customHeight="1" x14ac:dyDescent="0.25">
      <c r="C40" s="155">
        <v>45334</v>
      </c>
      <c r="D40" s="155"/>
      <c r="E40" s="158" t="s">
        <v>124</v>
      </c>
    </row>
    <row r="41" spans="1:6" ht="13.5" hidden="1" customHeight="1" x14ac:dyDescent="0.25">
      <c r="C41" s="155">
        <v>45342</v>
      </c>
      <c r="D41" s="155"/>
      <c r="E41" s="158" t="s">
        <v>125</v>
      </c>
    </row>
    <row r="42" spans="1:6" ht="13.5" hidden="1" customHeight="1" x14ac:dyDescent="0.25">
      <c r="C42" s="155">
        <v>45357</v>
      </c>
      <c r="D42" s="155"/>
      <c r="E42" s="158" t="s">
        <v>126</v>
      </c>
    </row>
    <row r="43" spans="1:6" ht="13.5" hidden="1" customHeight="1" x14ac:dyDescent="0.25">
      <c r="A43" s="152" t="s">
        <v>104</v>
      </c>
      <c r="B43" s="152"/>
      <c r="C43" s="153">
        <v>45351</v>
      </c>
      <c r="D43" s="153"/>
      <c r="E43" s="154"/>
    </row>
    <row r="44" spans="1:6" ht="13.5" hidden="1" customHeight="1" x14ac:dyDescent="0.25">
      <c r="C44" s="155">
        <v>45358</v>
      </c>
      <c r="D44" s="155"/>
      <c r="E44" s="158" t="s">
        <v>127</v>
      </c>
    </row>
    <row r="45" spans="1:6" ht="13.5" hidden="1" customHeight="1" x14ac:dyDescent="0.25">
      <c r="C45" s="155">
        <v>45362</v>
      </c>
      <c r="D45" s="155"/>
      <c r="E45" s="158" t="s">
        <v>128</v>
      </c>
    </row>
    <row r="46" spans="1:6" ht="13.5" hidden="1" customHeight="1" x14ac:dyDescent="0.25">
      <c r="C46" s="155">
        <v>45363</v>
      </c>
      <c r="D46" s="155"/>
      <c r="E46" s="158" t="s">
        <v>129</v>
      </c>
    </row>
    <row r="47" spans="1:6" ht="13.5" hidden="1" customHeight="1" x14ac:dyDescent="0.25">
      <c r="C47" s="155">
        <v>45371</v>
      </c>
      <c r="D47" s="155"/>
      <c r="E47" s="158" t="s">
        <v>130</v>
      </c>
    </row>
    <row r="48" spans="1:6" ht="13.5" hidden="1" customHeight="1" x14ac:dyDescent="0.25">
      <c r="C48" s="155">
        <v>45386</v>
      </c>
      <c r="D48" s="155"/>
      <c r="E48" s="158" t="s">
        <v>131</v>
      </c>
    </row>
    <row r="49" spans="1:5" ht="13.5" hidden="1" customHeight="1" x14ac:dyDescent="0.25">
      <c r="A49" s="152" t="s">
        <v>104</v>
      </c>
      <c r="B49" s="152"/>
      <c r="C49" s="153">
        <v>45382</v>
      </c>
      <c r="D49" s="153"/>
      <c r="E49" s="154"/>
    </row>
    <row r="50" spans="1:5" ht="13.5" hidden="1" customHeight="1" x14ac:dyDescent="0.25">
      <c r="C50" s="155">
        <v>45389</v>
      </c>
      <c r="D50" s="155"/>
      <c r="E50" s="158" t="s">
        <v>132</v>
      </c>
    </row>
    <row r="51" spans="1:5" ht="13.5" hidden="1" customHeight="1" x14ac:dyDescent="0.25">
      <c r="C51" s="155">
        <v>45393</v>
      </c>
      <c r="D51" s="155"/>
      <c r="E51" s="158" t="s">
        <v>133</v>
      </c>
    </row>
    <row r="52" spans="1:5" ht="13.5" hidden="1" customHeight="1" x14ac:dyDescent="0.25">
      <c r="C52" s="155">
        <v>45394</v>
      </c>
      <c r="D52" s="155"/>
      <c r="E52" s="158" t="s">
        <v>134</v>
      </c>
    </row>
    <row r="53" spans="1:5" ht="13.5" hidden="1" customHeight="1" x14ac:dyDescent="0.25">
      <c r="C53" s="155">
        <v>45402</v>
      </c>
      <c r="D53" s="155"/>
      <c r="E53" s="158" t="s">
        <v>135</v>
      </c>
    </row>
    <row r="54" spans="1:5" ht="13.5" hidden="1" customHeight="1" x14ac:dyDescent="0.25">
      <c r="C54" s="155">
        <v>45417</v>
      </c>
      <c r="D54" s="155"/>
      <c r="E54" s="158" t="s">
        <v>136</v>
      </c>
    </row>
    <row r="55" spans="1:5" ht="13.5" hidden="1" customHeight="1" x14ac:dyDescent="0.25">
      <c r="A55" s="152" t="s">
        <v>104</v>
      </c>
      <c r="B55" s="152"/>
      <c r="C55" s="153">
        <v>45412</v>
      </c>
      <c r="D55" s="153"/>
      <c r="E55" s="154"/>
    </row>
    <row r="56" spans="1:5" ht="13.5" hidden="1" customHeight="1" x14ac:dyDescent="0.25">
      <c r="C56" s="155">
        <v>45419</v>
      </c>
      <c r="D56" s="155"/>
      <c r="E56" s="158" t="s">
        <v>132</v>
      </c>
    </row>
    <row r="57" spans="1:5" ht="15.6" hidden="1" customHeight="1" x14ac:dyDescent="0.25">
      <c r="C57" s="155">
        <v>45423</v>
      </c>
      <c r="D57" s="155"/>
      <c r="E57" s="158" t="s">
        <v>133</v>
      </c>
    </row>
    <row r="58" spans="1:5" ht="15.6" hidden="1" customHeight="1" x14ac:dyDescent="0.25">
      <c r="C58" s="155">
        <v>45424</v>
      </c>
      <c r="D58" s="155"/>
      <c r="E58" s="158" t="s">
        <v>134</v>
      </c>
    </row>
    <row r="59" spans="1:5" ht="15.6" hidden="1" customHeight="1" x14ac:dyDescent="0.25">
      <c r="C59" s="155">
        <v>45432</v>
      </c>
      <c r="D59" s="155"/>
      <c r="E59" s="158" t="s">
        <v>135</v>
      </c>
    </row>
    <row r="60" spans="1:5" ht="15.6" hidden="1" customHeight="1" x14ac:dyDescent="0.25">
      <c r="C60" s="155">
        <v>45447</v>
      </c>
      <c r="D60" s="155"/>
      <c r="E60" s="159" t="s">
        <v>136</v>
      </c>
    </row>
    <row r="61" spans="1:5" hidden="1" x14ac:dyDescent="0.25"/>
    <row r="62" spans="1:5" hidden="1" x14ac:dyDescent="0.25"/>
    <row r="63" spans="1:5" hidden="1" x14ac:dyDescent="0.25"/>
    <row r="64" spans="1:5" hidden="1" x14ac:dyDescent="0.25"/>
    <row r="65" hidden="1" x14ac:dyDescent="0.25"/>
    <row r="66" hidden="1" x14ac:dyDescent="0.25"/>
  </sheetData>
  <mergeCells count="12">
    <mergeCell ref="C17:C18"/>
    <mergeCell ref="B4:B8"/>
    <mergeCell ref="C4:C5"/>
    <mergeCell ref="C6:C7"/>
    <mergeCell ref="B10:B14"/>
    <mergeCell ref="C10:C11"/>
    <mergeCell ref="C12:C13"/>
    <mergeCell ref="E20:F20"/>
    <mergeCell ref="G20:J20"/>
    <mergeCell ref="F22:F23"/>
    <mergeCell ref="F24:F29"/>
    <mergeCell ref="F30:F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9E43-EEB6-4242-934E-BE851FFC3DC3}">
  <sheetPr codeName="Sheet3"/>
  <dimension ref="A1:N24"/>
  <sheetViews>
    <sheetView workbookViewId="0">
      <selection activeCell="C23" sqref="C23"/>
    </sheetView>
  </sheetViews>
  <sheetFormatPr defaultColWidth="8.7109375" defaultRowHeight="15" outlineLevelCol="1" x14ac:dyDescent="0.25"/>
  <cols>
    <col min="1" max="1" width="26.28515625" style="2" customWidth="1"/>
    <col min="2" max="2" width="19.5703125" style="2" customWidth="1"/>
    <col min="3" max="3" width="22.42578125" style="2" customWidth="1" outlineLevel="1"/>
    <col min="4" max="4" width="17.42578125" style="2" customWidth="1" outlineLevel="1"/>
    <col min="5" max="5" width="15.5703125" style="2" customWidth="1" outlineLevel="1"/>
    <col min="6" max="6" width="17.140625" style="2" customWidth="1" outlineLevel="1"/>
    <col min="7" max="7" width="14.7109375" style="2" customWidth="1" outlineLevel="1"/>
    <col min="8" max="11" width="13" style="2" customWidth="1" outlineLevel="1"/>
    <col min="12" max="12" width="3.140625" style="28" customWidth="1" outlineLevel="1"/>
    <col min="13" max="13" width="25.28515625" style="2" customWidth="1" outlineLevel="1"/>
    <col min="14" max="14" width="19.5703125" style="2" customWidth="1" outlineLevel="1"/>
    <col min="15" max="15" width="13.28515625" style="2" customWidth="1"/>
    <col min="16" max="16384" width="8.7109375" style="2"/>
  </cols>
  <sheetData>
    <row r="1" spans="1:14" ht="43.5" customHeight="1" x14ac:dyDescent="0.25">
      <c r="A1" s="27" t="s">
        <v>64</v>
      </c>
      <c r="B1" s="27" t="s">
        <v>66</v>
      </c>
      <c r="C1" s="36" t="s">
        <v>67</v>
      </c>
      <c r="D1" s="36" t="s">
        <v>68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74</v>
      </c>
      <c r="K1" s="36" t="s">
        <v>75</v>
      </c>
      <c r="L1" s="29"/>
      <c r="M1" s="36" t="s">
        <v>47</v>
      </c>
      <c r="N1" s="36" t="s">
        <v>48</v>
      </c>
    </row>
    <row r="2" spans="1:14" x14ac:dyDescent="0.25">
      <c r="A2" s="13" t="s">
        <v>4</v>
      </c>
      <c r="B2" s="25">
        <f>SUM(C2:K2)</f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29"/>
      <c r="M2" s="31" t="s">
        <v>4</v>
      </c>
      <c r="N2" s="31" t="s">
        <v>49</v>
      </c>
    </row>
    <row r="3" spans="1:14" x14ac:dyDescent="0.25">
      <c r="A3" s="13" t="s">
        <v>9</v>
      </c>
      <c r="B3" s="25">
        <f>SUM(C3:K3)</f>
        <v>1</v>
      </c>
      <c r="C3" s="30">
        <v>0</v>
      </c>
      <c r="D3" s="30">
        <v>0</v>
      </c>
      <c r="E3" s="30">
        <v>0</v>
      </c>
      <c r="F3" s="30">
        <v>1</v>
      </c>
      <c r="G3" s="32">
        <v>0</v>
      </c>
      <c r="H3" s="30">
        <v>0</v>
      </c>
      <c r="I3" s="30">
        <v>0</v>
      </c>
      <c r="J3" s="30">
        <v>0</v>
      </c>
      <c r="K3" s="30">
        <v>0</v>
      </c>
      <c r="L3" s="29"/>
      <c r="M3" s="31" t="s">
        <v>9</v>
      </c>
      <c r="N3" s="31" t="s">
        <v>50</v>
      </c>
    </row>
    <row r="4" spans="1:14" x14ac:dyDescent="0.25">
      <c r="A4" s="13" t="s">
        <v>14</v>
      </c>
      <c r="B4" s="25">
        <f>SUM(C4:K4)</f>
        <v>22</v>
      </c>
      <c r="C4" s="30">
        <v>0</v>
      </c>
      <c r="D4" s="30">
        <v>3</v>
      </c>
      <c r="E4" s="30">
        <v>3</v>
      </c>
      <c r="F4" s="30">
        <v>3</v>
      </c>
      <c r="G4" s="30">
        <v>1</v>
      </c>
      <c r="H4" s="30">
        <v>3</v>
      </c>
      <c r="I4" s="30">
        <v>2</v>
      </c>
      <c r="J4" s="30">
        <v>4</v>
      </c>
      <c r="K4" s="30">
        <v>3</v>
      </c>
      <c r="L4" s="29"/>
      <c r="M4" s="31" t="s">
        <v>14</v>
      </c>
      <c r="N4" s="31" t="s">
        <v>51</v>
      </c>
    </row>
    <row r="5" spans="1:14" x14ac:dyDescent="0.25">
      <c r="A5" s="13" t="s">
        <v>52</v>
      </c>
      <c r="B5" s="25">
        <f>SUM(C5:K5)</f>
        <v>22</v>
      </c>
      <c r="C5" s="30">
        <v>0</v>
      </c>
      <c r="D5" s="30">
        <v>3</v>
      </c>
      <c r="E5" s="30">
        <v>3</v>
      </c>
      <c r="F5" s="30">
        <v>3</v>
      </c>
      <c r="G5" s="30">
        <v>1</v>
      </c>
      <c r="H5" s="30">
        <v>3</v>
      </c>
      <c r="I5" s="30">
        <v>2</v>
      </c>
      <c r="J5" s="30">
        <v>4</v>
      </c>
      <c r="K5" s="30">
        <v>3</v>
      </c>
      <c r="L5" s="29"/>
      <c r="M5" s="31" t="s">
        <v>52</v>
      </c>
      <c r="N5" s="31" t="s">
        <v>53</v>
      </c>
    </row>
    <row r="6" spans="1:14" x14ac:dyDescent="0.25">
      <c r="A6" s="21"/>
      <c r="B6" s="28"/>
      <c r="C6" s="33"/>
      <c r="D6" s="33"/>
      <c r="E6" s="33"/>
      <c r="F6" s="33"/>
      <c r="G6" s="33"/>
      <c r="H6" s="33"/>
      <c r="I6" s="33"/>
      <c r="J6" s="33"/>
      <c r="K6" s="33"/>
      <c r="L6" s="29"/>
      <c r="M6" s="34"/>
      <c r="N6" s="34"/>
    </row>
    <row r="7" spans="1:14" ht="39.950000000000003" customHeight="1" x14ac:dyDescent="0.25">
      <c r="A7" s="27" t="s">
        <v>65</v>
      </c>
      <c r="B7" s="27" t="s">
        <v>66</v>
      </c>
      <c r="C7" s="36" t="s">
        <v>67</v>
      </c>
      <c r="D7" s="36" t="s">
        <v>68</v>
      </c>
      <c r="E7" s="36" t="s">
        <v>69</v>
      </c>
      <c r="F7" s="36" t="s">
        <v>70</v>
      </c>
      <c r="G7" s="36" t="s">
        <v>71</v>
      </c>
      <c r="H7" s="36" t="s">
        <v>72</v>
      </c>
      <c r="I7" s="36" t="s">
        <v>73</v>
      </c>
      <c r="J7" s="36" t="s">
        <v>74</v>
      </c>
      <c r="K7" s="36" t="s">
        <v>75</v>
      </c>
      <c r="L7" s="29"/>
      <c r="M7" s="36" t="s">
        <v>54</v>
      </c>
      <c r="N7" s="36" t="s">
        <v>55</v>
      </c>
    </row>
    <row r="8" spans="1:14" x14ac:dyDescent="0.25">
      <c r="A8" s="13" t="s">
        <v>4</v>
      </c>
      <c r="B8" s="25">
        <f>SUM(C8:K8)</f>
        <v>4</v>
      </c>
      <c r="C8" s="30">
        <v>4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29"/>
      <c r="M8" s="31" t="s">
        <v>56</v>
      </c>
      <c r="N8" s="31">
        <v>56</v>
      </c>
    </row>
    <row r="9" spans="1:14" ht="18.600000000000001" customHeight="1" x14ac:dyDescent="0.25">
      <c r="A9" s="13" t="s">
        <v>9</v>
      </c>
      <c r="B9" s="25">
        <f>SUM(C9:K9)</f>
        <v>5</v>
      </c>
      <c r="C9" s="30">
        <f>N16</f>
        <v>4</v>
      </c>
      <c r="D9" s="30">
        <v>0</v>
      </c>
      <c r="E9" s="30">
        <v>0</v>
      </c>
      <c r="F9" s="30">
        <v>1</v>
      </c>
      <c r="G9" s="32">
        <v>0</v>
      </c>
      <c r="H9" s="30">
        <v>0</v>
      </c>
      <c r="I9" s="30">
        <v>0</v>
      </c>
      <c r="J9" s="30">
        <v>0</v>
      </c>
      <c r="K9" s="30">
        <v>0</v>
      </c>
      <c r="L9" s="29"/>
      <c r="M9" s="31" t="s">
        <v>57</v>
      </c>
      <c r="N9" s="31">
        <v>72</v>
      </c>
    </row>
    <row r="10" spans="1:14" x14ac:dyDescent="0.25">
      <c r="A10" s="13" t="s">
        <v>14</v>
      </c>
      <c r="B10" s="25">
        <f>SUM(C10:K10)</f>
        <v>26</v>
      </c>
      <c r="C10" s="30">
        <f>N16</f>
        <v>4</v>
      </c>
      <c r="D10" s="30">
        <v>3</v>
      </c>
      <c r="E10" s="30">
        <v>3</v>
      </c>
      <c r="F10" s="30">
        <v>3</v>
      </c>
      <c r="G10" s="30">
        <v>1</v>
      </c>
      <c r="H10" s="30">
        <v>3</v>
      </c>
      <c r="I10" s="30">
        <v>2</v>
      </c>
      <c r="J10" s="30">
        <v>4</v>
      </c>
      <c r="K10" s="30">
        <v>3</v>
      </c>
      <c r="L10" s="29"/>
      <c r="M10" s="34"/>
      <c r="N10" s="34"/>
    </row>
    <row r="11" spans="1:14" x14ac:dyDescent="0.25">
      <c r="A11" s="13" t="s">
        <v>52</v>
      </c>
      <c r="B11" s="25">
        <f>SUM(C11:K11)</f>
        <v>26</v>
      </c>
      <c r="C11" s="30">
        <f>N16</f>
        <v>4</v>
      </c>
      <c r="D11" s="30">
        <v>3</v>
      </c>
      <c r="E11" s="30">
        <v>3</v>
      </c>
      <c r="F11" s="30">
        <v>3</v>
      </c>
      <c r="G11" s="30">
        <v>1</v>
      </c>
      <c r="H11" s="30">
        <v>3</v>
      </c>
      <c r="I11" s="30">
        <v>2</v>
      </c>
      <c r="J11" s="30">
        <v>4</v>
      </c>
      <c r="K11" s="30">
        <v>3</v>
      </c>
      <c r="L11" s="29"/>
      <c r="M11" s="36" t="s">
        <v>58</v>
      </c>
      <c r="N11" s="36" t="s">
        <v>48</v>
      </c>
    </row>
    <row r="12" spans="1:14" x14ac:dyDescent="0.25">
      <c r="C12" s="35"/>
      <c r="D12" s="35"/>
      <c r="E12" s="35"/>
      <c r="F12" s="35"/>
      <c r="G12" s="35"/>
      <c r="H12" s="35"/>
      <c r="I12" s="35"/>
      <c r="J12" s="35"/>
      <c r="K12" s="35"/>
      <c r="L12" s="29"/>
      <c r="M12" s="31" t="s">
        <v>59</v>
      </c>
      <c r="N12" s="31">
        <v>0.5</v>
      </c>
    </row>
    <row r="13" spans="1:14" x14ac:dyDescent="0.25">
      <c r="C13" s="35"/>
      <c r="D13" s="35"/>
      <c r="E13" s="35"/>
      <c r="F13" s="35"/>
      <c r="G13" s="35"/>
      <c r="H13" s="35"/>
      <c r="I13" s="35"/>
      <c r="J13" s="35"/>
      <c r="K13" s="35"/>
      <c r="L13" s="29"/>
      <c r="M13" s="31" t="s">
        <v>60</v>
      </c>
      <c r="N13" s="31">
        <v>0.5</v>
      </c>
    </row>
    <row r="14" spans="1:14" x14ac:dyDescent="0.25">
      <c r="C14" s="35"/>
      <c r="D14" s="35"/>
      <c r="E14" s="35"/>
      <c r="F14" s="35"/>
      <c r="G14" s="35"/>
      <c r="H14" s="35"/>
      <c r="I14" s="35"/>
      <c r="J14" s="35"/>
      <c r="K14" s="35"/>
      <c r="L14" s="29"/>
      <c r="M14" s="31" t="s">
        <v>61</v>
      </c>
      <c r="N14" s="31">
        <v>1</v>
      </c>
    </row>
    <row r="15" spans="1:14" ht="30" x14ac:dyDescent="0.25">
      <c r="C15" s="35"/>
      <c r="D15" s="35"/>
      <c r="E15" s="35"/>
      <c r="F15" s="35"/>
      <c r="G15" s="35"/>
      <c r="H15" s="35"/>
      <c r="I15" s="35"/>
      <c r="J15" s="35"/>
      <c r="K15" s="35"/>
      <c r="L15" s="29"/>
      <c r="M15" s="31" t="s">
        <v>62</v>
      </c>
      <c r="N15" s="31">
        <v>2</v>
      </c>
    </row>
    <row r="16" spans="1:14" x14ac:dyDescent="0.25">
      <c r="C16" s="35"/>
      <c r="D16" s="35"/>
      <c r="E16" s="35"/>
      <c r="F16" s="35"/>
      <c r="G16" s="35"/>
      <c r="H16" s="35"/>
      <c r="I16" s="35"/>
      <c r="J16" s="35"/>
      <c r="K16" s="35"/>
      <c r="L16" s="29"/>
      <c r="M16" s="36" t="s">
        <v>63</v>
      </c>
      <c r="N16" s="36">
        <f>SUM(N12:N15)</f>
        <v>4</v>
      </c>
    </row>
    <row r="18" ht="50.45" customHeight="1" x14ac:dyDescent="0.25"/>
    <row r="24" ht="44.45" customHeight="1" x14ac:dyDescent="0.25"/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49e5e9-1e81-4b72-a66e-f1374e2d088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C82569EAF0E44A7C4D98C2E9EACC8" ma:contentTypeVersion="16" ma:contentTypeDescription="Create a new document." ma:contentTypeScope="" ma:versionID="b2ded8c04f00bd657be496d33b1e5cf1">
  <xsd:schema xmlns:xsd="http://www.w3.org/2001/XMLSchema" xmlns:xs="http://www.w3.org/2001/XMLSchema" xmlns:p="http://schemas.microsoft.com/office/2006/metadata/properties" xmlns:ns3="4949e5e9-1e81-4b72-a66e-f1374e2d0885" xmlns:ns4="23ac571e-07c6-466b-a111-4eef3a5b01de" targetNamespace="http://schemas.microsoft.com/office/2006/metadata/properties" ma:root="true" ma:fieldsID="31f55022f176ccccc677ba9ecec9a6ba" ns3:_="" ns4:_="">
    <xsd:import namespace="4949e5e9-1e81-4b72-a66e-f1374e2d0885"/>
    <xsd:import namespace="23ac571e-07c6-466b-a111-4eef3a5b01d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9e5e9-1e81-4b72-a66e-f1374e2d088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ac571e-07c6-466b-a111-4eef3a5b01de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065EA8-C803-4A7B-A5E2-1362BBA15C69}">
  <ds:schemaRefs>
    <ds:schemaRef ds:uri="23ac571e-07c6-466b-a111-4eef3a5b01de"/>
    <ds:schemaRef ds:uri="4949e5e9-1e81-4b72-a66e-f1374e2d0885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509AA64-8ECE-4B4F-9119-C5DD55ED38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4CC938-B896-45B5-934F-CED5A49FB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49e5e9-1e81-4b72-a66e-f1374e2d0885"/>
    <ds:schemaRef ds:uri="23ac571e-07c6-466b-a111-4eef3a5b0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comparison</vt:lpstr>
      <vt:lpstr>Sheet1</vt:lpstr>
      <vt:lpstr>Curve comparison</vt:lpstr>
      <vt:lpstr>LD comparison</vt:lpstr>
      <vt:lpstr>Advance Notice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To Thai</dc:creator>
  <cp:lastModifiedBy>Nguyễn Đức Thủy</cp:lastModifiedBy>
  <dcterms:created xsi:type="dcterms:W3CDTF">2023-10-25T02:38:33Z</dcterms:created>
  <dcterms:modified xsi:type="dcterms:W3CDTF">2025-09-05T14:27:47Z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0x010100B1AC82569EAF0E44A7C4D98C2E9EACC8</vt:lpwstr>
  </property>
</Properties>
</file>