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naldAirey\source\repos\quadratically-expanding-space\Models\"/>
    </mc:Choice>
  </mc:AlternateContent>
  <xr:revisionPtr revIDLastSave="0" documentId="13_ncr:1_{88557B48-48CA-4EA5-9001-4217E628D064}" xr6:coauthVersionLast="47" xr6:coauthVersionMax="47" xr10:uidLastSave="{00000000-0000-0000-0000-000000000000}"/>
  <bookViews>
    <workbookView xWindow="25695" yWindow="0" windowWidth="26010" windowHeight="20985" activeTab="5" xr2:uid="{00000000-000D-0000-FFFF-FFFF00000000}"/>
  </bookViews>
  <sheets>
    <sheet name="Constants" sheetId="1" r:id="rId1"/>
    <sheet name="SNe Ia Data" sheetId="3" r:id="rId2"/>
    <sheet name="SNe Ia Model" sheetId="14" r:id="rId3"/>
    <sheet name="Tau" sheetId="226" r:id="rId4"/>
    <sheet name="Recombination" sheetId="224" r:id="rId5"/>
    <sheet name="Geometry" sheetId="111" r:id="rId6"/>
    <sheet name="Rotation Curves" sheetId="220" r:id="rId7"/>
    <sheet name="BTFR Data" sheetId="115" r:id="rId8"/>
    <sheet name="Scale Factor" sheetId="227" r:id="rId9"/>
  </sheets>
  <externalReferences>
    <externalReference r:id="rId10"/>
  </externalReferences>
  <definedNames>
    <definedName name="accel">Tau!$B$1</definedName>
    <definedName name="Age">Constants!$B$27</definedName>
    <definedName name="AgeOfCMB" localSheetId="5">Geometry!$B$7</definedName>
    <definedName name="AngularScale" localSheetId="5">Geometry!$B$8</definedName>
    <definedName name="BaryonDensity">Geometry!$B$4</definedName>
    <definedName name="BoltzmannConstant">Constants!$B$15</definedName>
    <definedName name="BulgeMass" localSheetId="6">'Rotation Curves'!$C:$C</definedName>
    <definedName name="CMBTemperature">Constants!$B$13</definedName>
    <definedName name="Color" localSheetId="1">'SNe Ia Data'!$H:$H</definedName>
    <definedName name="ColorError" localSheetId="1">'SNe Ia Data'!$I:$I</definedName>
    <definedName name="ConstantOfIntegration">[1]Constants!$B$27</definedName>
    <definedName name="ConversionFactor">Constants!#REF!</definedName>
    <definedName name="CoreMass" localSheetId="6">'Rotation Curves'!$B$3</definedName>
    <definedName name="CoreRadius" localSheetId="6">'Rotation Curves'!$B$2</definedName>
    <definedName name="CriticalDensity">Constants!#REF!</definedName>
    <definedName name="Curvature" localSheetId="5">Geometry!#REF!</definedName>
    <definedName name="Density" localSheetId="6">'Rotation Curves'!$B$4</definedName>
    <definedName name="Deprojection">#REF!</definedName>
    <definedName name="DiskMass" localSheetId="6">'Rotation Curves'!#REF!</definedName>
    <definedName name="DiskScaleLengthPc" localSheetId="6">'Rotation Curves'!$C$112</definedName>
    <definedName name="DistanceSurfaceLastScattering" localSheetId="5">Geometry!$B$6</definedName>
    <definedName name="ElectronMass">Constants!$B$32</definedName>
    <definedName name="errorMass">'BTFR Data'!$M:$M</definedName>
    <definedName name="Gpc">Constants!$B$5</definedName>
    <definedName name="GravitationalConstant">Constants!$B$14</definedName>
    <definedName name="Gyr">Constants!$B$9</definedName>
    <definedName name="HaloMass" localSheetId="6">'Rotation Curves'!#REF!</definedName>
    <definedName name="HeliumAbundance">Constants!$B$37</definedName>
    <definedName name="HeliumMass">Constants!$B$35</definedName>
    <definedName name="HubbleConstant">Constants!$B$22</definedName>
    <definedName name="HubbleConstantCMB">Constants!$B$20</definedName>
    <definedName name="HubbleConstantSNe">Constants!$B$21</definedName>
    <definedName name="HubbleFunction" localSheetId="8">'Scale Factor'!$F:$F</definedName>
    <definedName name="HydrogenAbundance">Constants!$B$36</definedName>
    <definedName name="HydrogenMass">Constants!$B$34</definedName>
    <definedName name="InitialTangentVelocity">Constants!$B$28</definedName>
    <definedName name="km">Constants!$B$1</definedName>
    <definedName name="kpc">Constants!$B$3</definedName>
    <definedName name="kyr">Constants!$B$7</definedName>
    <definedName name="LCDMAge">Constants!$B$25</definedName>
    <definedName name="LCDMBulgeEffectiveRadius" localSheetId="6">'Rotation Curves'!$C$110</definedName>
    <definedName name="LCDMDiskSurfaceDensity" localSheetId="6">'Rotation Curves'!$B$117</definedName>
    <definedName name="LCDMHaloRepresentativeDensity" localSheetId="6">'Rotation Curves'!$B$118</definedName>
    <definedName name="LCDMHaloScaleLengthPc" localSheetId="6">'Rotation Curves'!$C$114</definedName>
    <definedName name="LCDMModelBER" localSheetId="6">'Rotation Curves'!$B$110</definedName>
    <definedName name="LCDMModelBTM" localSheetId="6">'Rotation Curves'!$B$111</definedName>
    <definedName name="LCDMModelChiSquare" localSheetId="6">'Rotation Curves'!$H$219</definedName>
    <definedName name="LCDMModelDSR" localSheetId="6">'Rotation Curves'!$B$112</definedName>
    <definedName name="LCDMModelDTM" localSheetId="6">'Rotation Curves'!$B$113</definedName>
    <definedName name="LCDMModelHSR" localSheetId="6">'Rotation Curves'!$B$114</definedName>
    <definedName name="LCDMModelHTM" localSheetId="6">'Rotation Curves'!$B$115</definedName>
    <definedName name="LCDMRedshift">Constants!$B$24</definedName>
    <definedName name="LCDMScaleLength" localSheetId="6">'Rotation Curves'!$C$112</definedName>
    <definedName name="LCDMTotalBulgeMass" localSheetId="6">'Rotation Curves'!$C$111</definedName>
    <definedName name="LightTravelDistance" localSheetId="5">Geometry!$B:$B</definedName>
    <definedName name="LightYear">Constants!$B$12</definedName>
    <definedName name="Mag">'SNe Ia Data'!$A$8</definedName>
    <definedName name="MassToLuminosity" localSheetId="6">'Rotation Curves'!#REF!</definedName>
    <definedName name="Mb" localSheetId="1">'SNe Ia Data'!$B$4</definedName>
    <definedName name="MeanObservedDistanceModuli" localSheetId="1">'SNe Ia Data'!$L$483</definedName>
    <definedName name="MeanObservedLuminousDistance">'SNe Ia Data'!$M$483</definedName>
    <definedName name="ModelVelocity" localSheetId="6">'Rotation Curves'!$G:$G</definedName>
    <definedName name="Mpc">Constants!$B$4</definedName>
    <definedName name="Myr">Constants!$B$8</definedName>
    <definedName name="ObservedDistanceModuli">'SNe Ia Data'!$L:$L</definedName>
    <definedName name="ObservedLuminousDistance">'SNe Ia Data'!$M:$M</definedName>
    <definedName name="observedMass">'BTFR Data'!$K:$K</definedName>
    <definedName name="ObservedVelocity" localSheetId="6">'Rotation Curves'!$E:$E</definedName>
    <definedName name="ObservedVelocityM">#REF!</definedName>
    <definedName name="pc">Constants!$B$2</definedName>
    <definedName name="PeakMagnitude" localSheetId="1">'SNe Ia Data'!$D:$D</definedName>
    <definedName name="PeakMagnitudeError" localSheetId="1">'SNe Ia Data'!$E:$E</definedName>
    <definedName name="PlanckAngularScale">Constants!$B$23</definedName>
    <definedName name="PlanckConstant">Constants!$B$16</definedName>
    <definedName name="predictedMass">'BTFR Data'!$L:$L</definedName>
    <definedName name="ProtonMass">Constants!$B$33</definedName>
    <definedName name="QEHModelChiSquare" localSheetId="6">'Rotation Curves'!$H$107</definedName>
    <definedName name="QESDiskSurfaceDensity" localSheetId="6">'Rotation Curves'!$B$5</definedName>
    <definedName name="QESLuminousDistance">'SNe Ia Data'!$N:$N</definedName>
    <definedName name="QESRedShift" localSheetId="5">Geometry!$B$3</definedName>
    <definedName name="RadiationDensityConstant">Constants!$B$19</definedName>
    <definedName name="RadiusKm" localSheetId="6">'Rotation Curves'!$B:$B</definedName>
    <definedName name="RadiusKpc" localSheetId="6">'Rotation Curves'!$A:$A</definedName>
    <definedName name="RadiusOfCurvature" localSheetId="5">Geometry!#REF!</definedName>
    <definedName name="RadiusPc" localSheetId="6">'Rotation Curves'!#REF!</definedName>
    <definedName name="RedShift" localSheetId="1">'SNe Ia Data'!$B:$B</definedName>
    <definedName name="RedShift">'Scale Factor'!$C:$C</definedName>
    <definedName name="ReducedPlanckConstant">Constants!$B$17</definedName>
    <definedName name="ScaleFactor" localSheetId="8">'Scale Factor'!$D:$D</definedName>
    <definedName name="ScatterError" localSheetId="1">'SNe Ia Data'!$J:$J</definedName>
    <definedName name="second">Tau!$B:$B</definedName>
    <definedName name="SecondsPerYear">Constants!$B$6</definedName>
    <definedName name="SolarLuminosity">Constants!$B$31</definedName>
    <definedName name="SolarMass">Constants!$B$30</definedName>
    <definedName name="SoundHorizon">Geometry!$B$5</definedName>
    <definedName name="StefanBoltzmannConstant">Constants!$B$18</definedName>
    <definedName name="Stretch" localSheetId="1">'SNe Ia Data'!$F:$F</definedName>
    <definedName name="StretchError" localSheetId="1">'SNe Ia Data'!$G:$G</definedName>
    <definedName name="StretchParameter">'SNe Ia Data'!$M:$M</definedName>
    <definedName name="T2DistanceModuli" localSheetId="1">'SNe Ia Data'!$P:$P</definedName>
    <definedName name="T2LuminousDistance">'SNe Ia Data'!$O:$O</definedName>
    <definedName name="tau">Tau!$F:$F</definedName>
    <definedName name="time" localSheetId="8">'Scale Factor'!$A:$A</definedName>
    <definedName name="time" localSheetId="3">Tau!$A:$A</definedName>
    <definedName name="TotalError" localSheetId="1">'SNe Ia Data'!$K:$K</definedName>
    <definedName name="TotalMass" localSheetId="6">'Rotation Curves'!$D:$D</definedName>
    <definedName name="UniverseAcceleration">Constants!$B$26</definedName>
    <definedName name="UniverseSize">Constants!$B$29</definedName>
    <definedName name="veloc">Tau!$B$2</definedName>
    <definedName name="velocity">'BTFR Data'!$C:$C</definedName>
    <definedName name="VelocityError" localSheetId="6">'Rotation Curves'!$F:$F</definedName>
    <definedName name="VelocityOfLight">Constants!$B$10</definedName>
    <definedName name="ZError">'SNe Ia Data'!$C:$C</definedName>
    <definedName name="Zeta3">Constants!$B$38</definedName>
    <definedName name="α" localSheetId="1">'SNe Ia Data'!$B$2</definedName>
    <definedName name="β" localSheetId="1">'SNe Ia Data'!$B$3</definedName>
    <definedName name="ΛCDMDistanceModuli" localSheetId="1">'SNe Ia Data'!$T:$T</definedName>
    <definedName name="ΛCDMLuminousDistance" localSheetId="1">'SNe Ia Data'!$S:$S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11" l="1"/>
  <c r="B7" i="111"/>
  <c r="B28" i="1"/>
  <c r="B39" i="1" s="1"/>
  <c r="E44" i="1"/>
  <c r="B43" i="1"/>
  <c r="E43" i="1" s="1"/>
  <c r="C3" i="220"/>
  <c r="A10" i="220"/>
  <c r="A11" i="220" s="1"/>
  <c r="A12" i="220" s="1"/>
  <c r="A13" i="220" s="1"/>
  <c r="A14" i="220" s="1"/>
  <c r="A15" i="220" s="1"/>
  <c r="A16" i="220" s="1"/>
  <c r="A17" i="220" s="1"/>
  <c r="A18" i="220" s="1"/>
  <c r="A19" i="220" s="1"/>
  <c r="A20" i="220" s="1"/>
  <c r="A21" i="220" s="1"/>
  <c r="A22" i="220" s="1"/>
  <c r="A23" i="220" s="1"/>
  <c r="A24" i="220" s="1"/>
  <c r="A25" i="220" s="1"/>
  <c r="A26" i="220" s="1"/>
  <c r="A27" i="220" s="1"/>
  <c r="A28" i="220" s="1"/>
  <c r="A29" i="220" s="1"/>
  <c r="A30" i="220" s="1"/>
  <c r="A31" i="220" s="1"/>
  <c r="A32" i="220" s="1"/>
  <c r="A33" i="220" s="1"/>
  <c r="A34" i="220" s="1"/>
  <c r="A35" i="220" s="1"/>
  <c r="A36" i="220" s="1"/>
  <c r="A37" i="220" s="1"/>
  <c r="A38" i="220" s="1"/>
  <c r="A39" i="220" s="1"/>
  <c r="A40" i="220" s="1"/>
  <c r="A41" i="220" s="1"/>
  <c r="A42" i="220" s="1"/>
  <c r="A43" i="220" s="1"/>
  <c r="A44" i="220" s="1"/>
  <c r="A45" i="220" s="1"/>
  <c r="A46" i="220" s="1"/>
  <c r="A47" i="220" s="1"/>
  <c r="A48" i="220" s="1"/>
  <c r="A49" i="220" s="1"/>
  <c r="A50" i="220" s="1"/>
  <c r="A51" i="220" s="1"/>
  <c r="A52" i="220" s="1"/>
  <c r="A53" i="220" s="1"/>
  <c r="A54" i="220" s="1"/>
  <c r="A55" i="220" s="1"/>
  <c r="A56" i="220" s="1"/>
  <c r="A57" i="220" s="1"/>
  <c r="A58" i="220" s="1"/>
  <c r="A59" i="220" s="1"/>
  <c r="A60" i="220" s="1"/>
  <c r="A61" i="220" s="1"/>
  <c r="A62" i="220" s="1"/>
  <c r="A63" i="220" s="1"/>
  <c r="A64" i="220" s="1"/>
  <c r="A65" i="220" s="1"/>
  <c r="A66" i="220" s="1"/>
  <c r="A67" i="220" s="1"/>
  <c r="A68" i="220" s="1"/>
  <c r="A69" i="220" s="1"/>
  <c r="A70" i="220" s="1"/>
  <c r="A71" i="220" s="1"/>
  <c r="A72" i="220" s="1"/>
  <c r="A73" i="220" s="1"/>
  <c r="A74" i="220" s="1"/>
  <c r="A75" i="220" s="1"/>
  <c r="A76" i="220" s="1"/>
  <c r="A77" i="220" s="1"/>
  <c r="A78" i="220" s="1"/>
  <c r="A79" i="220" s="1"/>
  <c r="A80" i="220" s="1"/>
  <c r="A81" i="220" s="1"/>
  <c r="A82" i="220" s="1"/>
  <c r="A83" i="220" s="1"/>
  <c r="A84" i="220" s="1"/>
  <c r="A85" i="220" s="1"/>
  <c r="A86" i="220" s="1"/>
  <c r="A87" i="220" s="1"/>
  <c r="A88" i="220" s="1"/>
  <c r="A89" i="220" s="1"/>
  <c r="A90" i="220" s="1"/>
  <c r="A91" i="220" s="1"/>
  <c r="A92" i="220" s="1"/>
  <c r="A93" i="220" s="1"/>
  <c r="A94" i="220" s="1"/>
  <c r="A95" i="220" s="1"/>
  <c r="A96" i="220" s="1"/>
  <c r="A97" i="220" s="1"/>
  <c r="A98" i="220" s="1"/>
  <c r="A99" i="220" s="1"/>
  <c r="A100" i="220" s="1"/>
  <c r="A101" i="220" s="1"/>
  <c r="A102" i="220" s="1"/>
  <c r="A103" i="220" s="1"/>
  <c r="A104" i="220" s="1"/>
  <c r="A105" i="220" s="1"/>
  <c r="A106" i="220" s="1"/>
  <c r="C106" i="220" s="1"/>
  <c r="A2" i="227"/>
  <c r="A3" i="227" s="1"/>
  <c r="A64" i="227"/>
  <c r="A43" i="227"/>
  <c r="A23" i="227"/>
  <c r="F44" i="1" l="1"/>
  <c r="G44" i="1" s="1"/>
  <c r="B6" i="111"/>
  <c r="B8" i="111" s="1"/>
  <c r="B29" i="1"/>
  <c r="C66" i="220"/>
  <c r="C90" i="220"/>
  <c r="C51" i="220"/>
  <c r="C54" i="220"/>
  <c r="C29" i="220"/>
  <c r="C52" i="220"/>
  <c r="C28" i="220"/>
  <c r="C99" i="220"/>
  <c r="C75" i="220"/>
  <c r="C26" i="220"/>
  <c r="C102" i="220"/>
  <c r="C77" i="220"/>
  <c r="C100" i="220"/>
  <c r="C40" i="220"/>
  <c r="C25" i="220"/>
  <c r="C89" i="220"/>
  <c r="C53" i="220"/>
  <c r="C64" i="220"/>
  <c r="C73" i="220"/>
  <c r="C49" i="220"/>
  <c r="C84" i="220"/>
  <c r="C72" i="220"/>
  <c r="C60" i="220"/>
  <c r="C48" i="220"/>
  <c r="C36" i="220"/>
  <c r="C24" i="220"/>
  <c r="C78" i="220"/>
  <c r="C42" i="220"/>
  <c r="C65" i="220"/>
  <c r="C76" i="220"/>
  <c r="C86" i="220"/>
  <c r="C62" i="220"/>
  <c r="C97" i="220"/>
  <c r="C61" i="220"/>
  <c r="C83" i="220"/>
  <c r="C101" i="220"/>
  <c r="C41" i="220"/>
  <c r="C88" i="220"/>
  <c r="C96" i="220"/>
  <c r="C71" i="220"/>
  <c r="C47" i="220"/>
  <c r="C35" i="220"/>
  <c r="C94" i="220"/>
  <c r="C82" i="220"/>
  <c r="C70" i="220"/>
  <c r="C58" i="220"/>
  <c r="C46" i="220"/>
  <c r="C34" i="220"/>
  <c r="C30" i="220"/>
  <c r="C93" i="220"/>
  <c r="C81" i="220"/>
  <c r="C69" i="220"/>
  <c r="C57" i="220"/>
  <c r="C45" i="220"/>
  <c r="C33" i="220"/>
  <c r="C59" i="220"/>
  <c r="C105" i="220"/>
  <c r="C104" i="220"/>
  <c r="C92" i="220"/>
  <c r="C80" i="220"/>
  <c r="C68" i="220"/>
  <c r="C56" i="220"/>
  <c r="C44" i="220"/>
  <c r="C32" i="220"/>
  <c r="C87" i="220"/>
  <c r="C63" i="220"/>
  <c r="C39" i="220"/>
  <c r="C27" i="220"/>
  <c r="C98" i="220"/>
  <c r="C74" i="220"/>
  <c r="C50" i="220"/>
  <c r="C38" i="220"/>
  <c r="C85" i="220"/>
  <c r="C37" i="220"/>
  <c r="C95" i="220"/>
  <c r="C103" i="220"/>
  <c r="C91" i="220"/>
  <c r="C79" i="220"/>
  <c r="C67" i="220"/>
  <c r="C55" i="220"/>
  <c r="C43" i="220"/>
  <c r="C31" i="220"/>
  <c r="E3" i="227"/>
  <c r="F23" i="227"/>
  <c r="E43" i="227"/>
  <c r="D43" i="227"/>
  <c r="F43" i="227"/>
  <c r="A44" i="227"/>
  <c r="D64" i="227"/>
  <c r="E64" i="227"/>
  <c r="C64" i="227"/>
  <c r="F64" i="227"/>
  <c r="C43" i="227"/>
  <c r="D23" i="227"/>
  <c r="E23" i="227"/>
  <c r="D3" i="227"/>
  <c r="C3" i="227" s="1"/>
  <c r="E2" i="227"/>
  <c r="F2" i="227"/>
  <c r="D2" i="227"/>
  <c r="C2" i="227" s="1"/>
  <c r="F3" i="227"/>
  <c r="A4" i="227"/>
  <c r="C23" i="227" l="1"/>
  <c r="F44" i="227"/>
  <c r="A45" i="227"/>
  <c r="C45" i="227" s="1"/>
  <c r="D44" i="227"/>
  <c r="C44" i="227"/>
  <c r="E44" i="227"/>
  <c r="D4" i="227"/>
  <c r="F4" i="227"/>
  <c r="E4" i="227"/>
  <c r="A5" i="227"/>
  <c r="C4" i="227" l="1"/>
  <c r="D45" i="227"/>
  <c r="E45" i="227"/>
  <c r="F45" i="227"/>
  <c r="A46" i="227"/>
  <c r="D5" i="227"/>
  <c r="F5" i="227"/>
  <c r="E5" i="227"/>
  <c r="A6" i="227"/>
  <c r="C5" i="227" l="1"/>
  <c r="A47" i="227"/>
  <c r="E47" i="227" s="1"/>
  <c r="E46" i="227"/>
  <c r="F46" i="227"/>
  <c r="C46" i="227"/>
  <c r="D46" i="227"/>
  <c r="E6" i="227"/>
  <c r="D6" i="227"/>
  <c r="F6" i="227"/>
  <c r="A7" i="227"/>
  <c r="A48" i="227" l="1"/>
  <c r="E48" i="227" s="1"/>
  <c r="D47" i="227"/>
  <c r="C6" i="227"/>
  <c r="F47" i="227"/>
  <c r="C47" i="227"/>
  <c r="E7" i="227"/>
  <c r="D7" i="227"/>
  <c r="F7" i="227"/>
  <c r="A8" i="227"/>
  <c r="D48" i="227" l="1"/>
  <c r="A49" i="227"/>
  <c r="E49" i="227" s="1"/>
  <c r="F48" i="227"/>
  <c r="C48" i="227"/>
  <c r="C7" i="227"/>
  <c r="E8" i="227"/>
  <c r="D8" i="227"/>
  <c r="F8" i="227"/>
  <c r="A9" i="227"/>
  <c r="A50" i="227" l="1"/>
  <c r="F50" i="227" s="1"/>
  <c r="D49" i="227"/>
  <c r="C49" i="227"/>
  <c r="F49" i="227"/>
  <c r="C8" i="227"/>
  <c r="E9" i="227"/>
  <c r="D9" i="227"/>
  <c r="F9" i="227"/>
  <c r="A10" i="227"/>
  <c r="C50" i="227" l="1"/>
  <c r="A51" i="227"/>
  <c r="A52" i="227" s="1"/>
  <c r="E50" i="227"/>
  <c r="D50" i="227"/>
  <c r="C9" i="227"/>
  <c r="E10" i="227"/>
  <c r="D10" i="227"/>
  <c r="F10" i="227"/>
  <c r="A11" i="227"/>
  <c r="C51" i="227" l="1"/>
  <c r="D51" i="227"/>
  <c r="E51" i="227"/>
  <c r="F51" i="227"/>
  <c r="C10" i="227"/>
  <c r="C52" i="227"/>
  <c r="F52" i="227"/>
  <c r="E52" i="227"/>
  <c r="A53" i="227"/>
  <c r="D52" i="227"/>
  <c r="F11" i="227"/>
  <c r="E11" i="227"/>
  <c r="D11" i="227"/>
  <c r="A12" i="227"/>
  <c r="C11" i="227" l="1"/>
  <c r="D53" i="227"/>
  <c r="F53" i="227"/>
  <c r="C53" i="227"/>
  <c r="E53" i="227"/>
  <c r="A54" i="227"/>
  <c r="E12" i="227"/>
  <c r="D12" i="227"/>
  <c r="F12" i="227"/>
  <c r="A13" i="227"/>
  <c r="C12" i="227" l="1"/>
  <c r="F54" i="227"/>
  <c r="E54" i="227"/>
  <c r="A55" i="227"/>
  <c r="D54" i="227"/>
  <c r="C54" i="227"/>
  <c r="F13" i="227"/>
  <c r="D13" i="227"/>
  <c r="E13" i="227"/>
  <c r="A14" i="227"/>
  <c r="C13" i="227" l="1"/>
  <c r="F55" i="227"/>
  <c r="E55" i="227"/>
  <c r="A56" i="227"/>
  <c r="D55" i="227"/>
  <c r="C55" i="227"/>
  <c r="F14" i="227"/>
  <c r="D14" i="227"/>
  <c r="E14" i="227"/>
  <c r="A15" i="227"/>
  <c r="C14" i="227" l="1"/>
  <c r="C56" i="227"/>
  <c r="F56" i="227"/>
  <c r="E56" i="227"/>
  <c r="A57" i="227"/>
  <c r="D56" i="227"/>
  <c r="F15" i="227"/>
  <c r="E15" i="227"/>
  <c r="D15" i="227"/>
  <c r="A16" i="227"/>
  <c r="C15" i="227" l="1"/>
  <c r="A58" i="227"/>
  <c r="F57" i="227"/>
  <c r="E57" i="227"/>
  <c r="D57" i="227"/>
  <c r="C57" i="227"/>
  <c r="D16" i="227"/>
  <c r="E16" i="227"/>
  <c r="F16" i="227"/>
  <c r="A17" i="227"/>
  <c r="C16" i="227" l="1"/>
  <c r="F58" i="227"/>
  <c r="E58" i="227"/>
  <c r="A59" i="227"/>
  <c r="D58" i="227"/>
  <c r="C58" i="227"/>
  <c r="D17" i="227"/>
  <c r="F17" i="227"/>
  <c r="E17" i="227"/>
  <c r="A18" i="227"/>
  <c r="C17" i="227" l="1"/>
  <c r="F59" i="227"/>
  <c r="E59" i="227"/>
  <c r="A60" i="227"/>
  <c r="D59" i="227"/>
  <c r="C59" i="227"/>
  <c r="E18" i="227"/>
  <c r="D18" i="227"/>
  <c r="C18" i="227" s="1"/>
  <c r="F18" i="227"/>
  <c r="A19" i="227"/>
  <c r="C60" i="227" l="1"/>
  <c r="F60" i="227"/>
  <c r="E60" i="227"/>
  <c r="A61" i="227"/>
  <c r="D60" i="227"/>
  <c r="E19" i="227"/>
  <c r="D19" i="227"/>
  <c r="F19" i="227"/>
  <c r="A20" i="227"/>
  <c r="C19" i="227" l="1"/>
  <c r="F61" i="227"/>
  <c r="E61" i="227"/>
  <c r="A62" i="227"/>
  <c r="D61" i="227"/>
  <c r="C61" i="227"/>
  <c r="E20" i="227"/>
  <c r="D20" i="227"/>
  <c r="F20" i="227"/>
  <c r="A21" i="227"/>
  <c r="C20" i="227" l="1"/>
  <c r="F62" i="227"/>
  <c r="E62" i="227"/>
  <c r="A63" i="227"/>
  <c r="D62" i="227"/>
  <c r="C62" i="227"/>
  <c r="E21" i="227"/>
  <c r="D21" i="227"/>
  <c r="F21" i="227"/>
  <c r="A22" i="227"/>
  <c r="C21" i="227" l="1"/>
  <c r="F63" i="227"/>
  <c r="E63" i="227"/>
  <c r="A65" i="227"/>
  <c r="D63" i="227"/>
  <c r="C63" i="227"/>
  <c r="F22" i="227"/>
  <c r="E22" i="227"/>
  <c r="D22" i="227"/>
  <c r="A24" i="227"/>
  <c r="C22" i="227" l="1"/>
  <c r="C65" i="227"/>
  <c r="F65" i="227"/>
  <c r="A66" i="227"/>
  <c r="E65" i="227"/>
  <c r="D65" i="227"/>
  <c r="E24" i="227"/>
  <c r="D24" i="227"/>
  <c r="C24" i="227" s="1"/>
  <c r="F24" i="227"/>
  <c r="A25" i="227"/>
  <c r="F66" i="227" l="1"/>
  <c r="E66" i="227"/>
  <c r="A67" i="227"/>
  <c r="D66" i="227"/>
  <c r="C66" i="227"/>
  <c r="E25" i="227"/>
  <c r="D25" i="227"/>
  <c r="F25" i="227"/>
  <c r="A26" i="227"/>
  <c r="C25" i="227" l="1"/>
  <c r="F67" i="227"/>
  <c r="E67" i="227"/>
  <c r="A68" i="227"/>
  <c r="D67" i="227"/>
  <c r="C67" i="227"/>
  <c r="F26" i="227"/>
  <c r="D26" i="227"/>
  <c r="E26" i="227"/>
  <c r="A27" i="227"/>
  <c r="C26" i="227" l="1"/>
  <c r="C68" i="227"/>
  <c r="F68" i="227"/>
  <c r="E68" i="227"/>
  <c r="A69" i="227"/>
  <c r="D68" i="227"/>
  <c r="F27" i="227"/>
  <c r="D27" i="227"/>
  <c r="E27" i="227"/>
  <c r="A28" i="227"/>
  <c r="C27" i="227" l="1"/>
  <c r="D69" i="227"/>
  <c r="A70" i="227"/>
  <c r="F69" i="227"/>
  <c r="E69" i="227"/>
  <c r="C69" i="227"/>
  <c r="F28" i="227"/>
  <c r="E28" i="227"/>
  <c r="D28" i="227"/>
  <c r="A29" i="227"/>
  <c r="C28" i="227" l="1"/>
  <c r="F70" i="227"/>
  <c r="E70" i="227"/>
  <c r="A71" i="227"/>
  <c r="D70" i="227"/>
  <c r="C70" i="227"/>
  <c r="D29" i="227"/>
  <c r="C29" i="227" s="1"/>
  <c r="F29" i="227"/>
  <c r="E29" i="227"/>
  <c r="A30" i="227"/>
  <c r="F71" i="227" l="1"/>
  <c r="E71" i="227"/>
  <c r="A72" i="227"/>
  <c r="D71" i="227"/>
  <c r="C71" i="227"/>
  <c r="E30" i="227"/>
  <c r="D30" i="227"/>
  <c r="F30" i="227"/>
  <c r="A31" i="227"/>
  <c r="C30" i="227" l="1"/>
  <c r="C72" i="227"/>
  <c r="F72" i="227"/>
  <c r="E72" i="227"/>
  <c r="A73" i="227"/>
  <c r="D72" i="227"/>
  <c r="E31" i="227"/>
  <c r="D31" i="227"/>
  <c r="F31" i="227"/>
  <c r="A32" i="227"/>
  <c r="C31" i="227" l="1"/>
  <c r="A74" i="227"/>
  <c r="F73" i="227"/>
  <c r="E73" i="227"/>
  <c r="D73" i="227"/>
  <c r="C73" i="227"/>
  <c r="E32" i="227"/>
  <c r="D32" i="227"/>
  <c r="F32" i="227"/>
  <c r="A33" i="227"/>
  <c r="C32" i="227" l="1"/>
  <c r="F74" i="227"/>
  <c r="E74" i="227"/>
  <c r="A75" i="227"/>
  <c r="D74" i="227"/>
  <c r="C74" i="227"/>
  <c r="E33" i="227"/>
  <c r="D33" i="227"/>
  <c r="F33" i="227"/>
  <c r="A34" i="227"/>
  <c r="C33" i="227" l="1"/>
  <c r="F75" i="227"/>
  <c r="E75" i="227"/>
  <c r="A76" i="227"/>
  <c r="D75" i="227"/>
  <c r="C75" i="227"/>
  <c r="E34" i="227"/>
  <c r="D34" i="227"/>
  <c r="F34" i="227"/>
  <c r="A35" i="227"/>
  <c r="C34" i="227" l="1"/>
  <c r="C76" i="227"/>
  <c r="F76" i="227"/>
  <c r="E76" i="227"/>
  <c r="A77" i="227"/>
  <c r="D76" i="227"/>
  <c r="E35" i="227"/>
  <c r="F35" i="227"/>
  <c r="D35" i="227"/>
  <c r="A36" i="227"/>
  <c r="C35" i="227" l="1"/>
  <c r="A78" i="227"/>
  <c r="F77" i="227"/>
  <c r="E77" i="227"/>
  <c r="C77" i="227"/>
  <c r="D77" i="227"/>
  <c r="E36" i="227"/>
  <c r="D36" i="227"/>
  <c r="F36" i="227"/>
  <c r="A37" i="227"/>
  <c r="C36" i="227" l="1"/>
  <c r="F78" i="227"/>
  <c r="E78" i="227"/>
  <c r="A79" i="227"/>
  <c r="D78" i="227"/>
  <c r="C78" i="227"/>
  <c r="F37" i="227"/>
  <c r="E37" i="227"/>
  <c r="D37" i="227"/>
  <c r="C37" i="227" s="1"/>
  <c r="A38" i="227"/>
  <c r="F79" i="227" l="1"/>
  <c r="E79" i="227"/>
  <c r="A80" i="227"/>
  <c r="D79" i="227"/>
  <c r="C79" i="227"/>
  <c r="F38" i="227"/>
  <c r="D38" i="227"/>
  <c r="E38" i="227"/>
  <c r="A39" i="227"/>
  <c r="C38" i="227" l="1"/>
  <c r="C80" i="227"/>
  <c r="F80" i="227"/>
  <c r="E80" i="227"/>
  <c r="D80" i="227"/>
  <c r="F39" i="227"/>
  <c r="D39" i="227"/>
  <c r="C39" i="227" s="1"/>
  <c r="E39" i="227"/>
  <c r="U8" i="3" l="1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7" i="3"/>
  <c r="E6" i="226"/>
  <c r="E7" i="226"/>
  <c r="E8" i="226"/>
  <c r="E9" i="226"/>
  <c r="E10" i="226"/>
  <c r="E11" i="226"/>
  <c r="E12" i="226"/>
  <c r="E13" i="226"/>
  <c r="E14" i="226"/>
  <c r="E15" i="226"/>
  <c r="E16" i="226"/>
  <c r="E17" i="226"/>
  <c r="E18" i="226"/>
  <c r="E19" i="226"/>
  <c r="E20" i="226"/>
  <c r="E21" i="226"/>
  <c r="E22" i="226"/>
  <c r="E23" i="226"/>
  <c r="E24" i="226"/>
  <c r="E25" i="226"/>
  <c r="E26" i="226"/>
  <c r="E27" i="226"/>
  <c r="E28" i="226"/>
  <c r="E29" i="226"/>
  <c r="E30" i="226"/>
  <c r="E31" i="226"/>
  <c r="E32" i="226"/>
  <c r="E33" i="226"/>
  <c r="E34" i="226"/>
  <c r="E35" i="226"/>
  <c r="E36" i="226"/>
  <c r="E37" i="226"/>
  <c r="E38" i="226"/>
  <c r="E39" i="226"/>
  <c r="E40" i="226"/>
  <c r="E41" i="226"/>
  <c r="E42" i="226"/>
  <c r="E43" i="226"/>
  <c r="E44" i="226"/>
  <c r="E45" i="226"/>
  <c r="E46" i="226"/>
  <c r="E47" i="226"/>
  <c r="E48" i="226"/>
  <c r="E49" i="226"/>
  <c r="E50" i="226"/>
  <c r="E51" i="226"/>
  <c r="E52" i="226"/>
  <c r="E53" i="226"/>
  <c r="E54" i="226"/>
  <c r="E55" i="226"/>
  <c r="E56" i="226"/>
  <c r="E57" i="226"/>
  <c r="E58" i="226"/>
  <c r="E59" i="226"/>
  <c r="E60" i="226"/>
  <c r="E61" i="226"/>
  <c r="E62" i="226"/>
  <c r="E63" i="226"/>
  <c r="E64" i="226"/>
  <c r="E65" i="226"/>
  <c r="E66" i="226"/>
  <c r="E67" i="226"/>
  <c r="E68" i="226"/>
  <c r="E69" i="226"/>
  <c r="E70" i="226"/>
  <c r="E71" i="226"/>
  <c r="E72" i="226"/>
  <c r="E73" i="226"/>
  <c r="E74" i="226"/>
  <c r="E75" i="226"/>
  <c r="E76" i="226"/>
  <c r="E77" i="226"/>
  <c r="E78" i="226"/>
  <c r="E79" i="226"/>
  <c r="E80" i="226"/>
  <c r="E81" i="226"/>
  <c r="E82" i="226"/>
  <c r="E83" i="226"/>
  <c r="E84" i="226"/>
  <c r="E85" i="226"/>
  <c r="E86" i="226"/>
  <c r="E87" i="226"/>
  <c r="E88" i="226"/>
  <c r="E89" i="226"/>
  <c r="E90" i="226"/>
  <c r="E91" i="226"/>
  <c r="E92" i="226"/>
  <c r="E93" i="226"/>
  <c r="E94" i="226"/>
  <c r="E95" i="226"/>
  <c r="E96" i="226"/>
  <c r="E97" i="226"/>
  <c r="E98" i="226"/>
  <c r="E99" i="226"/>
  <c r="E100" i="226"/>
  <c r="E101" i="226"/>
  <c r="E5" i="226"/>
  <c r="D5" i="226"/>
  <c r="D6" i="226" s="1"/>
  <c r="D7" i="226" s="1"/>
  <c r="D8" i="226" s="1"/>
  <c r="D9" i="226" s="1"/>
  <c r="D10" i="226" s="1"/>
  <c r="D11" i="226" s="1"/>
  <c r="D12" i="226" s="1"/>
  <c r="D13" i="226" s="1"/>
  <c r="D14" i="226" s="1"/>
  <c r="D15" i="226" s="1"/>
  <c r="D16" i="226" s="1"/>
  <c r="D17" i="226" s="1"/>
  <c r="D18" i="226" s="1"/>
  <c r="D19" i="226" s="1"/>
  <c r="D20" i="226" s="1"/>
  <c r="D21" i="226" s="1"/>
  <c r="D22" i="226" s="1"/>
  <c r="D23" i="226" s="1"/>
  <c r="D24" i="226" s="1"/>
  <c r="D25" i="226" s="1"/>
  <c r="D26" i="226" s="1"/>
  <c r="D27" i="226" s="1"/>
  <c r="D28" i="226" s="1"/>
  <c r="D29" i="226" s="1"/>
  <c r="D30" i="226" s="1"/>
  <c r="D31" i="226" s="1"/>
  <c r="D32" i="226" s="1"/>
  <c r="D33" i="226" s="1"/>
  <c r="D34" i="226" s="1"/>
  <c r="D35" i="226" s="1"/>
  <c r="D36" i="226" s="1"/>
  <c r="D37" i="226" s="1"/>
  <c r="D38" i="226" s="1"/>
  <c r="D39" i="226" s="1"/>
  <c r="D40" i="226" s="1"/>
  <c r="D41" i="226" s="1"/>
  <c r="D42" i="226" s="1"/>
  <c r="D43" i="226" s="1"/>
  <c r="D44" i="226" s="1"/>
  <c r="D45" i="226" s="1"/>
  <c r="D46" i="226" s="1"/>
  <c r="D47" i="226" s="1"/>
  <c r="D48" i="226" s="1"/>
  <c r="D49" i="226" s="1"/>
  <c r="D50" i="226" s="1"/>
  <c r="D51" i="226" s="1"/>
  <c r="D52" i="226" s="1"/>
  <c r="D53" i="226" s="1"/>
  <c r="D54" i="226" s="1"/>
  <c r="D55" i="226" s="1"/>
  <c r="D56" i="226" s="1"/>
  <c r="D57" i="226" s="1"/>
  <c r="D58" i="226" s="1"/>
  <c r="D59" i="226" s="1"/>
  <c r="D60" i="226" s="1"/>
  <c r="D61" i="226" s="1"/>
  <c r="D62" i="226" s="1"/>
  <c r="D63" i="226" s="1"/>
  <c r="D64" i="226" s="1"/>
  <c r="D65" i="226" s="1"/>
  <c r="D66" i="226" s="1"/>
  <c r="D67" i="226" s="1"/>
  <c r="D68" i="226" s="1"/>
  <c r="D69" i="226" s="1"/>
  <c r="D70" i="226" s="1"/>
  <c r="D71" i="226" s="1"/>
  <c r="D72" i="226" s="1"/>
  <c r="D73" i="226" s="1"/>
  <c r="D74" i="226" s="1"/>
  <c r="D75" i="226" s="1"/>
  <c r="D76" i="226" s="1"/>
  <c r="D77" i="226" s="1"/>
  <c r="D78" i="226" s="1"/>
  <c r="D79" i="226" s="1"/>
  <c r="D80" i="226" s="1"/>
  <c r="D81" i="226" s="1"/>
  <c r="D82" i="226" s="1"/>
  <c r="D83" i="226" s="1"/>
  <c r="D84" i="226" s="1"/>
  <c r="D85" i="226" s="1"/>
  <c r="D86" i="226" s="1"/>
  <c r="D87" i="226" s="1"/>
  <c r="D88" i="226" s="1"/>
  <c r="D89" i="226" s="1"/>
  <c r="D90" i="226" s="1"/>
  <c r="D91" i="226" s="1"/>
  <c r="D92" i="226" s="1"/>
  <c r="D93" i="226" s="1"/>
  <c r="D94" i="226" s="1"/>
  <c r="D95" i="226" s="1"/>
  <c r="D96" i="226" s="1"/>
  <c r="D97" i="226" s="1"/>
  <c r="D98" i="226" s="1"/>
  <c r="D99" i="226" s="1"/>
  <c r="D100" i="226" s="1"/>
  <c r="D101" i="226" s="1"/>
  <c r="M4" i="115"/>
  <c r="M5" i="115"/>
  <c r="M6" i="115"/>
  <c r="M7" i="115"/>
  <c r="M8" i="115"/>
  <c r="M9" i="115"/>
  <c r="M10" i="115"/>
  <c r="M11" i="115"/>
  <c r="M12" i="115"/>
  <c r="M13" i="115"/>
  <c r="M14" i="115"/>
  <c r="M15" i="115"/>
  <c r="M16" i="115"/>
  <c r="M17" i="115"/>
  <c r="M18" i="115"/>
  <c r="M19" i="115"/>
  <c r="M20" i="115"/>
  <c r="M21" i="115"/>
  <c r="M22" i="115"/>
  <c r="M23" i="115"/>
  <c r="M24" i="115"/>
  <c r="M25" i="115"/>
  <c r="M26" i="115"/>
  <c r="M27" i="115"/>
  <c r="M28" i="115"/>
  <c r="M29" i="115"/>
  <c r="M30" i="115"/>
  <c r="M31" i="115"/>
  <c r="M32" i="115"/>
  <c r="M33" i="115"/>
  <c r="M34" i="115"/>
  <c r="M35" i="115"/>
  <c r="M36" i="115"/>
  <c r="M37" i="115"/>
  <c r="M38" i="115"/>
  <c r="M39" i="115"/>
  <c r="M40" i="115"/>
  <c r="M41" i="115"/>
  <c r="M42" i="115"/>
  <c r="M43" i="115"/>
  <c r="M44" i="115"/>
  <c r="M45" i="115"/>
  <c r="M46" i="115"/>
  <c r="M47" i="115"/>
  <c r="M48" i="115"/>
  <c r="M49" i="115"/>
  <c r="M3" i="115"/>
  <c r="K4" i="115"/>
  <c r="Q4" i="115" s="1"/>
  <c r="L4" i="115"/>
  <c r="K5" i="115"/>
  <c r="Q5" i="115" s="1"/>
  <c r="L5" i="115"/>
  <c r="K6" i="115"/>
  <c r="Q6" i="115" s="1"/>
  <c r="L6" i="115"/>
  <c r="R6" i="115" s="1"/>
  <c r="K7" i="115"/>
  <c r="Q7" i="115" s="1"/>
  <c r="L7" i="115"/>
  <c r="R7" i="115" s="1"/>
  <c r="K8" i="115"/>
  <c r="Q8" i="115" s="1"/>
  <c r="L8" i="115"/>
  <c r="R8" i="115" s="1"/>
  <c r="K9" i="115"/>
  <c r="Q9" i="115" s="1"/>
  <c r="L9" i="115"/>
  <c r="R9" i="115" s="1"/>
  <c r="K10" i="115"/>
  <c r="Q10" i="115" s="1"/>
  <c r="L10" i="115"/>
  <c r="K11" i="115"/>
  <c r="Q11" i="115" s="1"/>
  <c r="L11" i="115"/>
  <c r="K12" i="115"/>
  <c r="Q12" i="115" s="1"/>
  <c r="L12" i="115"/>
  <c r="R12" i="115" s="1"/>
  <c r="K13" i="115"/>
  <c r="Q13" i="115" s="1"/>
  <c r="L13" i="115"/>
  <c r="R13" i="115" s="1"/>
  <c r="K14" i="115"/>
  <c r="Q14" i="115" s="1"/>
  <c r="L14" i="115"/>
  <c r="R14" i="115" s="1"/>
  <c r="K15" i="115"/>
  <c r="Q15" i="115" s="1"/>
  <c r="L15" i="115"/>
  <c r="R15" i="115" s="1"/>
  <c r="K16" i="115"/>
  <c r="Q16" i="115" s="1"/>
  <c r="L16" i="115"/>
  <c r="K17" i="115"/>
  <c r="Q17" i="115" s="1"/>
  <c r="L17" i="115"/>
  <c r="K18" i="115"/>
  <c r="Q18" i="115" s="1"/>
  <c r="L18" i="115"/>
  <c r="R18" i="115" s="1"/>
  <c r="K19" i="115"/>
  <c r="Q19" i="115" s="1"/>
  <c r="L19" i="115"/>
  <c r="K20" i="115"/>
  <c r="Q20" i="115" s="1"/>
  <c r="L20" i="115"/>
  <c r="R20" i="115" s="1"/>
  <c r="K21" i="115"/>
  <c r="Q21" i="115" s="1"/>
  <c r="L21" i="115"/>
  <c r="R21" i="115" s="1"/>
  <c r="K22" i="115"/>
  <c r="Q22" i="115" s="1"/>
  <c r="L22" i="115"/>
  <c r="K23" i="115"/>
  <c r="Q23" i="115" s="1"/>
  <c r="L23" i="115"/>
  <c r="K24" i="115"/>
  <c r="Q24" i="115" s="1"/>
  <c r="L24" i="115"/>
  <c r="R24" i="115" s="1"/>
  <c r="K25" i="115"/>
  <c r="Q25" i="115" s="1"/>
  <c r="L25" i="115"/>
  <c r="R25" i="115" s="1"/>
  <c r="K26" i="115"/>
  <c r="Q26" i="115" s="1"/>
  <c r="L26" i="115"/>
  <c r="R26" i="115" s="1"/>
  <c r="K27" i="115"/>
  <c r="Q27" i="115" s="1"/>
  <c r="L27" i="115"/>
  <c r="K28" i="115"/>
  <c r="Q28" i="115" s="1"/>
  <c r="L28" i="115"/>
  <c r="K29" i="115"/>
  <c r="Q29" i="115" s="1"/>
  <c r="L29" i="115"/>
  <c r="K30" i="115"/>
  <c r="Q30" i="115" s="1"/>
  <c r="L30" i="115"/>
  <c r="R30" i="115" s="1"/>
  <c r="K31" i="115"/>
  <c r="Q31" i="115" s="1"/>
  <c r="L31" i="115"/>
  <c r="R31" i="115" s="1"/>
  <c r="K32" i="115"/>
  <c r="Q32" i="115" s="1"/>
  <c r="L32" i="115"/>
  <c r="R32" i="115" s="1"/>
  <c r="K33" i="115"/>
  <c r="Q33" i="115" s="1"/>
  <c r="L33" i="115"/>
  <c r="K34" i="115"/>
  <c r="Q34" i="115" s="1"/>
  <c r="L34" i="115"/>
  <c r="K35" i="115"/>
  <c r="Q35" i="115" s="1"/>
  <c r="L35" i="115"/>
  <c r="K36" i="115"/>
  <c r="Q36" i="115" s="1"/>
  <c r="L36" i="115"/>
  <c r="R36" i="115" s="1"/>
  <c r="K37" i="115"/>
  <c r="Q37" i="115" s="1"/>
  <c r="L37" i="115"/>
  <c r="R37" i="115" s="1"/>
  <c r="K38" i="115"/>
  <c r="Q38" i="115" s="1"/>
  <c r="L38" i="115"/>
  <c r="K39" i="115"/>
  <c r="Q39" i="115" s="1"/>
  <c r="L39" i="115"/>
  <c r="K40" i="115"/>
  <c r="Q40" i="115" s="1"/>
  <c r="L40" i="115"/>
  <c r="K41" i="115"/>
  <c r="Q41" i="115" s="1"/>
  <c r="L41" i="115"/>
  <c r="K42" i="115"/>
  <c r="Q42" i="115" s="1"/>
  <c r="L42" i="115"/>
  <c r="R42" i="115" s="1"/>
  <c r="K43" i="115"/>
  <c r="Q43" i="115" s="1"/>
  <c r="L43" i="115"/>
  <c r="R43" i="115" s="1"/>
  <c r="K44" i="115"/>
  <c r="Q44" i="115" s="1"/>
  <c r="L44" i="115"/>
  <c r="R44" i="115" s="1"/>
  <c r="K45" i="115"/>
  <c r="Q45" i="115" s="1"/>
  <c r="L45" i="115"/>
  <c r="K46" i="115"/>
  <c r="Q46" i="115" s="1"/>
  <c r="L46" i="115"/>
  <c r="K47" i="115"/>
  <c r="Q47" i="115" s="1"/>
  <c r="L47" i="115"/>
  <c r="K48" i="115"/>
  <c r="Q48" i="115" s="1"/>
  <c r="L48" i="115"/>
  <c r="R48" i="115" s="1"/>
  <c r="K49" i="115"/>
  <c r="Q49" i="115" s="1"/>
  <c r="L49" i="115"/>
  <c r="R49" i="115" s="1"/>
  <c r="L3" i="115"/>
  <c r="K3" i="115"/>
  <c r="Q3" i="115" s="1"/>
  <c r="N482" i="3"/>
  <c r="B5" i="226"/>
  <c r="C1" i="224"/>
  <c r="C2" i="224"/>
  <c r="C3" i="224"/>
  <c r="C4" i="224"/>
  <c r="C5" i="224"/>
  <c r="C6" i="224"/>
  <c r="C7" i="224"/>
  <c r="C8" i="224"/>
  <c r="C9" i="224"/>
  <c r="C10" i="224"/>
  <c r="C11" i="224"/>
  <c r="C12" i="224"/>
  <c r="C13" i="224"/>
  <c r="C14" i="224"/>
  <c r="C15" i="224"/>
  <c r="C16" i="224"/>
  <c r="C17" i="224"/>
  <c r="C18" i="224"/>
  <c r="C19" i="224"/>
  <c r="C20" i="224"/>
  <c r="C21" i="224"/>
  <c r="C22" i="224"/>
  <c r="C23" i="224"/>
  <c r="C24" i="224"/>
  <c r="C25" i="224"/>
  <c r="C26" i="224"/>
  <c r="C27" i="224"/>
  <c r="C28" i="224"/>
  <c r="C29" i="224"/>
  <c r="C30" i="224"/>
  <c r="C31" i="224"/>
  <c r="C32" i="224"/>
  <c r="C33" i="224"/>
  <c r="C34" i="224"/>
  <c r="C35" i="224"/>
  <c r="C36" i="224"/>
  <c r="C37" i="224"/>
  <c r="C38" i="224"/>
  <c r="C39" i="224"/>
  <c r="C40" i="224"/>
  <c r="C41" i="224"/>
  <c r="C42" i="224"/>
  <c r="C43" i="224"/>
  <c r="C44" i="224"/>
  <c r="C45" i="224"/>
  <c r="C46" i="224"/>
  <c r="C47" i="224"/>
  <c r="C48" i="224"/>
  <c r="C49" i="224"/>
  <c r="C50" i="224"/>
  <c r="C51" i="224"/>
  <c r="C52" i="224"/>
  <c r="C53" i="224"/>
  <c r="C54" i="224"/>
  <c r="C55" i="224"/>
  <c r="C56" i="224"/>
  <c r="C57" i="224"/>
  <c r="C58" i="224"/>
  <c r="C59" i="224"/>
  <c r="C60" i="224"/>
  <c r="C61" i="224"/>
  <c r="C62" i="224"/>
  <c r="C63" i="224"/>
  <c r="C64" i="224"/>
  <c r="C65" i="224"/>
  <c r="C66" i="224"/>
  <c r="C67" i="224"/>
  <c r="C68" i="224"/>
  <c r="C69" i="224"/>
  <c r="C70" i="224"/>
  <c r="C71" i="224"/>
  <c r="C72" i="224"/>
  <c r="C73" i="224"/>
  <c r="C74" i="224"/>
  <c r="C75" i="224"/>
  <c r="C76" i="224"/>
  <c r="C77" i="224"/>
  <c r="C78" i="224"/>
  <c r="C79" i="224"/>
  <c r="C80" i="224"/>
  <c r="C81" i="224"/>
  <c r="C82" i="224"/>
  <c r="C83" i="224"/>
  <c r="C84" i="224"/>
  <c r="C85" i="224"/>
  <c r="C86" i="224"/>
  <c r="C87" i="224"/>
  <c r="C88" i="224"/>
  <c r="C89" i="224"/>
  <c r="C90" i="224"/>
  <c r="C91" i="224"/>
  <c r="C92" i="224"/>
  <c r="C93" i="224"/>
  <c r="C94" i="224"/>
  <c r="C95" i="224"/>
  <c r="C96" i="224"/>
  <c r="C97" i="224"/>
  <c r="C98" i="224"/>
  <c r="C99" i="224"/>
  <c r="C100" i="224"/>
  <c r="C101" i="224"/>
  <c r="C102" i="224"/>
  <c r="C103" i="224"/>
  <c r="C104" i="224"/>
  <c r="C105" i="224"/>
  <c r="C106" i="224"/>
  <c r="C107" i="224"/>
  <c r="C108" i="224"/>
  <c r="C109" i="224"/>
  <c r="C110" i="224"/>
  <c r="C111" i="224"/>
  <c r="C112" i="224"/>
  <c r="C113" i="224"/>
  <c r="C114" i="224"/>
  <c r="C115" i="224"/>
  <c r="C116" i="224"/>
  <c r="C117" i="224"/>
  <c r="C118" i="224"/>
  <c r="C119" i="224"/>
  <c r="C120" i="224"/>
  <c r="C121" i="224"/>
  <c r="C122" i="224"/>
  <c r="C123" i="224"/>
  <c r="C124" i="224"/>
  <c r="C125" i="224"/>
  <c r="C126" i="224"/>
  <c r="C127" i="224"/>
  <c r="C128" i="224"/>
  <c r="C129" i="224"/>
  <c r="C130" i="224"/>
  <c r="C131" i="224"/>
  <c r="C132" i="224"/>
  <c r="C133" i="224"/>
  <c r="C134" i="224"/>
  <c r="C135" i="224"/>
  <c r="C136" i="224"/>
  <c r="C137" i="224"/>
  <c r="C138" i="224"/>
  <c r="C139" i="224"/>
  <c r="C140" i="224"/>
  <c r="C141" i="224"/>
  <c r="C142" i="224"/>
  <c r="C143" i="224"/>
  <c r="C144" i="224"/>
  <c r="C145" i="224"/>
  <c r="C146" i="224"/>
  <c r="C147" i="224"/>
  <c r="C148" i="224"/>
  <c r="C149" i="224"/>
  <c r="C150" i="224"/>
  <c r="C151" i="224"/>
  <c r="C152" i="224"/>
  <c r="C153" i="224"/>
  <c r="C154" i="224"/>
  <c r="C155" i="224"/>
  <c r="C156" i="224"/>
  <c r="C157" i="224"/>
  <c r="C158" i="224"/>
  <c r="C159" i="224"/>
  <c r="C160" i="224"/>
  <c r="C161" i="224"/>
  <c r="C162" i="224"/>
  <c r="C163" i="224"/>
  <c r="C164" i="224"/>
  <c r="C165" i="224"/>
  <c r="C166" i="224"/>
  <c r="C167" i="224"/>
  <c r="C168" i="224"/>
  <c r="C169" i="224"/>
  <c r="C170" i="224"/>
  <c r="C171" i="224"/>
  <c r="C172" i="224"/>
  <c r="C173" i="224"/>
  <c r="C174" i="224"/>
  <c r="C175" i="224"/>
  <c r="C176" i="224"/>
  <c r="C177" i="224"/>
  <c r="C178" i="224"/>
  <c r="C179" i="224"/>
  <c r="C180" i="224"/>
  <c r="C181" i="224"/>
  <c r="C182" i="224"/>
  <c r="C183" i="224"/>
  <c r="C184" i="224"/>
  <c r="C185" i="224"/>
  <c r="C186" i="224"/>
  <c r="C187" i="224"/>
  <c r="C188" i="224"/>
  <c r="C189" i="224"/>
  <c r="C190" i="224"/>
  <c r="C191" i="224"/>
  <c r="C192" i="224"/>
  <c r="C193" i="224"/>
  <c r="C194" i="224"/>
  <c r="C195" i="224"/>
  <c r="C196" i="224"/>
  <c r="C197" i="224"/>
  <c r="C198" i="224"/>
  <c r="C199" i="224"/>
  <c r="C200" i="224"/>
  <c r="C201" i="224"/>
  <c r="C202" i="224"/>
  <c r="C203" i="224"/>
  <c r="C204" i="224"/>
  <c r="C205" i="224"/>
  <c r="C206" i="224"/>
  <c r="C207" i="224"/>
  <c r="C208" i="224"/>
  <c r="C209" i="224"/>
  <c r="C210" i="224"/>
  <c r="C211" i="224"/>
  <c r="C212" i="224"/>
  <c r="C213" i="224"/>
  <c r="C214" i="224"/>
  <c r="C215" i="224"/>
  <c r="C216" i="224"/>
  <c r="C217" i="224"/>
  <c r="C218" i="224"/>
  <c r="C219" i="224"/>
  <c r="C220" i="224"/>
  <c r="C221" i="224"/>
  <c r="C222" i="224"/>
  <c r="C223" i="224"/>
  <c r="C224" i="224"/>
  <c r="C225" i="224"/>
  <c r="C226" i="224"/>
  <c r="C227" i="224"/>
  <c r="C228" i="224"/>
  <c r="C229" i="224"/>
  <c r="C230" i="224"/>
  <c r="C231" i="224"/>
  <c r="C232" i="224"/>
  <c r="C233" i="224"/>
  <c r="C234" i="224"/>
  <c r="C235" i="224"/>
  <c r="C236" i="224"/>
  <c r="C237" i="224"/>
  <c r="C238" i="224"/>
  <c r="C239" i="224"/>
  <c r="C240" i="224"/>
  <c r="C241" i="224"/>
  <c r="C242" i="224"/>
  <c r="C243" i="224"/>
  <c r="C244" i="224"/>
  <c r="C245" i="224"/>
  <c r="C246" i="224"/>
  <c r="C247" i="224"/>
  <c r="C248" i="224"/>
  <c r="C249" i="224"/>
  <c r="C250" i="224"/>
  <c r="A6" i="226"/>
  <c r="B6" i="226" s="1"/>
  <c r="C6" i="226" s="1"/>
  <c r="B12" i="1"/>
  <c r="G63" i="224"/>
  <c r="G64" i="224"/>
  <c r="G65" i="224"/>
  <c r="G66" i="224"/>
  <c r="G67" i="224"/>
  <c r="G68" i="224"/>
  <c r="G69" i="224"/>
  <c r="G70" i="224"/>
  <c r="G71" i="224"/>
  <c r="G72" i="224"/>
  <c r="G73" i="224"/>
  <c r="G74" i="224"/>
  <c r="G75" i="224"/>
  <c r="G76" i="224"/>
  <c r="G77" i="224"/>
  <c r="G78" i="224"/>
  <c r="G79" i="224"/>
  <c r="G80" i="224"/>
  <c r="G81" i="224"/>
  <c r="G82" i="224"/>
  <c r="G83" i="224"/>
  <c r="G84" i="224"/>
  <c r="G85" i="224"/>
  <c r="G86" i="224"/>
  <c r="G87" i="224"/>
  <c r="G88" i="224"/>
  <c r="G89" i="224"/>
  <c r="G90" i="224"/>
  <c r="G91" i="224"/>
  <c r="G92" i="224"/>
  <c r="G93" i="224"/>
  <c r="G94" i="224"/>
  <c r="G95" i="224"/>
  <c r="G96" i="224"/>
  <c r="G97" i="224"/>
  <c r="G98" i="224"/>
  <c r="G99" i="224"/>
  <c r="G100" i="224"/>
  <c r="G101" i="224"/>
  <c r="G102" i="224"/>
  <c r="G103" i="224"/>
  <c r="G104" i="224"/>
  <c r="G105" i="224"/>
  <c r="G106" i="224"/>
  <c r="G107" i="224"/>
  <c r="G108" i="224"/>
  <c r="G109" i="224"/>
  <c r="G110" i="224"/>
  <c r="G111" i="224"/>
  <c r="G112" i="224"/>
  <c r="G113" i="224"/>
  <c r="G114" i="224"/>
  <c r="G115" i="224"/>
  <c r="G116" i="224"/>
  <c r="G117" i="224"/>
  <c r="G118" i="224"/>
  <c r="G119" i="224"/>
  <c r="G120" i="224"/>
  <c r="G121" i="224"/>
  <c r="G122" i="224"/>
  <c r="G123" i="224"/>
  <c r="G124" i="224"/>
  <c r="G125" i="224"/>
  <c r="G126" i="224"/>
  <c r="G127" i="224"/>
  <c r="G128" i="224"/>
  <c r="G129" i="224"/>
  <c r="G130" i="224"/>
  <c r="G131" i="224"/>
  <c r="G132" i="224"/>
  <c r="G133" i="224"/>
  <c r="G134" i="224"/>
  <c r="G135" i="224"/>
  <c r="G136" i="224"/>
  <c r="G137" i="224"/>
  <c r="G138" i="224"/>
  <c r="G139" i="224"/>
  <c r="G140" i="224"/>
  <c r="G141" i="224"/>
  <c r="G142" i="224"/>
  <c r="G143" i="224"/>
  <c r="G144" i="224"/>
  <c r="G145" i="224"/>
  <c r="G146" i="224"/>
  <c r="G147" i="224"/>
  <c r="G148" i="224"/>
  <c r="G149" i="224"/>
  <c r="G150" i="224"/>
  <c r="G151" i="224"/>
  <c r="G152" i="224"/>
  <c r="G153" i="224"/>
  <c r="G154" i="224"/>
  <c r="G155" i="224"/>
  <c r="G156" i="224"/>
  <c r="G157" i="224"/>
  <c r="G158" i="224"/>
  <c r="G159" i="224"/>
  <c r="G160" i="224"/>
  <c r="G161" i="224"/>
  <c r="G162" i="224"/>
  <c r="G163" i="224"/>
  <c r="G164" i="224"/>
  <c r="G165" i="224"/>
  <c r="G166" i="224"/>
  <c r="G167" i="224"/>
  <c r="G168" i="224"/>
  <c r="G169" i="224"/>
  <c r="G170" i="224"/>
  <c r="G171" i="224"/>
  <c r="G172" i="224"/>
  <c r="G173" i="224"/>
  <c r="G174" i="224"/>
  <c r="G175" i="224"/>
  <c r="G176" i="224"/>
  <c r="G177" i="224"/>
  <c r="G178" i="224"/>
  <c r="G179" i="224"/>
  <c r="G180" i="224"/>
  <c r="G181" i="224"/>
  <c r="G182" i="224"/>
  <c r="G183" i="224"/>
  <c r="G184" i="224"/>
  <c r="G185" i="224"/>
  <c r="G186" i="224"/>
  <c r="G187" i="224"/>
  <c r="G188" i="224"/>
  <c r="G189" i="224"/>
  <c r="G190" i="224"/>
  <c r="G191" i="224"/>
  <c r="G192" i="224"/>
  <c r="G193" i="224"/>
  <c r="G194" i="224"/>
  <c r="G195" i="224"/>
  <c r="G196" i="224"/>
  <c r="G197" i="224"/>
  <c r="G198" i="224"/>
  <c r="G199" i="224"/>
  <c r="G200" i="224"/>
  <c r="G201" i="224"/>
  <c r="G202" i="224"/>
  <c r="G203" i="224"/>
  <c r="G204" i="224"/>
  <c r="G205" i="224"/>
  <c r="G206" i="224"/>
  <c r="G207" i="224"/>
  <c r="G208" i="224"/>
  <c r="G209" i="224"/>
  <c r="G210" i="224"/>
  <c r="G211" i="224"/>
  <c r="G212" i="224"/>
  <c r="G213" i="224"/>
  <c r="G214" i="224"/>
  <c r="G215" i="224"/>
  <c r="G216" i="224"/>
  <c r="G217" i="224"/>
  <c r="G218" i="224"/>
  <c r="G219" i="224"/>
  <c r="G220" i="224"/>
  <c r="G221" i="224"/>
  <c r="G222" i="224"/>
  <c r="G223" i="224"/>
  <c r="G224" i="224"/>
  <c r="G225" i="224"/>
  <c r="G226" i="224"/>
  <c r="G227" i="224"/>
  <c r="G228" i="224"/>
  <c r="G229" i="224"/>
  <c r="G230" i="224"/>
  <c r="G231" i="224"/>
  <c r="G232" i="224"/>
  <c r="G233" i="224"/>
  <c r="G234" i="224"/>
  <c r="G235" i="224"/>
  <c r="G236" i="224"/>
  <c r="G237" i="224"/>
  <c r="G238" i="224"/>
  <c r="G239" i="224"/>
  <c r="G240" i="224"/>
  <c r="G241" i="224"/>
  <c r="G242" i="224"/>
  <c r="G243" i="224"/>
  <c r="G244" i="224"/>
  <c r="G245" i="224"/>
  <c r="G246" i="224"/>
  <c r="G247" i="224"/>
  <c r="G248" i="224"/>
  <c r="G249" i="224"/>
  <c r="G250" i="224"/>
  <c r="G62" i="224"/>
  <c r="G61" i="224"/>
  <c r="G60" i="224"/>
  <c r="G59" i="224"/>
  <c r="G58" i="224"/>
  <c r="G57" i="224"/>
  <c r="G56" i="224"/>
  <c r="G55" i="224"/>
  <c r="G54" i="224"/>
  <c r="G53" i="224"/>
  <c r="G52" i="224"/>
  <c r="G51" i="224"/>
  <c r="G50" i="224"/>
  <c r="G49" i="224"/>
  <c r="G48" i="224"/>
  <c r="G46" i="224"/>
  <c r="G47" i="224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7" i="3"/>
  <c r="N47" i="115" l="1"/>
  <c r="N41" i="115"/>
  <c r="N35" i="115"/>
  <c r="N29" i="115"/>
  <c r="N23" i="115"/>
  <c r="N17" i="115"/>
  <c r="N11" i="115"/>
  <c r="O19" i="115"/>
  <c r="N46" i="115"/>
  <c r="N40" i="115"/>
  <c r="N34" i="115"/>
  <c r="N28" i="115"/>
  <c r="N22" i="115"/>
  <c r="N16" i="115"/>
  <c r="N10" i="115"/>
  <c r="N4" i="115"/>
  <c r="N45" i="115"/>
  <c r="N39" i="115"/>
  <c r="N33" i="115"/>
  <c r="N27" i="115"/>
  <c r="N38" i="115"/>
  <c r="N101" i="3"/>
  <c r="N100" i="3"/>
  <c r="N388" i="3"/>
  <c r="N389" i="3"/>
  <c r="N196" i="3"/>
  <c r="N197" i="3"/>
  <c r="N244" i="3"/>
  <c r="N245" i="3"/>
  <c r="N51" i="3"/>
  <c r="N292" i="3"/>
  <c r="N52" i="3"/>
  <c r="N293" i="3"/>
  <c r="N53" i="3"/>
  <c r="N340" i="3"/>
  <c r="N99" i="3"/>
  <c r="N341" i="3"/>
  <c r="N148" i="3"/>
  <c r="N436" i="3"/>
  <c r="N149" i="3"/>
  <c r="N437" i="3"/>
  <c r="N147" i="3"/>
  <c r="N195" i="3"/>
  <c r="N243" i="3"/>
  <c r="N291" i="3"/>
  <c r="N339" i="3"/>
  <c r="N387" i="3"/>
  <c r="N435" i="3"/>
  <c r="N15" i="3"/>
  <c r="N63" i="3"/>
  <c r="N111" i="3"/>
  <c r="N159" i="3"/>
  <c r="N207" i="3"/>
  <c r="N255" i="3"/>
  <c r="N303" i="3"/>
  <c r="N351" i="3"/>
  <c r="N399" i="3"/>
  <c r="N447" i="3"/>
  <c r="N16" i="3"/>
  <c r="N64" i="3"/>
  <c r="N112" i="3"/>
  <c r="N160" i="3"/>
  <c r="N208" i="3"/>
  <c r="N256" i="3"/>
  <c r="N304" i="3"/>
  <c r="N352" i="3"/>
  <c r="N400" i="3"/>
  <c r="N448" i="3"/>
  <c r="N17" i="3"/>
  <c r="N65" i="3"/>
  <c r="N113" i="3"/>
  <c r="N161" i="3"/>
  <c r="N209" i="3"/>
  <c r="N257" i="3"/>
  <c r="N305" i="3"/>
  <c r="N353" i="3"/>
  <c r="N401" i="3"/>
  <c r="N449" i="3"/>
  <c r="N27" i="3"/>
  <c r="N75" i="3"/>
  <c r="N123" i="3"/>
  <c r="N171" i="3"/>
  <c r="N219" i="3"/>
  <c r="N267" i="3"/>
  <c r="N315" i="3"/>
  <c r="N363" i="3"/>
  <c r="N411" i="3"/>
  <c r="N459" i="3"/>
  <c r="N28" i="3"/>
  <c r="N76" i="3"/>
  <c r="N124" i="3"/>
  <c r="N172" i="3"/>
  <c r="N220" i="3"/>
  <c r="N268" i="3"/>
  <c r="N316" i="3"/>
  <c r="N364" i="3"/>
  <c r="N412" i="3"/>
  <c r="N460" i="3"/>
  <c r="N29" i="3"/>
  <c r="N77" i="3"/>
  <c r="N125" i="3"/>
  <c r="N173" i="3"/>
  <c r="N221" i="3"/>
  <c r="N269" i="3"/>
  <c r="N317" i="3"/>
  <c r="N365" i="3"/>
  <c r="N413" i="3"/>
  <c r="N461" i="3"/>
  <c r="N39" i="3"/>
  <c r="N87" i="3"/>
  <c r="N135" i="3"/>
  <c r="N183" i="3"/>
  <c r="N231" i="3"/>
  <c r="N279" i="3"/>
  <c r="N327" i="3"/>
  <c r="N375" i="3"/>
  <c r="N423" i="3"/>
  <c r="N471" i="3"/>
  <c r="N40" i="3"/>
  <c r="N88" i="3"/>
  <c r="N136" i="3"/>
  <c r="N184" i="3"/>
  <c r="N232" i="3"/>
  <c r="N280" i="3"/>
  <c r="N328" i="3"/>
  <c r="N376" i="3"/>
  <c r="N424" i="3"/>
  <c r="N472" i="3"/>
  <c r="N41" i="3"/>
  <c r="N89" i="3"/>
  <c r="N137" i="3"/>
  <c r="N185" i="3"/>
  <c r="N233" i="3"/>
  <c r="N281" i="3"/>
  <c r="N329" i="3"/>
  <c r="N377" i="3"/>
  <c r="N425" i="3"/>
  <c r="N473" i="3"/>
  <c r="N18" i="3"/>
  <c r="N30" i="3"/>
  <c r="N42" i="3"/>
  <c r="N54" i="3"/>
  <c r="N66" i="3"/>
  <c r="N78" i="3"/>
  <c r="N90" i="3"/>
  <c r="N102" i="3"/>
  <c r="N114" i="3"/>
  <c r="N126" i="3"/>
  <c r="N138" i="3"/>
  <c r="N150" i="3"/>
  <c r="N162" i="3"/>
  <c r="N174" i="3"/>
  <c r="N186" i="3"/>
  <c r="N198" i="3"/>
  <c r="N210" i="3"/>
  <c r="N222" i="3"/>
  <c r="N234" i="3"/>
  <c r="N246" i="3"/>
  <c r="N258" i="3"/>
  <c r="N270" i="3"/>
  <c r="N282" i="3"/>
  <c r="N294" i="3"/>
  <c r="N306" i="3"/>
  <c r="N318" i="3"/>
  <c r="N330" i="3"/>
  <c r="N342" i="3"/>
  <c r="N354" i="3"/>
  <c r="N366" i="3"/>
  <c r="N378" i="3"/>
  <c r="N390" i="3"/>
  <c r="N402" i="3"/>
  <c r="N414" i="3"/>
  <c r="N426" i="3"/>
  <c r="N438" i="3"/>
  <c r="N450" i="3"/>
  <c r="N462" i="3"/>
  <c r="N474" i="3"/>
  <c r="N19" i="3"/>
  <c r="N31" i="3"/>
  <c r="N43" i="3"/>
  <c r="N55" i="3"/>
  <c r="N67" i="3"/>
  <c r="N79" i="3"/>
  <c r="N91" i="3"/>
  <c r="N103" i="3"/>
  <c r="N115" i="3"/>
  <c r="N127" i="3"/>
  <c r="N139" i="3"/>
  <c r="N151" i="3"/>
  <c r="N163" i="3"/>
  <c r="N175" i="3"/>
  <c r="N187" i="3"/>
  <c r="N199" i="3"/>
  <c r="N211" i="3"/>
  <c r="N223" i="3"/>
  <c r="N235" i="3"/>
  <c r="N247" i="3"/>
  <c r="N259" i="3"/>
  <c r="N271" i="3"/>
  <c r="N283" i="3"/>
  <c r="N295" i="3"/>
  <c r="N307" i="3"/>
  <c r="N319" i="3"/>
  <c r="N331" i="3"/>
  <c r="N343" i="3"/>
  <c r="N355" i="3"/>
  <c r="N367" i="3"/>
  <c r="N379" i="3"/>
  <c r="N391" i="3"/>
  <c r="N403" i="3"/>
  <c r="N415" i="3"/>
  <c r="N427" i="3"/>
  <c r="N439" i="3"/>
  <c r="N451" i="3"/>
  <c r="N463" i="3"/>
  <c r="N475" i="3"/>
  <c r="N8" i="3"/>
  <c r="N20" i="3"/>
  <c r="N32" i="3"/>
  <c r="N44" i="3"/>
  <c r="N56" i="3"/>
  <c r="N68" i="3"/>
  <c r="N80" i="3"/>
  <c r="N92" i="3"/>
  <c r="N104" i="3"/>
  <c r="N116" i="3"/>
  <c r="N128" i="3"/>
  <c r="N140" i="3"/>
  <c r="N152" i="3"/>
  <c r="N164" i="3"/>
  <c r="N176" i="3"/>
  <c r="N188" i="3"/>
  <c r="N200" i="3"/>
  <c r="N212" i="3"/>
  <c r="N224" i="3"/>
  <c r="N236" i="3"/>
  <c r="N248" i="3"/>
  <c r="N260" i="3"/>
  <c r="N272" i="3"/>
  <c r="N284" i="3"/>
  <c r="N296" i="3"/>
  <c r="N308" i="3"/>
  <c r="N320" i="3"/>
  <c r="N332" i="3"/>
  <c r="N344" i="3"/>
  <c r="N356" i="3"/>
  <c r="N368" i="3"/>
  <c r="N380" i="3"/>
  <c r="N392" i="3"/>
  <c r="N404" i="3"/>
  <c r="N416" i="3"/>
  <c r="N428" i="3"/>
  <c r="N440" i="3"/>
  <c r="N452" i="3"/>
  <c r="N464" i="3"/>
  <c r="N476" i="3"/>
  <c r="N9" i="3"/>
  <c r="N21" i="3"/>
  <c r="N33" i="3"/>
  <c r="N45" i="3"/>
  <c r="N57" i="3"/>
  <c r="N69" i="3"/>
  <c r="N81" i="3"/>
  <c r="N93" i="3"/>
  <c r="N105" i="3"/>
  <c r="N117" i="3"/>
  <c r="N129" i="3"/>
  <c r="N141" i="3"/>
  <c r="N153" i="3"/>
  <c r="N165" i="3"/>
  <c r="N177" i="3"/>
  <c r="N189" i="3"/>
  <c r="N201" i="3"/>
  <c r="N213" i="3"/>
  <c r="N225" i="3"/>
  <c r="N237" i="3"/>
  <c r="N249" i="3"/>
  <c r="N261" i="3"/>
  <c r="N273" i="3"/>
  <c r="N285" i="3"/>
  <c r="N297" i="3"/>
  <c r="N309" i="3"/>
  <c r="N321" i="3"/>
  <c r="N333" i="3"/>
  <c r="N345" i="3"/>
  <c r="N357" i="3"/>
  <c r="N369" i="3"/>
  <c r="N381" i="3"/>
  <c r="N393" i="3"/>
  <c r="N405" i="3"/>
  <c r="N417" i="3"/>
  <c r="N429" i="3"/>
  <c r="N441" i="3"/>
  <c r="N453" i="3"/>
  <c r="N465" i="3"/>
  <c r="N477" i="3"/>
  <c r="N10" i="3"/>
  <c r="N22" i="3"/>
  <c r="N34" i="3"/>
  <c r="N46" i="3"/>
  <c r="N58" i="3"/>
  <c r="N70" i="3"/>
  <c r="N82" i="3"/>
  <c r="N94" i="3"/>
  <c r="N106" i="3"/>
  <c r="N118" i="3"/>
  <c r="N130" i="3"/>
  <c r="N142" i="3"/>
  <c r="N154" i="3"/>
  <c r="N166" i="3"/>
  <c r="N178" i="3"/>
  <c r="N190" i="3"/>
  <c r="N202" i="3"/>
  <c r="N214" i="3"/>
  <c r="N226" i="3"/>
  <c r="N238" i="3"/>
  <c r="N250" i="3"/>
  <c r="N262" i="3"/>
  <c r="N274" i="3"/>
  <c r="N286" i="3"/>
  <c r="N298" i="3"/>
  <c r="N310" i="3"/>
  <c r="N322" i="3"/>
  <c r="N334" i="3"/>
  <c r="N346" i="3"/>
  <c r="N358" i="3"/>
  <c r="N370" i="3"/>
  <c r="N382" i="3"/>
  <c r="N394" i="3"/>
  <c r="N406" i="3"/>
  <c r="N418" i="3"/>
  <c r="N430" i="3"/>
  <c r="N442" i="3"/>
  <c r="N454" i="3"/>
  <c r="N466" i="3"/>
  <c r="N478" i="3"/>
  <c r="N11" i="3"/>
  <c r="N23" i="3"/>
  <c r="N35" i="3"/>
  <c r="N47" i="3"/>
  <c r="N59" i="3"/>
  <c r="N71" i="3"/>
  <c r="N83" i="3"/>
  <c r="N95" i="3"/>
  <c r="N107" i="3"/>
  <c r="N119" i="3"/>
  <c r="N131" i="3"/>
  <c r="N143" i="3"/>
  <c r="N155" i="3"/>
  <c r="N167" i="3"/>
  <c r="N179" i="3"/>
  <c r="N191" i="3"/>
  <c r="N203" i="3"/>
  <c r="N215" i="3"/>
  <c r="N227" i="3"/>
  <c r="N239" i="3"/>
  <c r="N251" i="3"/>
  <c r="N263" i="3"/>
  <c r="N275" i="3"/>
  <c r="N287" i="3"/>
  <c r="N299" i="3"/>
  <c r="N311" i="3"/>
  <c r="N323" i="3"/>
  <c r="N335" i="3"/>
  <c r="N347" i="3"/>
  <c r="N359" i="3"/>
  <c r="N371" i="3"/>
  <c r="N383" i="3"/>
  <c r="N395" i="3"/>
  <c r="N407" i="3"/>
  <c r="N419" i="3"/>
  <c r="N431" i="3"/>
  <c r="N443" i="3"/>
  <c r="N455" i="3"/>
  <c r="N467" i="3"/>
  <c r="N479" i="3"/>
  <c r="N12" i="3"/>
  <c r="N24" i="3"/>
  <c r="N36" i="3"/>
  <c r="N48" i="3"/>
  <c r="N60" i="3"/>
  <c r="N72" i="3"/>
  <c r="N84" i="3"/>
  <c r="N96" i="3"/>
  <c r="N108" i="3"/>
  <c r="N120" i="3"/>
  <c r="N132" i="3"/>
  <c r="N144" i="3"/>
  <c r="N156" i="3"/>
  <c r="N168" i="3"/>
  <c r="N180" i="3"/>
  <c r="N192" i="3"/>
  <c r="N204" i="3"/>
  <c r="N216" i="3"/>
  <c r="N228" i="3"/>
  <c r="N240" i="3"/>
  <c r="N252" i="3"/>
  <c r="N264" i="3"/>
  <c r="N276" i="3"/>
  <c r="N288" i="3"/>
  <c r="N300" i="3"/>
  <c r="N312" i="3"/>
  <c r="N324" i="3"/>
  <c r="N336" i="3"/>
  <c r="N348" i="3"/>
  <c r="N360" i="3"/>
  <c r="N372" i="3"/>
  <c r="N384" i="3"/>
  <c r="N396" i="3"/>
  <c r="N408" i="3"/>
  <c r="N420" i="3"/>
  <c r="N432" i="3"/>
  <c r="N444" i="3"/>
  <c r="N456" i="3"/>
  <c r="N468" i="3"/>
  <c r="N480" i="3"/>
  <c r="N13" i="3"/>
  <c r="N25" i="3"/>
  <c r="N37" i="3"/>
  <c r="N49" i="3"/>
  <c r="N61" i="3"/>
  <c r="N73" i="3"/>
  <c r="N85" i="3"/>
  <c r="N97" i="3"/>
  <c r="N109" i="3"/>
  <c r="N121" i="3"/>
  <c r="N133" i="3"/>
  <c r="N145" i="3"/>
  <c r="N157" i="3"/>
  <c r="N169" i="3"/>
  <c r="N181" i="3"/>
  <c r="N193" i="3"/>
  <c r="N205" i="3"/>
  <c r="N217" i="3"/>
  <c r="N229" i="3"/>
  <c r="N241" i="3"/>
  <c r="N253" i="3"/>
  <c r="N265" i="3"/>
  <c r="N277" i="3"/>
  <c r="N289" i="3"/>
  <c r="N301" i="3"/>
  <c r="N313" i="3"/>
  <c r="N325" i="3"/>
  <c r="N337" i="3"/>
  <c r="N349" i="3"/>
  <c r="N361" i="3"/>
  <c r="N373" i="3"/>
  <c r="N385" i="3"/>
  <c r="N397" i="3"/>
  <c r="N409" i="3"/>
  <c r="N421" i="3"/>
  <c r="N433" i="3"/>
  <c r="N445" i="3"/>
  <c r="N457" i="3"/>
  <c r="N469" i="3"/>
  <c r="N481" i="3"/>
  <c r="N14" i="3"/>
  <c r="N26" i="3"/>
  <c r="N38" i="3"/>
  <c r="N50" i="3"/>
  <c r="N62" i="3"/>
  <c r="N74" i="3"/>
  <c r="N86" i="3"/>
  <c r="N98" i="3"/>
  <c r="N110" i="3"/>
  <c r="N122" i="3"/>
  <c r="N134" i="3"/>
  <c r="N146" i="3"/>
  <c r="N158" i="3"/>
  <c r="N170" i="3"/>
  <c r="N182" i="3"/>
  <c r="N194" i="3"/>
  <c r="N206" i="3"/>
  <c r="N218" i="3"/>
  <c r="N230" i="3"/>
  <c r="N242" i="3"/>
  <c r="N254" i="3"/>
  <c r="N266" i="3"/>
  <c r="N278" i="3"/>
  <c r="N290" i="3"/>
  <c r="N302" i="3"/>
  <c r="N314" i="3"/>
  <c r="N326" i="3"/>
  <c r="N338" i="3"/>
  <c r="N350" i="3"/>
  <c r="N362" i="3"/>
  <c r="N374" i="3"/>
  <c r="N386" i="3"/>
  <c r="N398" i="3"/>
  <c r="N410" i="3"/>
  <c r="N422" i="3"/>
  <c r="N434" i="3"/>
  <c r="N446" i="3"/>
  <c r="N458" i="3"/>
  <c r="N470" i="3"/>
  <c r="N7" i="3"/>
  <c r="R19" i="115"/>
  <c r="N5" i="115"/>
  <c r="R38" i="115"/>
  <c r="O3" i="115"/>
  <c r="N49" i="115"/>
  <c r="N43" i="115"/>
  <c r="N37" i="115"/>
  <c r="N31" i="115"/>
  <c r="N25" i="115"/>
  <c r="N19" i="115"/>
  <c r="O13" i="115"/>
  <c r="N7" i="115"/>
  <c r="R47" i="115"/>
  <c r="R41" i="115"/>
  <c r="R35" i="115"/>
  <c r="R29" i="115"/>
  <c r="R23" i="115"/>
  <c r="R17" i="115"/>
  <c r="R11" i="115"/>
  <c r="R5" i="115"/>
  <c r="N48" i="115"/>
  <c r="N42" i="115"/>
  <c r="N36" i="115"/>
  <c r="N30" i="115"/>
  <c r="N24" i="115"/>
  <c r="N18" i="115"/>
  <c r="N12" i="115"/>
  <c r="R46" i="115"/>
  <c r="R40" i="115"/>
  <c r="R34" i="115"/>
  <c r="R28" i="115"/>
  <c r="R22" i="115"/>
  <c r="R16" i="115"/>
  <c r="R10" i="115"/>
  <c r="R4" i="115"/>
  <c r="R45" i="115"/>
  <c r="R39" i="115"/>
  <c r="R33" i="115"/>
  <c r="R27" i="115"/>
  <c r="R3" i="115"/>
  <c r="N6" i="115"/>
  <c r="N3" i="115"/>
  <c r="N21" i="115"/>
  <c r="N15" i="115"/>
  <c r="N9" i="115"/>
  <c r="O43" i="115"/>
  <c r="N44" i="115"/>
  <c r="O38" i="115"/>
  <c r="N32" i="115"/>
  <c r="N26" i="115"/>
  <c r="N20" i="115"/>
  <c r="N14" i="115"/>
  <c r="N8" i="115"/>
  <c r="O31" i="115"/>
  <c r="O7" i="115"/>
  <c r="N13" i="115"/>
  <c r="O26" i="115"/>
  <c r="O14" i="115"/>
  <c r="O49" i="115"/>
  <c r="O37" i="115"/>
  <c r="O25" i="115"/>
  <c r="O48" i="115"/>
  <c r="O36" i="115"/>
  <c r="O24" i="115"/>
  <c r="O12" i="115"/>
  <c r="O47" i="115"/>
  <c r="O35" i="115"/>
  <c r="O23" i="115"/>
  <c r="O11" i="115"/>
  <c r="O46" i="115"/>
  <c r="O34" i="115"/>
  <c r="O22" i="115"/>
  <c r="O10" i="115"/>
  <c r="O45" i="115"/>
  <c r="O33" i="115"/>
  <c r="O21" i="115"/>
  <c r="O9" i="115"/>
  <c r="O44" i="115"/>
  <c r="O32" i="115"/>
  <c r="O20" i="115"/>
  <c r="O8" i="115"/>
  <c r="O42" i="115"/>
  <c r="O30" i="115"/>
  <c r="O18" i="115"/>
  <c r="O6" i="115"/>
  <c r="O41" i="115"/>
  <c r="O29" i="115"/>
  <c r="O17" i="115"/>
  <c r="O5" i="115"/>
  <c r="O40" i="115"/>
  <c r="O28" i="115"/>
  <c r="O16" i="115"/>
  <c r="O4" i="115"/>
  <c r="O39" i="115"/>
  <c r="O27" i="115"/>
  <c r="O15" i="115"/>
  <c r="C8" i="111"/>
  <c r="A7" i="226"/>
  <c r="O51" i="115" l="1"/>
  <c r="O50" i="115"/>
  <c r="F6" i="226"/>
  <c r="B7" i="226"/>
  <c r="A8" i="226"/>
  <c r="C7" i="226" l="1"/>
  <c r="F7" i="226" s="1"/>
  <c r="G7" i="226" s="1"/>
  <c r="B8" i="226"/>
  <c r="A9" i="226"/>
  <c r="C8" i="226" l="1"/>
  <c r="B9" i="226"/>
  <c r="A10" i="226"/>
  <c r="B34" i="1"/>
  <c r="B18" i="1"/>
  <c r="B19" i="1" s="1"/>
  <c r="F8" i="226" l="1"/>
  <c r="G8" i="226" s="1"/>
  <c r="C9" i="226"/>
  <c r="B10" i="226"/>
  <c r="A11" i="226"/>
  <c r="F9" i="226" l="1"/>
  <c r="G9" i="226" s="1"/>
  <c r="C10" i="226"/>
  <c r="B11" i="226"/>
  <c r="A12" i="226"/>
  <c r="F10" i="226" l="1"/>
  <c r="G10" i="226" s="1"/>
  <c r="C11" i="226"/>
  <c r="B12" i="226"/>
  <c r="A13" i="226"/>
  <c r="B17" i="1"/>
  <c r="B3" i="1"/>
  <c r="B4" i="1" l="1"/>
  <c r="G45" i="227" s="1"/>
  <c r="B4" i="220"/>
  <c r="C2" i="220"/>
  <c r="B9" i="220"/>
  <c r="G50" i="227"/>
  <c r="G10" i="227"/>
  <c r="G52" i="227"/>
  <c r="G56" i="227"/>
  <c r="G62" i="227"/>
  <c r="G63" i="227"/>
  <c r="G65" i="227"/>
  <c r="G69" i="227"/>
  <c r="G75" i="227"/>
  <c r="G35" i="227"/>
  <c r="G36" i="227"/>
  <c r="O383" i="3"/>
  <c r="P383" i="3" s="1"/>
  <c r="O162" i="3"/>
  <c r="P162" i="3" s="1"/>
  <c r="O177" i="3"/>
  <c r="P177" i="3" s="1"/>
  <c r="O87" i="3"/>
  <c r="P87" i="3" s="1"/>
  <c r="O178" i="3"/>
  <c r="P178" i="3" s="1"/>
  <c r="O317" i="3"/>
  <c r="P317" i="3" s="1"/>
  <c r="O437" i="3"/>
  <c r="P437" i="3" s="1"/>
  <c r="O196" i="3"/>
  <c r="P196" i="3" s="1"/>
  <c r="O154" i="3"/>
  <c r="P154" i="3" s="1"/>
  <c r="O57" i="3"/>
  <c r="P57" i="3" s="1"/>
  <c r="O275" i="3"/>
  <c r="P275" i="3" s="1"/>
  <c r="O329" i="3"/>
  <c r="P329" i="3" s="1"/>
  <c r="O20" i="3"/>
  <c r="P20" i="3" s="1"/>
  <c r="O412" i="3"/>
  <c r="P412" i="3" s="1"/>
  <c r="O399" i="3"/>
  <c r="P399" i="3" s="1"/>
  <c r="O160" i="3"/>
  <c r="P160" i="3" s="1"/>
  <c r="O245" i="3"/>
  <c r="P245" i="3" s="1"/>
  <c r="O33" i="3"/>
  <c r="P33" i="3" s="1"/>
  <c r="O400" i="3"/>
  <c r="P400" i="3" s="1"/>
  <c r="O261" i="3"/>
  <c r="P261" i="3" s="1"/>
  <c r="O40" i="3"/>
  <c r="P40" i="3" s="1"/>
  <c r="O457" i="3"/>
  <c r="P457" i="3" s="1"/>
  <c r="O316" i="3"/>
  <c r="P316" i="3" s="1"/>
  <c r="O322" i="3"/>
  <c r="P322" i="3" s="1"/>
  <c r="O131" i="3"/>
  <c r="P131" i="3" s="1"/>
  <c r="O460" i="3"/>
  <c r="P460" i="3" s="1"/>
  <c r="O65" i="3"/>
  <c r="P65" i="3" s="1"/>
  <c r="O233" i="3"/>
  <c r="P233" i="3" s="1"/>
  <c r="O130" i="3"/>
  <c r="P130" i="3" s="1"/>
  <c r="O419" i="3"/>
  <c r="P419" i="3" s="1"/>
  <c r="O415" i="3"/>
  <c r="P415" i="3" s="1"/>
  <c r="O396" i="3"/>
  <c r="P396" i="3" s="1"/>
  <c r="O418" i="3"/>
  <c r="P418" i="3" s="1"/>
  <c r="O411" i="3"/>
  <c r="P411" i="3" s="1"/>
  <c r="O320" i="3"/>
  <c r="P320" i="3" s="1"/>
  <c r="O101" i="3"/>
  <c r="P101" i="3" s="1"/>
  <c r="O112" i="3"/>
  <c r="P112" i="3" s="1"/>
  <c r="O63" i="3"/>
  <c r="P63" i="3" s="1"/>
  <c r="O133" i="3"/>
  <c r="P133" i="3" s="1"/>
  <c r="O303" i="3"/>
  <c r="P303" i="3" s="1"/>
  <c r="O84" i="3"/>
  <c r="P84" i="3" s="1"/>
  <c r="O232" i="3"/>
  <c r="P232" i="3" s="1"/>
  <c r="O367" i="3"/>
  <c r="P367" i="3" s="1"/>
  <c r="O375" i="3"/>
  <c r="P375" i="3" s="1"/>
  <c r="O417" i="3"/>
  <c r="P417" i="3" s="1"/>
  <c r="O79" i="3"/>
  <c r="P79" i="3" s="1"/>
  <c r="O387" i="3"/>
  <c r="P387" i="3" s="1"/>
  <c r="O197" i="3"/>
  <c r="P197" i="3" s="1"/>
  <c r="O141" i="3"/>
  <c r="P141" i="3" s="1"/>
  <c r="O135" i="3"/>
  <c r="P135" i="3" s="1"/>
  <c r="O350" i="3"/>
  <c r="P350" i="3" s="1"/>
  <c r="O299" i="3"/>
  <c r="P299" i="3" s="1"/>
  <c r="O234" i="3"/>
  <c r="P234" i="3" s="1"/>
  <c r="O384" i="3"/>
  <c r="P384" i="3" s="1"/>
  <c r="O382" i="3"/>
  <c r="P382" i="3" s="1"/>
  <c r="O266" i="3"/>
  <c r="P266" i="3" s="1"/>
  <c r="O310" i="3"/>
  <c r="P310" i="3" s="1"/>
  <c r="O10" i="3"/>
  <c r="P10" i="3" s="1"/>
  <c r="O30" i="3"/>
  <c r="P30" i="3" s="1"/>
  <c r="O238" i="3"/>
  <c r="P238" i="3" s="1"/>
  <c r="O21" i="3"/>
  <c r="P21" i="3" s="1"/>
  <c r="O62" i="3"/>
  <c r="P62" i="3" s="1"/>
  <c r="O476" i="3"/>
  <c r="P476" i="3" s="1"/>
  <c r="O405" i="3"/>
  <c r="P405" i="3" s="1"/>
  <c r="O285" i="3"/>
  <c r="P285" i="3" s="1"/>
  <c r="O284" i="3"/>
  <c r="P284" i="3" s="1"/>
  <c r="O22" i="3"/>
  <c r="P22" i="3" s="1"/>
  <c r="O300" i="3"/>
  <c r="P300" i="3" s="1"/>
  <c r="O260" i="3"/>
  <c r="P260" i="3" s="1"/>
  <c r="O464" i="3"/>
  <c r="P464" i="3" s="1"/>
  <c r="O251" i="3"/>
  <c r="P251" i="3" s="1"/>
  <c r="O223" i="3"/>
  <c r="P223" i="3" s="1"/>
  <c r="O311" i="3"/>
  <c r="P311" i="3" s="1"/>
  <c r="O298" i="3"/>
  <c r="P298" i="3" s="1"/>
  <c r="O97" i="3"/>
  <c r="P97" i="3" s="1"/>
  <c r="O103" i="3"/>
  <c r="P103" i="3" s="1"/>
  <c r="O191" i="3"/>
  <c r="P191" i="3" s="1"/>
  <c r="O170" i="3"/>
  <c r="P170" i="3" s="1"/>
  <c r="O479" i="3"/>
  <c r="P479" i="3" s="1"/>
  <c r="O362" i="3"/>
  <c r="P362" i="3" s="1"/>
  <c r="O240" i="3"/>
  <c r="P240" i="3" s="1"/>
  <c r="O428" i="3"/>
  <c r="P428" i="3" s="1"/>
  <c r="O122" i="3"/>
  <c r="P122" i="3" s="1"/>
  <c r="O166" i="3"/>
  <c r="P166" i="3" s="1"/>
  <c r="O342" i="3"/>
  <c r="P342" i="3" s="1"/>
  <c r="O71" i="3"/>
  <c r="P71" i="3" s="1"/>
  <c r="O220" i="3"/>
  <c r="P220" i="3" s="1"/>
  <c r="O192" i="3"/>
  <c r="P192" i="3" s="1"/>
  <c r="O426" i="3"/>
  <c r="P426" i="3" s="1"/>
  <c r="O364" i="3"/>
  <c r="P364" i="3" s="1"/>
  <c r="O48" i="3"/>
  <c r="P48" i="3" s="1"/>
  <c r="O395" i="3"/>
  <c r="P395" i="3" s="1"/>
  <c r="O353" i="3"/>
  <c r="P353" i="3" s="1"/>
  <c r="O9" i="3"/>
  <c r="P9" i="3" s="1"/>
  <c r="O334" i="3"/>
  <c r="P334" i="3" s="1"/>
  <c r="O151" i="3"/>
  <c r="P151" i="3" s="1"/>
  <c r="O371" i="3"/>
  <c r="P371" i="3" s="1"/>
  <c r="O288" i="3"/>
  <c r="P288" i="3" s="1"/>
  <c r="O332" i="3"/>
  <c r="P332" i="3" s="1"/>
  <c r="O429" i="3"/>
  <c r="P429" i="3" s="1"/>
  <c r="O337" i="3"/>
  <c r="P337" i="3" s="1"/>
  <c r="O263" i="3"/>
  <c r="P263" i="3" s="1"/>
  <c r="O462" i="3"/>
  <c r="P462" i="3" s="1"/>
  <c r="O467" i="3"/>
  <c r="P467" i="3" s="1"/>
  <c r="O377" i="3"/>
  <c r="P377" i="3" s="1"/>
  <c r="O379" i="3"/>
  <c r="P379" i="3" s="1"/>
  <c r="O106" i="3"/>
  <c r="P106" i="3" s="1"/>
  <c r="O282" i="3"/>
  <c r="P282" i="3" s="1"/>
  <c r="O414" i="3"/>
  <c r="P414" i="3" s="1"/>
  <c r="O361" i="3"/>
  <c r="P361" i="3" s="1"/>
  <c r="O470" i="3"/>
  <c r="P470" i="3" s="1"/>
  <c r="O182" i="3"/>
  <c r="P182" i="3" s="1"/>
  <c r="O431" i="3"/>
  <c r="P431" i="3" s="1"/>
  <c r="O140" i="3"/>
  <c r="P140" i="3" s="1"/>
  <c r="O169" i="3"/>
  <c r="P169" i="3" s="1"/>
  <c r="O357" i="3"/>
  <c r="P357" i="3" s="1"/>
  <c r="O89" i="3"/>
  <c r="P89" i="3" s="1"/>
  <c r="O335" i="3"/>
  <c r="P335" i="3" s="1"/>
  <c r="O291" i="3"/>
  <c r="P291" i="3" s="1"/>
  <c r="O239" i="3"/>
  <c r="P239" i="3" s="1"/>
  <c r="O25" i="3"/>
  <c r="P25" i="3" s="1"/>
  <c r="O471" i="3"/>
  <c r="P471" i="3" s="1"/>
  <c r="O430" i="3"/>
  <c r="P430" i="3" s="1"/>
  <c r="O440" i="3"/>
  <c r="P440" i="3" s="1"/>
  <c r="O45" i="3"/>
  <c r="P45" i="3" s="1"/>
  <c r="O156" i="3"/>
  <c r="P156" i="3" s="1"/>
  <c r="O407" i="3"/>
  <c r="P407" i="3" s="1"/>
  <c r="O438" i="3"/>
  <c r="P438" i="3" s="1"/>
  <c r="O390" i="3"/>
  <c r="P390" i="3" s="1"/>
  <c r="O222" i="3"/>
  <c r="P222" i="3" s="1"/>
  <c r="O38" i="3"/>
  <c r="P38" i="3" s="1"/>
  <c r="O256" i="3"/>
  <c r="P256" i="3" s="1"/>
  <c r="O173" i="3"/>
  <c r="P173" i="3" s="1"/>
  <c r="O159" i="3"/>
  <c r="P159" i="3" s="1"/>
  <c r="O374" i="3"/>
  <c r="P374" i="3" s="1"/>
  <c r="O253" i="3"/>
  <c r="P253" i="3" s="1"/>
  <c r="O328" i="3"/>
  <c r="P328" i="3" s="1"/>
  <c r="O7" i="3"/>
  <c r="P7" i="3" s="1"/>
  <c r="O217" i="3"/>
  <c r="P217" i="3" s="1"/>
  <c r="O276" i="3"/>
  <c r="P276" i="3" s="1"/>
  <c r="O202" i="3"/>
  <c r="P202" i="3" s="1"/>
  <c r="O158" i="3"/>
  <c r="P158" i="3" s="1"/>
  <c r="O287" i="3"/>
  <c r="P287" i="3" s="1"/>
  <c r="O475" i="3"/>
  <c r="P475" i="3" s="1"/>
  <c r="O302" i="3"/>
  <c r="P302" i="3" s="1"/>
  <c r="O254" i="3"/>
  <c r="P254" i="3" s="1"/>
  <c r="O293" i="3"/>
  <c r="P293" i="3" s="1"/>
  <c r="O445" i="3"/>
  <c r="P445" i="3" s="1"/>
  <c r="O194" i="3"/>
  <c r="P194" i="3" s="1"/>
  <c r="O146" i="3"/>
  <c r="P146" i="3" s="1"/>
  <c r="O74" i="3"/>
  <c r="P74" i="3" s="1"/>
  <c r="O385" i="3"/>
  <c r="P385" i="3" s="1"/>
  <c r="O449" i="3"/>
  <c r="P449" i="3" s="1"/>
  <c r="O344" i="3"/>
  <c r="P344" i="3" s="1"/>
  <c r="O205" i="3"/>
  <c r="P205" i="3" s="1"/>
  <c r="O144" i="3"/>
  <c r="P144" i="3" s="1"/>
  <c r="O12" i="3"/>
  <c r="P12" i="3" s="1"/>
  <c r="O200" i="3"/>
  <c r="P200" i="3" s="1"/>
  <c r="O91" i="3"/>
  <c r="P91" i="3" s="1"/>
  <c r="O289" i="3"/>
  <c r="P289" i="3" s="1"/>
  <c r="O179" i="3"/>
  <c r="P179" i="3" s="1"/>
  <c r="O280" i="3"/>
  <c r="P280" i="3" s="1"/>
  <c r="O323" i="3"/>
  <c r="P323" i="3" s="1"/>
  <c r="O86" i="3"/>
  <c r="P86" i="3" s="1"/>
  <c r="O68" i="3"/>
  <c r="P68" i="3" s="1"/>
  <c r="O297" i="3"/>
  <c r="P297" i="3" s="1"/>
  <c r="O125" i="3"/>
  <c r="P125" i="3" s="1"/>
  <c r="O168" i="3"/>
  <c r="P168" i="3" s="1"/>
  <c r="O164" i="3"/>
  <c r="P164" i="3" s="1"/>
  <c r="O446" i="3"/>
  <c r="P446" i="3" s="1"/>
  <c r="O58" i="3"/>
  <c r="P58" i="3" s="1"/>
  <c r="O434" i="3"/>
  <c r="P434" i="3" s="1"/>
  <c r="O143" i="3"/>
  <c r="P143" i="3" s="1"/>
  <c r="O331" i="3"/>
  <c r="P331" i="3" s="1"/>
  <c r="O64" i="3"/>
  <c r="P64" i="3" s="1"/>
  <c r="O360" i="3"/>
  <c r="P360" i="3" s="1"/>
  <c r="O69" i="3"/>
  <c r="P69" i="3" s="1"/>
  <c r="O365" i="3"/>
  <c r="P365" i="3" s="1"/>
  <c r="O439" i="3"/>
  <c r="P439" i="3" s="1"/>
  <c r="O24" i="3"/>
  <c r="P24" i="3" s="1"/>
  <c r="O286" i="3"/>
  <c r="P286" i="3" s="1"/>
  <c r="O36" i="3"/>
  <c r="P36" i="3" s="1"/>
  <c r="O211" i="3"/>
  <c r="P211" i="3" s="1"/>
  <c r="O43" i="3"/>
  <c r="P43" i="3" s="1"/>
  <c r="O171" i="3"/>
  <c r="P171" i="3" s="1"/>
  <c r="O115" i="3"/>
  <c r="P115" i="3" s="1"/>
  <c r="O455" i="3"/>
  <c r="P455" i="3" s="1"/>
  <c r="O190" i="3"/>
  <c r="P190" i="3" s="1"/>
  <c r="O83" i="3"/>
  <c r="P83" i="3" s="1"/>
  <c r="O8" i="3"/>
  <c r="P8" i="3" s="1"/>
  <c r="O451" i="3"/>
  <c r="P451" i="3" s="1"/>
  <c r="O226" i="3"/>
  <c r="P226" i="3" s="1"/>
  <c r="O376" i="3"/>
  <c r="P376" i="3" s="1"/>
  <c r="O370" i="3"/>
  <c r="P370" i="3" s="1"/>
  <c r="O180" i="3"/>
  <c r="P180" i="3" s="1"/>
  <c r="O444" i="3"/>
  <c r="P444" i="3" s="1"/>
  <c r="O153" i="3"/>
  <c r="P153" i="3" s="1"/>
  <c r="O28" i="3"/>
  <c r="P28" i="3" s="1"/>
  <c r="O264" i="3"/>
  <c r="P264" i="3" s="1"/>
  <c r="O355" i="3"/>
  <c r="P355" i="3" s="1"/>
  <c r="O14" i="3"/>
  <c r="P14" i="3" s="1"/>
  <c r="O393" i="3"/>
  <c r="P393" i="3" s="1"/>
  <c r="O290" i="3"/>
  <c r="P290" i="3" s="1"/>
  <c r="O478" i="3"/>
  <c r="P478" i="3" s="1"/>
  <c r="O187" i="3"/>
  <c r="P187" i="3" s="1"/>
  <c r="O278" i="3"/>
  <c r="P278" i="3" s="1"/>
  <c r="O216" i="3"/>
  <c r="P216" i="3" s="1"/>
  <c r="O404" i="3"/>
  <c r="P404" i="3" s="1"/>
  <c r="O204" i="3"/>
  <c r="P204" i="3" s="1"/>
  <c r="O295" i="3"/>
  <c r="P295" i="3" s="1"/>
  <c r="O118" i="3"/>
  <c r="P118" i="3" s="1"/>
  <c r="O242" i="3"/>
  <c r="P242" i="3" s="1"/>
  <c r="O477" i="3"/>
  <c r="P477" i="3" s="1"/>
  <c r="O129" i="3"/>
  <c r="P129" i="3" s="1"/>
  <c r="O401" i="3"/>
  <c r="P401" i="3" s="1"/>
  <c r="O99" i="3"/>
  <c r="P99" i="3" s="1"/>
  <c r="O60" i="3"/>
  <c r="P60" i="3" s="1"/>
  <c r="O273" i="3"/>
  <c r="P273" i="3" s="1"/>
  <c r="O481" i="3"/>
  <c r="P481" i="3" s="1"/>
  <c r="O116" i="3"/>
  <c r="P116" i="3" s="1"/>
  <c r="O433" i="3"/>
  <c r="P433" i="3" s="1"/>
  <c r="O255" i="3"/>
  <c r="P255" i="3" s="1"/>
  <c r="O207" i="3"/>
  <c r="P207" i="3" s="1"/>
  <c r="O46" i="3"/>
  <c r="P46" i="3" s="1"/>
  <c r="O339" i="3"/>
  <c r="P339" i="3" s="1"/>
  <c r="O427" i="3"/>
  <c r="P427" i="3" s="1"/>
  <c r="O480" i="3"/>
  <c r="P480" i="3" s="1"/>
  <c r="O258" i="3"/>
  <c r="P258" i="3" s="1"/>
  <c r="O149" i="3"/>
  <c r="P149" i="3" s="1"/>
  <c r="O32" i="3"/>
  <c r="P32" i="3" s="1"/>
  <c r="O274" i="3"/>
  <c r="P274" i="3" s="1"/>
  <c r="O294" i="3"/>
  <c r="P294" i="3" s="1"/>
  <c r="O347" i="3"/>
  <c r="P347" i="3" s="1"/>
  <c r="O56" i="3"/>
  <c r="P56" i="3" s="1"/>
  <c r="O456" i="3"/>
  <c r="P456" i="3" s="1"/>
  <c r="O126" i="3"/>
  <c r="P126" i="3" s="1"/>
  <c r="O167" i="3"/>
  <c r="P167" i="3" s="1"/>
  <c r="O246" i="3"/>
  <c r="P246" i="3" s="1"/>
  <c r="O252" i="3"/>
  <c r="P252" i="3" s="1"/>
  <c r="O343" i="3"/>
  <c r="P343" i="3" s="1"/>
  <c r="O193" i="3"/>
  <c r="P193" i="3" s="1"/>
  <c r="O381" i="3"/>
  <c r="P381" i="3" s="1"/>
  <c r="O78" i="3"/>
  <c r="P78" i="3" s="1"/>
  <c r="O338" i="3"/>
  <c r="P338" i="3" s="1"/>
  <c r="O229" i="3"/>
  <c r="P229" i="3" s="1"/>
  <c r="O119" i="3"/>
  <c r="P119" i="3" s="1"/>
  <c r="O307" i="3"/>
  <c r="P307" i="3" s="1"/>
  <c r="O53" i="3"/>
  <c r="P53" i="3" s="1"/>
  <c r="O442" i="3"/>
  <c r="P442" i="3" s="1"/>
  <c r="O42" i="3"/>
  <c r="P42" i="3" s="1"/>
  <c r="O44" i="3"/>
  <c r="P44" i="3" s="1"/>
  <c r="O145" i="3"/>
  <c r="P145" i="3" s="1"/>
  <c r="O283" i="3"/>
  <c r="P283" i="3" s="1"/>
  <c r="O76" i="3"/>
  <c r="P76" i="3" s="1"/>
  <c r="O114" i="3"/>
  <c r="P114" i="3" s="1"/>
  <c r="O279" i="3"/>
  <c r="P279" i="3" s="1"/>
  <c r="O121" i="3"/>
  <c r="P121" i="3" s="1"/>
  <c r="O218" i="3"/>
  <c r="P218" i="3" s="1"/>
  <c r="O150" i="3"/>
  <c r="P150" i="3" s="1"/>
  <c r="O203" i="3"/>
  <c r="P203" i="3" s="1"/>
  <c r="O391" i="3"/>
  <c r="P391" i="3" s="1"/>
  <c r="O309" i="3"/>
  <c r="P309" i="3" s="1"/>
  <c r="O373" i="3"/>
  <c r="P373" i="3" s="1"/>
  <c r="O23" i="3"/>
  <c r="P23" i="3" s="1"/>
  <c r="O409" i="3"/>
  <c r="P409" i="3" s="1"/>
  <c r="O108" i="3"/>
  <c r="P108" i="3" s="1"/>
  <c r="O55" i="3"/>
  <c r="P55" i="3" s="1"/>
  <c r="O49" i="3"/>
  <c r="P49" i="3" s="1"/>
  <c r="O237" i="3"/>
  <c r="P237" i="3" s="1"/>
  <c r="O185" i="3"/>
  <c r="P185" i="3" s="1"/>
  <c r="O432" i="3"/>
  <c r="P432" i="3" s="1"/>
  <c r="O410" i="3"/>
  <c r="P410" i="3" s="1"/>
  <c r="O454" i="3"/>
  <c r="P454" i="3" s="1"/>
  <c r="O163" i="3"/>
  <c r="P163" i="3" s="1"/>
  <c r="O41" i="3"/>
  <c r="P41" i="3" s="1"/>
  <c r="F11" i="226"/>
  <c r="G11" i="226" s="1"/>
  <c r="C12" i="226"/>
  <c r="B13" i="226"/>
  <c r="A14" i="226"/>
  <c r="B22" i="1"/>
  <c r="C5" i="111"/>
  <c r="B5" i="1"/>
  <c r="G76" i="227" l="1"/>
  <c r="G22" i="227"/>
  <c r="G51" i="227"/>
  <c r="O459" i="3"/>
  <c r="P459" i="3" s="1"/>
  <c r="O104" i="3"/>
  <c r="P104" i="3" s="1"/>
  <c r="O124" i="3"/>
  <c r="P124" i="3" s="1"/>
  <c r="O482" i="3"/>
  <c r="P482" i="3" s="1"/>
  <c r="O137" i="3"/>
  <c r="P137" i="3" s="1"/>
  <c r="O134" i="3"/>
  <c r="P134" i="3" s="1"/>
  <c r="G34" i="227"/>
  <c r="G21" i="227"/>
  <c r="G9" i="227"/>
  <c r="G73" i="227"/>
  <c r="G19" i="227"/>
  <c r="G47" i="227"/>
  <c r="O394" i="3"/>
  <c r="P394" i="3" s="1"/>
  <c r="O201" i="3"/>
  <c r="P201" i="3" s="1"/>
  <c r="O147" i="3"/>
  <c r="P147" i="3" s="1"/>
  <c r="O358" i="3"/>
  <c r="P358" i="3" s="1"/>
  <c r="O354" i="3"/>
  <c r="P354" i="3" s="1"/>
  <c r="O90" i="3"/>
  <c r="P90" i="3" s="1"/>
  <c r="O52" i="3"/>
  <c r="P52" i="3" s="1"/>
  <c r="O420" i="3"/>
  <c r="P420" i="3" s="1"/>
  <c r="O249" i="3"/>
  <c r="P249" i="3" s="1"/>
  <c r="O209" i="3"/>
  <c r="P209" i="3" s="1"/>
  <c r="O340" i="3"/>
  <c r="P340" i="3" s="1"/>
  <c r="O199" i="3"/>
  <c r="P199" i="3" s="1"/>
  <c r="G30" i="227"/>
  <c r="G17" i="227"/>
  <c r="G46" i="227"/>
  <c r="O241" i="3"/>
  <c r="P241" i="3" s="1"/>
  <c r="O29" i="3"/>
  <c r="P29" i="3" s="1"/>
  <c r="O73" i="3"/>
  <c r="P73" i="3" s="1"/>
  <c r="O463" i="3"/>
  <c r="P463" i="3" s="1"/>
  <c r="O77" i="3"/>
  <c r="P77" i="3" s="1"/>
  <c r="O448" i="3"/>
  <c r="P448" i="3" s="1"/>
  <c r="O142" i="3"/>
  <c r="P142" i="3" s="1"/>
  <c r="O321" i="3"/>
  <c r="P321" i="3" s="1"/>
  <c r="O228" i="3"/>
  <c r="P228" i="3" s="1"/>
  <c r="G29" i="227"/>
  <c r="G16" i="227"/>
  <c r="G4" i="227"/>
  <c r="O473" i="3"/>
  <c r="P473" i="3" s="1"/>
  <c r="O313" i="3"/>
  <c r="P313" i="3" s="1"/>
  <c r="O336" i="3"/>
  <c r="P336" i="3" s="1"/>
  <c r="O247" i="3"/>
  <c r="P247" i="3" s="1"/>
  <c r="O272" i="3"/>
  <c r="P272" i="3" s="1"/>
  <c r="O468" i="3"/>
  <c r="P468" i="3" s="1"/>
  <c r="O363" i="3"/>
  <c r="P363" i="3" s="1"/>
  <c r="O139" i="3"/>
  <c r="P139" i="3" s="1"/>
  <c r="O81" i="3"/>
  <c r="P81" i="3" s="1"/>
  <c r="O175" i="3"/>
  <c r="P175" i="3" s="1"/>
  <c r="O352" i="3"/>
  <c r="P352" i="3" s="1"/>
  <c r="O243" i="3"/>
  <c r="P243" i="3" s="1"/>
  <c r="G70" i="227"/>
  <c r="G57" i="227"/>
  <c r="G23" i="227"/>
  <c r="O208" i="3"/>
  <c r="P208" i="3" s="1"/>
  <c r="O270" i="3"/>
  <c r="P270" i="3" s="1"/>
  <c r="O398" i="3"/>
  <c r="P398" i="3" s="1"/>
  <c r="O59" i="3"/>
  <c r="P59" i="3" s="1"/>
  <c r="O138" i="3"/>
  <c r="P138" i="3" s="1"/>
  <c r="O95" i="3"/>
  <c r="P95" i="3" s="1"/>
  <c r="O281" i="3"/>
  <c r="P281" i="3" s="1"/>
  <c r="O469" i="3"/>
  <c r="P469" i="3" s="1"/>
  <c r="O132" i="3"/>
  <c r="P132" i="3" s="1"/>
  <c r="O31" i="3"/>
  <c r="P31" i="3" s="1"/>
  <c r="O18" i="3"/>
  <c r="P18" i="3" s="1"/>
  <c r="O189" i="3"/>
  <c r="P189" i="3" s="1"/>
  <c r="G28" i="227"/>
  <c r="G15" i="227"/>
  <c r="O215" i="3"/>
  <c r="P215" i="3" s="1"/>
  <c r="O11" i="3"/>
  <c r="P11" i="3" s="1"/>
  <c r="O19" i="3"/>
  <c r="P19" i="3" s="1"/>
  <c r="O176" i="3"/>
  <c r="P176" i="3" s="1"/>
  <c r="O127" i="3"/>
  <c r="P127" i="3" s="1"/>
  <c r="O184" i="3"/>
  <c r="P184" i="3" s="1"/>
  <c r="O219" i="3"/>
  <c r="P219" i="3" s="1"/>
  <c r="O105" i="3"/>
  <c r="P105" i="3" s="1"/>
  <c r="O148" i="3"/>
  <c r="P148" i="3" s="1"/>
  <c r="O402" i="3"/>
  <c r="P402" i="3" s="1"/>
  <c r="O174" i="3"/>
  <c r="P174" i="3" s="1"/>
  <c r="G38" i="227"/>
  <c r="G26" i="227"/>
  <c r="G54" i="227"/>
  <c r="G44" i="227"/>
  <c r="O348" i="3"/>
  <c r="P348" i="3" s="1"/>
  <c r="O326" i="3"/>
  <c r="P326" i="3" s="1"/>
  <c r="O397" i="3"/>
  <c r="P397" i="3" s="1"/>
  <c r="O330" i="3"/>
  <c r="P330" i="3" s="1"/>
  <c r="O123" i="3"/>
  <c r="P123" i="3" s="1"/>
  <c r="O188" i="3"/>
  <c r="P188" i="3" s="1"/>
  <c r="O206" i="3"/>
  <c r="P206" i="3" s="1"/>
  <c r="O312" i="3"/>
  <c r="P312" i="3" s="1"/>
  <c r="O96" i="3"/>
  <c r="P96" i="3" s="1"/>
  <c r="O183" i="3"/>
  <c r="P183" i="3" s="1"/>
  <c r="O88" i="3"/>
  <c r="P88" i="3" s="1"/>
  <c r="O359" i="3"/>
  <c r="P359" i="3" s="1"/>
  <c r="O474" i="3"/>
  <c r="P474" i="3" s="1"/>
  <c r="O315" i="3"/>
  <c r="P315" i="3" s="1"/>
  <c r="O39" i="3"/>
  <c r="P39" i="3" s="1"/>
  <c r="O368" i="3"/>
  <c r="P368" i="3" s="1"/>
  <c r="O70" i="3"/>
  <c r="P70" i="3" s="1"/>
  <c r="O436" i="3"/>
  <c r="P436" i="3" s="1"/>
  <c r="O472" i="3"/>
  <c r="P472" i="3" s="1"/>
  <c r="O257" i="3"/>
  <c r="P257" i="3" s="1"/>
  <c r="O318" i="3"/>
  <c r="P318" i="3" s="1"/>
  <c r="O296" i="3"/>
  <c r="P296" i="3" s="1"/>
  <c r="O227" i="3"/>
  <c r="P227" i="3" s="1"/>
  <c r="O466" i="3"/>
  <c r="P466" i="3" s="1"/>
  <c r="O195" i="3"/>
  <c r="P195" i="3" s="1"/>
  <c r="G39" i="227"/>
  <c r="G74" i="227"/>
  <c r="G68" i="227"/>
  <c r="G20" i="227"/>
  <c r="G14" i="227"/>
  <c r="G8" i="227"/>
  <c r="G2" i="227"/>
  <c r="O304" i="3"/>
  <c r="P304" i="3" s="1"/>
  <c r="O268" i="3"/>
  <c r="P268" i="3" s="1"/>
  <c r="O453" i="3"/>
  <c r="P453" i="3" s="1"/>
  <c r="O447" i="3"/>
  <c r="P447" i="3" s="1"/>
  <c r="O13" i="3"/>
  <c r="P13" i="3" s="1"/>
  <c r="O408" i="3"/>
  <c r="P408" i="3" s="1"/>
  <c r="O61" i="3"/>
  <c r="P61" i="3" s="1"/>
  <c r="O259" i="3"/>
  <c r="P259" i="3" s="1"/>
  <c r="O308" i="3"/>
  <c r="P308" i="3" s="1"/>
  <c r="O107" i="3"/>
  <c r="P107" i="3" s="1"/>
  <c r="O248" i="3"/>
  <c r="P248" i="3" s="1"/>
  <c r="O267" i="3"/>
  <c r="P267" i="3" s="1"/>
  <c r="O356" i="3"/>
  <c r="P356" i="3" s="1"/>
  <c r="O366" i="3"/>
  <c r="P366" i="3" s="1"/>
  <c r="O54" i="3"/>
  <c r="P54" i="3" s="1"/>
  <c r="O461" i="3"/>
  <c r="P461" i="3" s="1"/>
  <c r="O262" i="3"/>
  <c r="P262" i="3" s="1"/>
  <c r="O67" i="3"/>
  <c r="P67" i="3" s="1"/>
  <c r="O235" i="3"/>
  <c r="P235" i="3" s="1"/>
  <c r="O324" i="3"/>
  <c r="P324" i="3" s="1"/>
  <c r="O93" i="3"/>
  <c r="P93" i="3" s="1"/>
  <c r="O165" i="3"/>
  <c r="P165" i="3" s="1"/>
  <c r="O386" i="3"/>
  <c r="P386" i="3" s="1"/>
  <c r="O236" i="3"/>
  <c r="P236" i="3" s="1"/>
  <c r="O17" i="3"/>
  <c r="P17" i="3" s="1"/>
  <c r="O113" i="3"/>
  <c r="P113" i="3" s="1"/>
  <c r="O388" i="3"/>
  <c r="P388" i="3" s="1"/>
  <c r="O271" i="3"/>
  <c r="P271" i="3" s="1"/>
  <c r="O378" i="3"/>
  <c r="P378" i="3" s="1"/>
  <c r="O327" i="3"/>
  <c r="P327" i="3" s="1"/>
  <c r="O425" i="3"/>
  <c r="P425" i="3" s="1"/>
  <c r="O82" i="3"/>
  <c r="P82" i="3" s="1"/>
  <c r="O389" i="3"/>
  <c r="P389" i="3" s="1"/>
  <c r="O452" i="3"/>
  <c r="P452" i="3" s="1"/>
  <c r="O416" i="3"/>
  <c r="P416" i="3" s="1"/>
  <c r="G80" i="227"/>
  <c r="G33" i="227"/>
  <c r="G27" i="227"/>
  <c r="G61" i="227"/>
  <c r="G55" i="227"/>
  <c r="G49" i="227"/>
  <c r="G64" i="227"/>
  <c r="G3" i="227"/>
  <c r="O198" i="3"/>
  <c r="P198" i="3" s="1"/>
  <c r="O27" i="3"/>
  <c r="P27" i="3" s="1"/>
  <c r="O372" i="3"/>
  <c r="P372" i="3" s="1"/>
  <c r="O172" i="3"/>
  <c r="P172" i="3" s="1"/>
  <c r="O37" i="3"/>
  <c r="P37" i="3" s="1"/>
  <c r="O458" i="3"/>
  <c r="P458" i="3" s="1"/>
  <c r="O210" i="3"/>
  <c r="P210" i="3" s="1"/>
  <c r="O413" i="3"/>
  <c r="P413" i="3" s="1"/>
  <c r="O465" i="3"/>
  <c r="P465" i="3" s="1"/>
  <c r="O221" i="3"/>
  <c r="P221" i="3" s="1"/>
  <c r="O325" i="3"/>
  <c r="P325" i="3" s="1"/>
  <c r="O277" i="3"/>
  <c r="P277" i="3" s="1"/>
  <c r="G79" i="227"/>
  <c r="G32" i="227"/>
  <c r="G67" i="227"/>
  <c r="G60" i="227"/>
  <c r="G13" i="227"/>
  <c r="G7" i="227"/>
  <c r="F6" i="111"/>
  <c r="O306" i="3"/>
  <c r="P306" i="3" s="1"/>
  <c r="O80" i="3"/>
  <c r="P80" i="3" s="1"/>
  <c r="O314" i="3"/>
  <c r="P314" i="3" s="1"/>
  <c r="O424" i="3"/>
  <c r="P424" i="3" s="1"/>
  <c r="G37" i="227"/>
  <c r="G31" i="227"/>
  <c r="G25" i="227"/>
  <c r="G18" i="227"/>
  <c r="G12" i="227"/>
  <c r="G48" i="227"/>
  <c r="G43" i="227"/>
  <c r="O349" i="3"/>
  <c r="P349" i="3" s="1"/>
  <c r="O435" i="3"/>
  <c r="P435" i="3" s="1"/>
  <c r="O403" i="3"/>
  <c r="P403" i="3" s="1"/>
  <c r="O98" i="3"/>
  <c r="P98" i="3" s="1"/>
  <c r="O422" i="3"/>
  <c r="P422" i="3" s="1"/>
  <c r="O109" i="3"/>
  <c r="P109" i="3" s="1"/>
  <c r="O47" i="3"/>
  <c r="P47" i="3" s="1"/>
  <c r="O213" i="3"/>
  <c r="P213" i="3" s="1"/>
  <c r="O441" i="3"/>
  <c r="P441" i="3" s="1"/>
  <c r="O92" i="3"/>
  <c r="P92" i="3" s="1"/>
  <c r="O157" i="3"/>
  <c r="P157" i="3" s="1"/>
  <c r="O346" i="3"/>
  <c r="P346" i="3" s="1"/>
  <c r="O51" i="3"/>
  <c r="P51" i="3" s="1"/>
  <c r="O72" i="3"/>
  <c r="P72" i="3" s="1"/>
  <c r="O110" i="3"/>
  <c r="P110" i="3" s="1"/>
  <c r="O155" i="3"/>
  <c r="P155" i="3" s="1"/>
  <c r="O244" i="3"/>
  <c r="P244" i="3" s="1"/>
  <c r="O301" i="3"/>
  <c r="P301" i="3" s="1"/>
  <c r="O26" i="3"/>
  <c r="P26" i="3" s="1"/>
  <c r="O423" i="3"/>
  <c r="P423" i="3" s="1"/>
  <c r="O406" i="3"/>
  <c r="P406" i="3" s="1"/>
  <c r="O102" i="3"/>
  <c r="P102" i="3" s="1"/>
  <c r="O181" i="3"/>
  <c r="P181" i="3" s="1"/>
  <c r="O34" i="3"/>
  <c r="P34" i="3" s="1"/>
  <c r="O333" i="3"/>
  <c r="P333" i="3" s="1"/>
  <c r="O85" i="3"/>
  <c r="P85" i="3" s="1"/>
  <c r="O15" i="3"/>
  <c r="P15" i="3" s="1"/>
  <c r="O450" i="3"/>
  <c r="P450" i="3" s="1"/>
  <c r="O443" i="3"/>
  <c r="P443" i="3" s="1"/>
  <c r="O380" i="3"/>
  <c r="P380" i="3" s="1"/>
  <c r="O75" i="3"/>
  <c r="P75" i="3" s="1"/>
  <c r="O421" i="3"/>
  <c r="P421" i="3" s="1"/>
  <c r="O66" i="3"/>
  <c r="P66" i="3" s="1"/>
  <c r="O351" i="3"/>
  <c r="P351" i="3" s="1"/>
  <c r="O305" i="3"/>
  <c r="P305" i="3" s="1"/>
  <c r="G78" i="227"/>
  <c r="G72" i="227"/>
  <c r="G66" i="227"/>
  <c r="G59" i="227"/>
  <c r="G53" i="227"/>
  <c r="G6" i="227"/>
  <c r="F5" i="111"/>
  <c r="O161" i="3"/>
  <c r="P161" i="3" s="1"/>
  <c r="O212" i="3"/>
  <c r="P212" i="3" s="1"/>
  <c r="O152" i="3"/>
  <c r="P152" i="3" s="1"/>
  <c r="O392" i="3"/>
  <c r="P392" i="3" s="1"/>
  <c r="O117" i="3"/>
  <c r="P117" i="3" s="1"/>
  <c r="O94" i="3"/>
  <c r="P94" i="3" s="1"/>
  <c r="O120" i="3"/>
  <c r="P120" i="3" s="1"/>
  <c r="O345" i="3"/>
  <c r="P345" i="3" s="1"/>
  <c r="O214" i="3"/>
  <c r="P214" i="3" s="1"/>
  <c r="O186" i="3"/>
  <c r="P186" i="3" s="1"/>
  <c r="O50" i="3"/>
  <c r="P50" i="3" s="1"/>
  <c r="O250" i="3"/>
  <c r="P250" i="3" s="1"/>
  <c r="O265" i="3"/>
  <c r="P265" i="3" s="1"/>
  <c r="O35" i="3"/>
  <c r="P35" i="3" s="1"/>
  <c r="O136" i="3"/>
  <c r="P136" i="3" s="1"/>
  <c r="O230" i="3"/>
  <c r="P230" i="3" s="1"/>
  <c r="O128" i="3"/>
  <c r="P128" i="3" s="1"/>
  <c r="O224" i="3"/>
  <c r="P224" i="3" s="1"/>
  <c r="O369" i="3"/>
  <c r="P369" i="3" s="1"/>
  <c r="O16" i="3"/>
  <c r="P16" i="3" s="1"/>
  <c r="O292" i="3"/>
  <c r="P292" i="3" s="1"/>
  <c r="O100" i="3"/>
  <c r="P100" i="3" s="1"/>
  <c r="O225" i="3"/>
  <c r="P225" i="3" s="1"/>
  <c r="O231" i="3"/>
  <c r="P231" i="3" s="1"/>
  <c r="O341" i="3"/>
  <c r="P341" i="3" s="1"/>
  <c r="O111" i="3"/>
  <c r="P111" i="3" s="1"/>
  <c r="O269" i="3"/>
  <c r="P269" i="3" s="1"/>
  <c r="O319" i="3"/>
  <c r="P319" i="3" s="1"/>
  <c r="G77" i="227"/>
  <c r="G71" i="227"/>
  <c r="G24" i="227"/>
  <c r="G58" i="227"/>
  <c r="G11" i="227"/>
  <c r="G5" i="227"/>
  <c r="C9" i="220"/>
  <c r="J56" i="227"/>
  <c r="K56" i="227" s="1"/>
  <c r="J80" i="227"/>
  <c r="K80" i="227" s="1"/>
  <c r="J66" i="227"/>
  <c r="K66" i="227" s="1"/>
  <c r="J79" i="227"/>
  <c r="K79" i="227" s="1"/>
  <c r="J68" i="227"/>
  <c r="K68" i="227" s="1"/>
  <c r="J78" i="227"/>
  <c r="K78" i="227" s="1"/>
  <c r="J67" i="227"/>
  <c r="K67" i="227" s="1"/>
  <c r="J44" i="227"/>
  <c r="K44" i="227" s="1"/>
  <c r="J62" i="227"/>
  <c r="K62" i="227" s="1"/>
  <c r="J47" i="227"/>
  <c r="K47" i="227" s="1"/>
  <c r="J55" i="227"/>
  <c r="K55" i="227" s="1"/>
  <c r="J50" i="227"/>
  <c r="K50" i="227" s="1"/>
  <c r="J70" i="227"/>
  <c r="K70" i="227" s="1"/>
  <c r="J54" i="227"/>
  <c r="K54" i="227" s="1"/>
  <c r="J65" i="227"/>
  <c r="K65" i="227" s="1"/>
  <c r="J58" i="227"/>
  <c r="K58" i="227" s="1"/>
  <c r="H43" i="227"/>
  <c r="I43" i="227" s="1"/>
  <c r="J72" i="227"/>
  <c r="K72" i="227" s="1"/>
  <c r="J45" i="227"/>
  <c r="K45" i="227" s="1"/>
  <c r="J59" i="227"/>
  <c r="K59" i="227" s="1"/>
  <c r="J53" i="227"/>
  <c r="K53" i="227" s="1"/>
  <c r="J73" i="227"/>
  <c r="K73" i="227" s="1"/>
  <c r="J46" i="227"/>
  <c r="K46" i="227" s="1"/>
  <c r="J76" i="227"/>
  <c r="K76" i="227" s="1"/>
  <c r="J61" i="227"/>
  <c r="K61" i="227" s="1"/>
  <c r="J43" i="227"/>
  <c r="K43" i="227" s="1"/>
  <c r="J64" i="227"/>
  <c r="K64" i="227" s="1"/>
  <c r="J49" i="227"/>
  <c r="K49" i="227" s="1"/>
  <c r="J69" i="227"/>
  <c r="K69" i="227" s="1"/>
  <c r="H64" i="227"/>
  <c r="J74" i="227"/>
  <c r="K74" i="227" s="1"/>
  <c r="J52" i="227"/>
  <c r="K52" i="227" s="1"/>
  <c r="J57" i="227"/>
  <c r="K57" i="227" s="1"/>
  <c r="J77" i="227"/>
  <c r="K77" i="227" s="1"/>
  <c r="J60" i="227"/>
  <c r="K60" i="227" s="1"/>
  <c r="J51" i="227"/>
  <c r="K51" i="227" s="1"/>
  <c r="J48" i="227"/>
  <c r="K48" i="227" s="1"/>
  <c r="F3" i="111"/>
  <c r="J63" i="227"/>
  <c r="K63" i="227" s="1"/>
  <c r="J75" i="227"/>
  <c r="K75" i="227" s="1"/>
  <c r="J71" i="227"/>
  <c r="K71" i="227" s="1"/>
  <c r="J3" i="227"/>
  <c r="K3" i="227" s="1"/>
  <c r="J2" i="227"/>
  <c r="K2" i="227" s="1"/>
  <c r="L3" i="227"/>
  <c r="M3" i="227" s="1"/>
  <c r="L2" i="227"/>
  <c r="M2" i="227" s="1"/>
  <c r="L43" i="227"/>
  <c r="M43" i="227" s="1"/>
  <c r="L64" i="227"/>
  <c r="M64" i="227" s="1"/>
  <c r="L23" i="227"/>
  <c r="M23" i="227" s="1"/>
  <c r="H44" i="227"/>
  <c r="I44" i="227" s="1"/>
  <c r="H3" i="227"/>
  <c r="I3" i="227" s="1"/>
  <c r="H2" i="227"/>
  <c r="I2" i="227" s="1"/>
  <c r="H23" i="227"/>
  <c r="L4" i="227"/>
  <c r="M4" i="227" s="1"/>
  <c r="H4" i="227"/>
  <c r="I4" i="227" s="1"/>
  <c r="L44" i="227"/>
  <c r="M44" i="227" s="1"/>
  <c r="J23" i="227"/>
  <c r="K23" i="227" s="1"/>
  <c r="H45" i="227"/>
  <c r="I45" i="227" s="1"/>
  <c r="J4" i="227"/>
  <c r="K4" i="227" s="1"/>
  <c r="L45" i="227"/>
  <c r="M45" i="227" s="1"/>
  <c r="L5" i="227"/>
  <c r="M5" i="227" s="1"/>
  <c r="H5" i="227"/>
  <c r="I5" i="227" s="1"/>
  <c r="H46" i="227"/>
  <c r="I46" i="227" s="1"/>
  <c r="J5" i="227"/>
  <c r="K5" i="227" s="1"/>
  <c r="L6" i="227"/>
  <c r="M6" i="227" s="1"/>
  <c r="H6" i="227"/>
  <c r="I6" i="227" s="1"/>
  <c r="H48" i="227"/>
  <c r="I48" i="227" s="1"/>
  <c r="H47" i="227"/>
  <c r="I47" i="227" s="1"/>
  <c r="L46" i="227"/>
  <c r="M46" i="227" s="1"/>
  <c r="L47" i="227"/>
  <c r="M47" i="227" s="1"/>
  <c r="L7" i="227"/>
  <c r="M7" i="227" s="1"/>
  <c r="L48" i="227"/>
  <c r="M48" i="227" s="1"/>
  <c r="H49" i="227"/>
  <c r="I49" i="227" s="1"/>
  <c r="J6" i="227"/>
  <c r="K6" i="227" s="1"/>
  <c r="H7" i="227"/>
  <c r="I7" i="227" s="1"/>
  <c r="J7" i="227"/>
  <c r="K7" i="227" s="1"/>
  <c r="L8" i="227"/>
  <c r="M8" i="227" s="1"/>
  <c r="H50" i="227"/>
  <c r="I50" i="227" s="1"/>
  <c r="L49" i="227"/>
  <c r="M49" i="227" s="1"/>
  <c r="H8" i="227"/>
  <c r="I8" i="227" s="1"/>
  <c r="L9" i="227"/>
  <c r="M9" i="227" s="1"/>
  <c r="H9" i="227"/>
  <c r="I9" i="227" s="1"/>
  <c r="J8" i="227"/>
  <c r="K8" i="227" s="1"/>
  <c r="L50" i="227"/>
  <c r="M50" i="227" s="1"/>
  <c r="H51" i="227"/>
  <c r="I51" i="227" s="1"/>
  <c r="J9" i="227"/>
  <c r="K9" i="227" s="1"/>
  <c r="H10" i="227"/>
  <c r="I10" i="227" s="1"/>
  <c r="H52" i="227"/>
  <c r="I52" i="227" s="1"/>
  <c r="L51" i="227"/>
  <c r="M51" i="227" s="1"/>
  <c r="L10" i="227"/>
  <c r="M10" i="227" s="1"/>
  <c r="J10" i="227"/>
  <c r="K10" i="227" s="1"/>
  <c r="L11" i="227"/>
  <c r="M11" i="227" s="1"/>
  <c r="H53" i="227"/>
  <c r="I53" i="227" s="1"/>
  <c r="L52" i="227"/>
  <c r="M52" i="227" s="1"/>
  <c r="H11" i="227"/>
  <c r="I11" i="227" s="1"/>
  <c r="J11" i="227"/>
  <c r="K11" i="227" s="1"/>
  <c r="L12" i="227"/>
  <c r="M12" i="227" s="1"/>
  <c r="L53" i="227"/>
  <c r="M53" i="227" s="1"/>
  <c r="H54" i="227"/>
  <c r="I54" i="227" s="1"/>
  <c r="H12" i="227"/>
  <c r="I12" i="227" s="1"/>
  <c r="J12" i="227"/>
  <c r="K12" i="227" s="1"/>
  <c r="L13" i="227"/>
  <c r="M13" i="227" s="1"/>
  <c r="L54" i="227"/>
  <c r="M54" i="227" s="1"/>
  <c r="H13" i="227"/>
  <c r="I13" i="227" s="1"/>
  <c r="H55" i="227"/>
  <c r="I55" i="227" s="1"/>
  <c r="J13" i="227"/>
  <c r="K13" i="227" s="1"/>
  <c r="L55" i="227"/>
  <c r="M55" i="227" s="1"/>
  <c r="H56" i="227"/>
  <c r="I56" i="227" s="1"/>
  <c r="L14" i="227"/>
  <c r="M14" i="227" s="1"/>
  <c r="H14" i="227"/>
  <c r="I14" i="227" s="1"/>
  <c r="J14" i="227"/>
  <c r="K14" i="227" s="1"/>
  <c r="L15" i="227"/>
  <c r="M15" i="227" s="1"/>
  <c r="H15" i="227"/>
  <c r="I15" i="227" s="1"/>
  <c r="H57" i="227"/>
  <c r="I57" i="227" s="1"/>
  <c r="L56" i="227"/>
  <c r="M56" i="227" s="1"/>
  <c r="L57" i="227"/>
  <c r="M57" i="227" s="1"/>
  <c r="H16" i="227"/>
  <c r="I16" i="227" s="1"/>
  <c r="J15" i="227"/>
  <c r="K15" i="227" s="1"/>
  <c r="L16" i="227"/>
  <c r="M16" i="227" s="1"/>
  <c r="H58" i="227"/>
  <c r="I58" i="227" s="1"/>
  <c r="J16" i="227"/>
  <c r="K16" i="227" s="1"/>
  <c r="L17" i="227"/>
  <c r="M17" i="227" s="1"/>
  <c r="H17" i="227"/>
  <c r="I17" i="227" s="1"/>
  <c r="L58" i="227"/>
  <c r="M58" i="227" s="1"/>
  <c r="H59" i="227"/>
  <c r="I59" i="227" s="1"/>
  <c r="H18" i="227"/>
  <c r="I18" i="227" s="1"/>
  <c r="J18" i="227"/>
  <c r="K18" i="227" s="1"/>
  <c r="J17" i="227"/>
  <c r="K17" i="227" s="1"/>
  <c r="L18" i="227"/>
  <c r="M18" i="227" s="1"/>
  <c r="H60" i="227"/>
  <c r="I60" i="227" s="1"/>
  <c r="L59" i="227"/>
  <c r="M59" i="227" s="1"/>
  <c r="L19" i="227"/>
  <c r="M19" i="227" s="1"/>
  <c r="L60" i="227"/>
  <c r="M60" i="227" s="1"/>
  <c r="H19" i="227"/>
  <c r="I19" i="227" s="1"/>
  <c r="H61" i="227"/>
  <c r="I61" i="227" s="1"/>
  <c r="L61" i="227"/>
  <c r="M61" i="227" s="1"/>
  <c r="J19" i="227"/>
  <c r="K19" i="227" s="1"/>
  <c r="H20" i="227"/>
  <c r="I20" i="227" s="1"/>
  <c r="L20" i="227"/>
  <c r="M20" i="227" s="1"/>
  <c r="H62" i="227"/>
  <c r="I62" i="227" s="1"/>
  <c r="L21" i="227"/>
  <c r="M21" i="227" s="1"/>
  <c r="J20" i="227"/>
  <c r="K20" i="227" s="1"/>
  <c r="L62" i="227"/>
  <c r="M62" i="227" s="1"/>
  <c r="H21" i="227"/>
  <c r="I21" i="227" s="1"/>
  <c r="H63" i="227"/>
  <c r="I63" i="227" s="1"/>
  <c r="L63" i="227"/>
  <c r="M63" i="227" s="1"/>
  <c r="H65" i="227"/>
  <c r="I65" i="227" s="1"/>
  <c r="J21" i="227"/>
  <c r="K21" i="227" s="1"/>
  <c r="H22" i="227"/>
  <c r="I22" i="227" s="1"/>
  <c r="L22" i="227"/>
  <c r="M22" i="227" s="1"/>
  <c r="J24" i="227"/>
  <c r="K24" i="227" s="1"/>
  <c r="L65" i="227"/>
  <c r="M65" i="227" s="1"/>
  <c r="L24" i="227"/>
  <c r="M24" i="227" s="1"/>
  <c r="H66" i="227"/>
  <c r="I66" i="227" s="1"/>
  <c r="J22" i="227"/>
  <c r="K22" i="227" s="1"/>
  <c r="H24" i="227"/>
  <c r="I24" i="227" s="1"/>
  <c r="L25" i="227"/>
  <c r="M25" i="227" s="1"/>
  <c r="L66" i="227"/>
  <c r="M66" i="227" s="1"/>
  <c r="H25" i="227"/>
  <c r="I25" i="227" s="1"/>
  <c r="H67" i="227"/>
  <c r="I67" i="227" s="1"/>
  <c r="J25" i="227"/>
  <c r="K25" i="227" s="1"/>
  <c r="H26" i="227"/>
  <c r="I26" i="227" s="1"/>
  <c r="L26" i="227"/>
  <c r="M26" i="227" s="1"/>
  <c r="H68" i="227"/>
  <c r="I68" i="227" s="1"/>
  <c r="L67" i="227"/>
  <c r="M67" i="227" s="1"/>
  <c r="H27" i="227"/>
  <c r="I27" i="227" s="1"/>
  <c r="L27" i="227"/>
  <c r="M27" i="227" s="1"/>
  <c r="H69" i="227"/>
  <c r="I69" i="227" s="1"/>
  <c r="J26" i="227"/>
  <c r="K26" i="227" s="1"/>
  <c r="L68" i="227"/>
  <c r="M68" i="227" s="1"/>
  <c r="L28" i="227"/>
  <c r="M28" i="227" s="1"/>
  <c r="L69" i="227"/>
  <c r="M69" i="227" s="1"/>
  <c r="J27" i="227"/>
  <c r="K27" i="227" s="1"/>
  <c r="H28" i="227"/>
  <c r="I28" i="227" s="1"/>
  <c r="H70" i="227"/>
  <c r="I70" i="227" s="1"/>
  <c r="H71" i="227"/>
  <c r="I71" i="227" s="1"/>
  <c r="J28" i="227"/>
  <c r="K28" i="227" s="1"/>
  <c r="J29" i="227"/>
  <c r="K29" i="227" s="1"/>
  <c r="L29" i="227"/>
  <c r="M29" i="227" s="1"/>
  <c r="H29" i="227"/>
  <c r="I29" i="227" s="1"/>
  <c r="L70" i="227"/>
  <c r="M70" i="227" s="1"/>
  <c r="L30" i="227"/>
  <c r="M30" i="227" s="1"/>
  <c r="H30" i="227"/>
  <c r="I30" i="227" s="1"/>
  <c r="H72" i="227"/>
  <c r="I72" i="227" s="1"/>
  <c r="L71" i="227"/>
  <c r="M71" i="227" s="1"/>
  <c r="J30" i="227"/>
  <c r="K30" i="227" s="1"/>
  <c r="H31" i="227"/>
  <c r="I31" i="227" s="1"/>
  <c r="H73" i="227"/>
  <c r="I73" i="227" s="1"/>
  <c r="L31" i="227"/>
  <c r="M31" i="227" s="1"/>
  <c r="L72" i="227"/>
  <c r="M72" i="227" s="1"/>
  <c r="J31" i="227"/>
  <c r="K31" i="227" s="1"/>
  <c r="L32" i="227"/>
  <c r="M32" i="227" s="1"/>
  <c r="H32" i="227"/>
  <c r="I32" i="227" s="1"/>
  <c r="H74" i="227"/>
  <c r="I74" i="227" s="1"/>
  <c r="L73" i="227"/>
  <c r="M73" i="227" s="1"/>
  <c r="L33" i="227"/>
  <c r="M33" i="227" s="1"/>
  <c r="L74" i="227"/>
  <c r="M74" i="227" s="1"/>
  <c r="J32" i="227"/>
  <c r="K32" i="227" s="1"/>
  <c r="H33" i="227"/>
  <c r="I33" i="227" s="1"/>
  <c r="H75" i="227"/>
  <c r="I75" i="227" s="1"/>
  <c r="J33" i="227"/>
  <c r="K33" i="227" s="1"/>
  <c r="L34" i="227"/>
  <c r="M34" i="227" s="1"/>
  <c r="L75" i="227"/>
  <c r="M75" i="227" s="1"/>
  <c r="H76" i="227"/>
  <c r="I76" i="227" s="1"/>
  <c r="H34" i="227"/>
  <c r="I34" i="227" s="1"/>
  <c r="L76" i="227"/>
  <c r="M76" i="227" s="1"/>
  <c r="J34" i="227"/>
  <c r="K34" i="227" s="1"/>
  <c r="L35" i="227"/>
  <c r="M35" i="227" s="1"/>
  <c r="H77" i="227"/>
  <c r="I77" i="227" s="1"/>
  <c r="H35" i="227"/>
  <c r="I35" i="227" s="1"/>
  <c r="H78" i="227"/>
  <c r="I78" i="227" s="1"/>
  <c r="L77" i="227"/>
  <c r="M77" i="227" s="1"/>
  <c r="L36" i="227"/>
  <c r="M36" i="227" s="1"/>
  <c r="J35" i="227"/>
  <c r="K35" i="227" s="1"/>
  <c r="H36" i="227"/>
  <c r="I36" i="227" s="1"/>
  <c r="L78" i="227"/>
  <c r="M78" i="227" s="1"/>
  <c r="J36" i="227"/>
  <c r="K36" i="227" s="1"/>
  <c r="L37" i="227"/>
  <c r="M37" i="227" s="1"/>
  <c r="H79" i="227"/>
  <c r="I79" i="227" s="1"/>
  <c r="J37" i="227"/>
  <c r="K37" i="227" s="1"/>
  <c r="H37" i="227"/>
  <c r="I37" i="227" s="1"/>
  <c r="L38" i="227"/>
  <c r="M38" i="227" s="1"/>
  <c r="H38" i="227"/>
  <c r="I38" i="227" s="1"/>
  <c r="H80" i="227"/>
  <c r="I80" i="227" s="1"/>
  <c r="L79" i="227"/>
  <c r="M79" i="227" s="1"/>
  <c r="J39" i="227"/>
  <c r="K39" i="227" s="1"/>
  <c r="L80" i="227"/>
  <c r="M80" i="227" s="1"/>
  <c r="L39" i="227"/>
  <c r="M39" i="227" s="1"/>
  <c r="H39" i="227"/>
  <c r="I39" i="227" s="1"/>
  <c r="J38" i="227"/>
  <c r="K38" i="227" s="1"/>
  <c r="C29" i="1"/>
  <c r="F12" i="226"/>
  <c r="G12" i="226" s="1"/>
  <c r="C13" i="226"/>
  <c r="B14" i="226"/>
  <c r="A15" i="226"/>
  <c r="F4" i="111"/>
  <c r="C6" i="111"/>
  <c r="P483" i="3" l="1"/>
  <c r="H9" i="220"/>
  <c r="G9" i="220"/>
  <c r="F9" i="220"/>
  <c r="D9" i="220"/>
  <c r="E9" i="220"/>
  <c r="I64" i="227"/>
  <c r="N70" i="227"/>
  <c r="O70" i="227" s="1"/>
  <c r="N73" i="227"/>
  <c r="O73" i="227" s="1"/>
  <c r="N54" i="227"/>
  <c r="O54" i="227" s="1"/>
  <c r="N56" i="227"/>
  <c r="O56" i="227" s="1"/>
  <c r="N47" i="227"/>
  <c r="O47" i="227" s="1"/>
  <c r="N78" i="227"/>
  <c r="O78" i="227" s="1"/>
  <c r="N62" i="227"/>
  <c r="O62" i="227" s="1"/>
  <c r="N69" i="227"/>
  <c r="O69" i="227" s="1"/>
  <c r="N72" i="227"/>
  <c r="O72" i="227" s="1"/>
  <c r="N61" i="227"/>
  <c r="O61" i="227" s="1"/>
  <c r="N44" i="227"/>
  <c r="O44" i="227" s="1"/>
  <c r="N67" i="227"/>
  <c r="O67" i="227" s="1"/>
  <c r="N76" i="227"/>
  <c r="O76" i="227" s="1"/>
  <c r="N66" i="227"/>
  <c r="O66" i="227" s="1"/>
  <c r="N50" i="227"/>
  <c r="O50" i="227" s="1"/>
  <c r="N59" i="227"/>
  <c r="O59" i="227" s="1"/>
  <c r="N80" i="227"/>
  <c r="O80" i="227" s="1"/>
  <c r="N71" i="227"/>
  <c r="O71" i="227" s="1"/>
  <c r="N74" i="227"/>
  <c r="O74" i="227" s="1"/>
  <c r="N51" i="227"/>
  <c r="O51" i="227" s="1"/>
  <c r="N79" i="227"/>
  <c r="O79" i="227" s="1"/>
  <c r="N45" i="227"/>
  <c r="O45" i="227" s="1"/>
  <c r="N60" i="227"/>
  <c r="O60" i="227" s="1"/>
  <c r="N68" i="227"/>
  <c r="O68" i="227" s="1"/>
  <c r="N65" i="227"/>
  <c r="O65" i="227" s="1"/>
  <c r="N57" i="227"/>
  <c r="O57" i="227" s="1"/>
  <c r="N48" i="227"/>
  <c r="O48" i="227" s="1"/>
  <c r="N53" i="227"/>
  <c r="O53" i="227" s="1"/>
  <c r="N63" i="227"/>
  <c r="O63" i="227" s="1"/>
  <c r="N43" i="227"/>
  <c r="O43" i="227" s="1"/>
  <c r="N52" i="227"/>
  <c r="O52" i="227" s="1"/>
  <c r="N64" i="227"/>
  <c r="O64" i="227" s="1"/>
  <c r="N58" i="227"/>
  <c r="O58" i="227" s="1"/>
  <c r="N75" i="227"/>
  <c r="O75" i="227" s="1"/>
  <c r="N55" i="227"/>
  <c r="O55" i="227" s="1"/>
  <c r="N46" i="227"/>
  <c r="O46" i="227" s="1"/>
  <c r="N49" i="227"/>
  <c r="O49" i="227" s="1"/>
  <c r="N77" i="227"/>
  <c r="O77" i="227" s="1"/>
  <c r="I23" i="227"/>
  <c r="N3" i="227"/>
  <c r="O3" i="227" s="1"/>
  <c r="N2" i="227"/>
  <c r="O2" i="227" s="1"/>
  <c r="N23" i="227"/>
  <c r="O23" i="227" s="1"/>
  <c r="N4" i="227"/>
  <c r="O4" i="227" s="1"/>
  <c r="N5" i="227"/>
  <c r="O5" i="227" s="1"/>
  <c r="N6" i="227"/>
  <c r="O6" i="227" s="1"/>
  <c r="N7" i="227"/>
  <c r="O7" i="227" s="1"/>
  <c r="N8" i="227"/>
  <c r="O8" i="227" s="1"/>
  <c r="N9" i="227"/>
  <c r="O9" i="227" s="1"/>
  <c r="N10" i="227"/>
  <c r="O10" i="227" s="1"/>
  <c r="N11" i="227"/>
  <c r="O11" i="227" s="1"/>
  <c r="N12" i="227"/>
  <c r="O12" i="227" s="1"/>
  <c r="N13" i="227"/>
  <c r="O13" i="227" s="1"/>
  <c r="N14" i="227"/>
  <c r="O14" i="227" s="1"/>
  <c r="N15" i="227"/>
  <c r="O15" i="227" s="1"/>
  <c r="N16" i="227"/>
  <c r="O16" i="227" s="1"/>
  <c r="N17" i="227"/>
  <c r="O17" i="227" s="1"/>
  <c r="N18" i="227"/>
  <c r="O18" i="227" s="1"/>
  <c r="N19" i="227"/>
  <c r="O19" i="227" s="1"/>
  <c r="N20" i="227"/>
  <c r="O20" i="227" s="1"/>
  <c r="N21" i="227"/>
  <c r="O21" i="227" s="1"/>
  <c r="N22" i="227"/>
  <c r="O22" i="227" s="1"/>
  <c r="N24" i="227"/>
  <c r="O24" i="227" s="1"/>
  <c r="N25" i="227"/>
  <c r="O25" i="227" s="1"/>
  <c r="N26" i="227"/>
  <c r="O26" i="227" s="1"/>
  <c r="N27" i="227"/>
  <c r="O27" i="227" s="1"/>
  <c r="N28" i="227"/>
  <c r="O28" i="227" s="1"/>
  <c r="N29" i="227"/>
  <c r="O29" i="227" s="1"/>
  <c r="N30" i="227"/>
  <c r="O30" i="227" s="1"/>
  <c r="N31" i="227"/>
  <c r="O31" i="227" s="1"/>
  <c r="N32" i="227"/>
  <c r="O32" i="227" s="1"/>
  <c r="N33" i="227"/>
  <c r="O33" i="227" s="1"/>
  <c r="N34" i="227"/>
  <c r="O34" i="227" s="1"/>
  <c r="N35" i="227"/>
  <c r="O35" i="227" s="1"/>
  <c r="N36" i="227"/>
  <c r="O36" i="227" s="1"/>
  <c r="N37" i="227"/>
  <c r="O37" i="227" s="1"/>
  <c r="N38" i="227"/>
  <c r="O38" i="227" s="1"/>
  <c r="N39" i="227"/>
  <c r="O39" i="227" s="1"/>
  <c r="F13" i="226"/>
  <c r="G13" i="226" s="1"/>
  <c r="C14" i="226"/>
  <c r="B15" i="226"/>
  <c r="C15" i="226" s="1"/>
  <c r="A16" i="226"/>
  <c r="F15" i="226" l="1"/>
  <c r="F14" i="226"/>
  <c r="G14" i="226" s="1"/>
  <c r="B16" i="226"/>
  <c r="A17" i="226"/>
  <c r="G15" i="226" l="1"/>
  <c r="C16" i="226"/>
  <c r="B17" i="226"/>
  <c r="A18" i="226"/>
  <c r="G2" i="224"/>
  <c r="G3" i="224"/>
  <c r="G4" i="224"/>
  <c r="G5" i="224"/>
  <c r="G6" i="224"/>
  <c r="G7" i="224"/>
  <c r="G8" i="224"/>
  <c r="G9" i="224"/>
  <c r="G10" i="224"/>
  <c r="G11" i="224"/>
  <c r="G12" i="224"/>
  <c r="G13" i="224"/>
  <c r="G14" i="224"/>
  <c r="G15" i="224"/>
  <c r="G16" i="224"/>
  <c r="G17" i="224"/>
  <c r="G18" i="224"/>
  <c r="G19" i="224"/>
  <c r="G20" i="224"/>
  <c r="G21" i="224"/>
  <c r="G22" i="224"/>
  <c r="G23" i="224"/>
  <c r="G24" i="224"/>
  <c r="G25" i="224"/>
  <c r="G26" i="224"/>
  <c r="G27" i="224"/>
  <c r="G28" i="224"/>
  <c r="G29" i="224"/>
  <c r="G30" i="224"/>
  <c r="G31" i="224"/>
  <c r="G32" i="224"/>
  <c r="G33" i="224"/>
  <c r="G34" i="224"/>
  <c r="G35" i="224"/>
  <c r="G36" i="224"/>
  <c r="G37" i="224"/>
  <c r="G38" i="224"/>
  <c r="G39" i="224"/>
  <c r="G40" i="224"/>
  <c r="G41" i="224"/>
  <c r="G42" i="224"/>
  <c r="G43" i="224"/>
  <c r="G44" i="224"/>
  <c r="G45" i="224"/>
  <c r="G1" i="224"/>
  <c r="F16" i="226" l="1"/>
  <c r="G16" i="226" s="1"/>
  <c r="C17" i="226"/>
  <c r="B18" i="226"/>
  <c r="A19" i="226"/>
  <c r="F17" i="226" l="1"/>
  <c r="G17" i="226" s="1"/>
  <c r="C18" i="226"/>
  <c r="B19" i="226"/>
  <c r="A20" i="226"/>
  <c r="B7" i="1"/>
  <c r="F18" i="226" l="1"/>
  <c r="G18" i="226" s="1"/>
  <c r="C19" i="226"/>
  <c r="B20" i="226"/>
  <c r="C20" i="226" s="1"/>
  <c r="A21" i="226"/>
  <c r="B8" i="1"/>
  <c r="B9" i="1" s="1"/>
  <c r="E40" i="1" l="1"/>
  <c r="C40" i="1"/>
  <c r="E39" i="1"/>
  <c r="C39" i="1"/>
  <c r="R2" i="227"/>
  <c r="R44" i="227"/>
  <c r="R3" i="227"/>
  <c r="R43" i="227"/>
  <c r="B43" i="227"/>
  <c r="B2" i="227"/>
  <c r="B64" i="227"/>
  <c r="B23" i="227"/>
  <c r="B3" i="227"/>
  <c r="B44" i="227"/>
  <c r="B4" i="227"/>
  <c r="B5" i="227"/>
  <c r="B45" i="227"/>
  <c r="B46" i="227"/>
  <c r="B6" i="227"/>
  <c r="B7" i="227"/>
  <c r="B48" i="227"/>
  <c r="B47" i="227"/>
  <c r="B8" i="227"/>
  <c r="B49" i="227"/>
  <c r="B50" i="227"/>
  <c r="B9" i="227"/>
  <c r="B51" i="227"/>
  <c r="B10" i="227"/>
  <c r="B52" i="227"/>
  <c r="B11" i="227"/>
  <c r="B53" i="227"/>
  <c r="B12" i="227"/>
  <c r="B54" i="227"/>
  <c r="B13" i="227"/>
  <c r="B55" i="227"/>
  <c r="B14" i="227"/>
  <c r="B56" i="227"/>
  <c r="B15" i="227"/>
  <c r="B57" i="227"/>
  <c r="B16" i="227"/>
  <c r="B58" i="227"/>
  <c r="B17" i="227"/>
  <c r="B59" i="227"/>
  <c r="B18" i="227"/>
  <c r="B60" i="227"/>
  <c r="B19" i="227"/>
  <c r="B61" i="227"/>
  <c r="B20" i="227"/>
  <c r="B21" i="227"/>
  <c r="B62" i="227"/>
  <c r="B63" i="227"/>
  <c r="B22" i="227"/>
  <c r="B24" i="227"/>
  <c r="B65" i="227"/>
  <c r="B25" i="227"/>
  <c r="B66" i="227"/>
  <c r="B26" i="227"/>
  <c r="B67" i="227"/>
  <c r="B27" i="227"/>
  <c r="B68" i="227"/>
  <c r="B28" i="227"/>
  <c r="B69" i="227"/>
  <c r="B70" i="227"/>
  <c r="B29" i="227"/>
  <c r="B30" i="227"/>
  <c r="B71" i="227"/>
  <c r="B72" i="227"/>
  <c r="B31" i="227"/>
  <c r="B73" i="227"/>
  <c r="B32" i="227"/>
  <c r="B74" i="227"/>
  <c r="B33" i="227"/>
  <c r="B75" i="227"/>
  <c r="B34" i="227"/>
  <c r="B76" i="227"/>
  <c r="B35" i="227"/>
  <c r="B77" i="227"/>
  <c r="B36" i="227"/>
  <c r="B37" i="227"/>
  <c r="B78" i="227"/>
  <c r="B79" i="227"/>
  <c r="B38" i="227"/>
  <c r="B39" i="227"/>
  <c r="B80" i="227"/>
  <c r="F20" i="226"/>
  <c r="F19" i="226"/>
  <c r="G19" i="226" s="1"/>
  <c r="B21" i="226"/>
  <c r="A22" i="226"/>
  <c r="C25" i="1"/>
  <c r="C27" i="1"/>
  <c r="G20" i="226" l="1"/>
  <c r="C21" i="226"/>
  <c r="B22" i="226"/>
  <c r="F21" i="226"/>
  <c r="G21" i="226" s="1"/>
  <c r="A23" i="226"/>
  <c r="C22" i="226" l="1"/>
  <c r="B23" i="226"/>
  <c r="A24" i="226"/>
  <c r="F22" i="226" l="1"/>
  <c r="G22" i="226" s="1"/>
  <c r="C23" i="226"/>
  <c r="B24" i="226"/>
  <c r="A25" i="226"/>
  <c r="F23" i="226" l="1"/>
  <c r="G23" i="226" s="1"/>
  <c r="C24" i="226"/>
  <c r="B25" i="226"/>
  <c r="A26" i="226"/>
  <c r="F24" i="226" l="1"/>
  <c r="G24" i="226" s="1"/>
  <c r="C25" i="226"/>
  <c r="B26" i="226"/>
  <c r="A27" i="226"/>
  <c r="F25" i="226" l="1"/>
  <c r="G25" i="226" s="1"/>
  <c r="C26" i="226"/>
  <c r="B27" i="226"/>
  <c r="A28" i="226"/>
  <c r="F26" i="226" l="1"/>
  <c r="G26" i="226" s="1"/>
  <c r="C27" i="226"/>
  <c r="B28" i="226"/>
  <c r="A29" i="226"/>
  <c r="F27" i="226" l="1"/>
  <c r="G27" i="226" s="1"/>
  <c r="C28" i="226"/>
  <c r="B29" i="226"/>
  <c r="C29" i="226" s="1"/>
  <c r="A30" i="226"/>
  <c r="F29" i="226" l="1"/>
  <c r="F28" i="226"/>
  <c r="G28" i="226" s="1"/>
  <c r="B30" i="226"/>
  <c r="A31" i="226"/>
  <c r="G29" i="226" l="1"/>
  <c r="C30" i="226"/>
  <c r="B31" i="226"/>
  <c r="F30" i="226"/>
  <c r="G30" i="226" s="1"/>
  <c r="A32" i="226"/>
  <c r="C31" i="226" l="1"/>
  <c r="B32" i="226"/>
  <c r="C32" i="226" s="1"/>
  <c r="A33" i="226"/>
  <c r="F31" i="226" l="1"/>
  <c r="G31" i="226" s="1"/>
  <c r="B33" i="226"/>
  <c r="C33" i="226" s="1"/>
  <c r="F32" i="226"/>
  <c r="A34" i="226"/>
  <c r="G32" i="226" l="1"/>
  <c r="F33" i="226"/>
  <c r="G33" i="226" s="1"/>
  <c r="B34" i="226"/>
  <c r="C34" i="226" s="1"/>
  <c r="A35" i="226"/>
  <c r="B35" i="226" l="1"/>
  <c r="F34" i="226"/>
  <c r="G34" i="226" s="1"/>
  <c r="A36" i="226"/>
  <c r="C35" i="226" l="1"/>
  <c r="B36" i="226"/>
  <c r="A37" i="226"/>
  <c r="F35" i="226" l="1"/>
  <c r="G35" i="226" s="1"/>
  <c r="C36" i="226"/>
  <c r="B37" i="226"/>
  <c r="A38" i="226"/>
  <c r="F36" i="226" l="1"/>
  <c r="G36" i="226" s="1"/>
  <c r="C37" i="226"/>
  <c r="B38" i="226"/>
  <c r="A39" i="226"/>
  <c r="F37" i="226" l="1"/>
  <c r="G37" i="226" s="1"/>
  <c r="C38" i="226"/>
  <c r="B39" i="226"/>
  <c r="C39" i="226" s="1"/>
  <c r="A40" i="226"/>
  <c r="F38" i="226" l="1"/>
  <c r="G38" i="226" s="1"/>
  <c r="B40" i="226"/>
  <c r="F39" i="226"/>
  <c r="A41" i="226"/>
  <c r="G39" i="226" l="1"/>
  <c r="C40" i="226"/>
  <c r="F40" i="226"/>
  <c r="G40" i="226" s="1"/>
  <c r="B41" i="226"/>
  <c r="C41" i="226" s="1"/>
  <c r="A42" i="226"/>
  <c r="B42" i="226" l="1"/>
  <c r="C42" i="226" s="1"/>
  <c r="F41" i="226"/>
  <c r="G41" i="226" s="1"/>
  <c r="A43" i="226"/>
  <c r="B43" i="226" l="1"/>
  <c r="C43" i="226" s="1"/>
  <c r="F42" i="226"/>
  <c r="G42" i="226" s="1"/>
  <c r="A44" i="226"/>
  <c r="B44" i="226" l="1"/>
  <c r="C44" i="226" s="1"/>
  <c r="F43" i="226"/>
  <c r="G43" i="226" s="1"/>
  <c r="A45" i="226"/>
  <c r="F44" i="226" l="1"/>
  <c r="G44" i="226" s="1"/>
  <c r="B45" i="226"/>
  <c r="C45" i="226" s="1"/>
  <c r="A46" i="226"/>
  <c r="B46" i="226" l="1"/>
  <c r="C46" i="226" s="1"/>
  <c r="F45" i="226"/>
  <c r="G45" i="226" s="1"/>
  <c r="A47" i="226"/>
  <c r="B47" i="226" l="1"/>
  <c r="C47" i="226" s="1"/>
  <c r="F46" i="226"/>
  <c r="G46" i="226" s="1"/>
  <c r="A48" i="226"/>
  <c r="F47" i="226" l="1"/>
  <c r="G47" i="226" s="1"/>
  <c r="B48" i="226"/>
  <c r="C48" i="226" s="1"/>
  <c r="A49" i="226"/>
  <c r="B49" i="226" l="1"/>
  <c r="F48" i="226"/>
  <c r="G48" i="226" s="1"/>
  <c r="A50" i="226"/>
  <c r="C49" i="226" l="1"/>
  <c r="B50" i="226"/>
  <c r="A51" i="226"/>
  <c r="F49" i="226" l="1"/>
  <c r="G49" i="226" s="1"/>
  <c r="C50" i="226"/>
  <c r="B51" i="226"/>
  <c r="A52" i="226"/>
  <c r="F50" i="226" l="1"/>
  <c r="G50" i="226" s="1"/>
  <c r="C51" i="226"/>
  <c r="B52" i="226"/>
  <c r="A53" i="226"/>
  <c r="F51" i="226" l="1"/>
  <c r="G51" i="226" s="1"/>
  <c r="C52" i="226"/>
  <c r="B53" i="226"/>
  <c r="A54" i="226"/>
  <c r="F52" i="226" l="1"/>
  <c r="G52" i="226" s="1"/>
  <c r="C53" i="226"/>
  <c r="B54" i="226"/>
  <c r="A55" i="226"/>
  <c r="F53" i="226" l="1"/>
  <c r="G53" i="226" s="1"/>
  <c r="C54" i="226"/>
  <c r="B55" i="226"/>
  <c r="A56" i="226"/>
  <c r="F54" i="226" l="1"/>
  <c r="G54" i="226" s="1"/>
  <c r="C55" i="226"/>
  <c r="B56" i="226"/>
  <c r="A57" i="226"/>
  <c r="F55" i="226" l="1"/>
  <c r="G55" i="226" s="1"/>
  <c r="C56" i="226"/>
  <c r="B57" i="226"/>
  <c r="A58" i="226"/>
  <c r="F56" i="226" l="1"/>
  <c r="G56" i="226" s="1"/>
  <c r="C57" i="226"/>
  <c r="B58" i="226"/>
  <c r="A59" i="226"/>
  <c r="F57" i="226" l="1"/>
  <c r="G57" i="226" s="1"/>
  <c r="C58" i="226"/>
  <c r="B59" i="226"/>
  <c r="A60" i="226"/>
  <c r="F58" i="226" l="1"/>
  <c r="G58" i="226" s="1"/>
  <c r="C59" i="226"/>
  <c r="B60" i="226"/>
  <c r="A61" i="226"/>
  <c r="F59" i="226" l="1"/>
  <c r="G59" i="226" s="1"/>
  <c r="C60" i="226"/>
  <c r="B61" i="226"/>
  <c r="A62" i="226"/>
  <c r="F60" i="226" l="1"/>
  <c r="G60" i="226" s="1"/>
  <c r="C61" i="226"/>
  <c r="B62" i="226"/>
  <c r="A63" i="226"/>
  <c r="F61" i="226" l="1"/>
  <c r="G61" i="226" s="1"/>
  <c r="C62" i="226"/>
  <c r="B63" i="226"/>
  <c r="A64" i="226"/>
  <c r="F62" i="226" l="1"/>
  <c r="G62" i="226" s="1"/>
  <c r="C63" i="226"/>
  <c r="B64" i="226"/>
  <c r="A65" i="226"/>
  <c r="F63" i="226" l="1"/>
  <c r="G63" i="226" s="1"/>
  <c r="C64" i="226"/>
  <c r="B65" i="226"/>
  <c r="A66" i="226"/>
  <c r="F64" i="226" l="1"/>
  <c r="G64" i="226" s="1"/>
  <c r="C65" i="226"/>
  <c r="B66" i="226"/>
  <c r="A67" i="226"/>
  <c r="F65" i="226" l="1"/>
  <c r="G65" i="226" s="1"/>
  <c r="C66" i="226"/>
  <c r="B67" i="226"/>
  <c r="A68" i="226"/>
  <c r="F66" i="226" l="1"/>
  <c r="G66" i="226" s="1"/>
  <c r="C67" i="226"/>
  <c r="B68" i="226"/>
  <c r="A69" i="226"/>
  <c r="F67" i="226" l="1"/>
  <c r="G67" i="226" s="1"/>
  <c r="C68" i="226"/>
  <c r="B69" i="226"/>
  <c r="A70" i="226"/>
  <c r="F68" i="226" l="1"/>
  <c r="G68" i="226" s="1"/>
  <c r="C69" i="226"/>
  <c r="B70" i="226"/>
  <c r="A71" i="226"/>
  <c r="F69" i="226" l="1"/>
  <c r="G69" i="226" s="1"/>
  <c r="C70" i="226"/>
  <c r="B71" i="226"/>
  <c r="A72" i="226"/>
  <c r="K482" i="3"/>
  <c r="F482" i="3"/>
  <c r="F70" i="226" l="1"/>
  <c r="G70" i="226" s="1"/>
  <c r="C71" i="226"/>
  <c r="B72" i="226"/>
  <c r="A73" i="226"/>
  <c r="F71" i="226" l="1"/>
  <c r="G71" i="226" s="1"/>
  <c r="C72" i="226"/>
  <c r="B73" i="226"/>
  <c r="A74" i="226"/>
  <c r="F72" i="226" l="1"/>
  <c r="G72" i="226" s="1"/>
  <c r="C73" i="226"/>
  <c r="B74" i="226"/>
  <c r="A75" i="226"/>
  <c r="F73" i="226" l="1"/>
  <c r="G73" i="226" s="1"/>
  <c r="C74" i="226"/>
  <c r="B75" i="226"/>
  <c r="A76" i="226"/>
  <c r="F74" i="226" l="1"/>
  <c r="G74" i="226" s="1"/>
  <c r="C75" i="226"/>
  <c r="B76" i="226"/>
  <c r="A77" i="226"/>
  <c r="F75" i="226" l="1"/>
  <c r="G75" i="226" s="1"/>
  <c r="C76" i="226"/>
  <c r="B77" i="226"/>
  <c r="A78" i="226"/>
  <c r="F76" i="226" l="1"/>
  <c r="G76" i="226" s="1"/>
  <c r="C77" i="226"/>
  <c r="B78" i="226"/>
  <c r="A79" i="226"/>
  <c r="B122" i="220"/>
  <c r="B123" i="220"/>
  <c r="B124" i="220"/>
  <c r="B125" i="220"/>
  <c r="B126" i="220"/>
  <c r="B127" i="220"/>
  <c r="B128" i="220"/>
  <c r="B129" i="220"/>
  <c r="B130" i="220"/>
  <c r="B131" i="220"/>
  <c r="B132" i="220"/>
  <c r="B133" i="220"/>
  <c r="B134" i="220"/>
  <c r="B135" i="220"/>
  <c r="B136" i="220"/>
  <c r="B137" i="220"/>
  <c r="B138" i="220"/>
  <c r="B139" i="220"/>
  <c r="B140" i="220"/>
  <c r="B141" i="220"/>
  <c r="B142" i="220"/>
  <c r="B143" i="220"/>
  <c r="B144" i="220"/>
  <c r="B145" i="220"/>
  <c r="B146" i="220"/>
  <c r="B147" i="220"/>
  <c r="B148" i="220"/>
  <c r="B149" i="220"/>
  <c r="B150" i="220"/>
  <c r="B151" i="220"/>
  <c r="B152" i="220"/>
  <c r="B153" i="220"/>
  <c r="B154" i="220"/>
  <c r="B155" i="220"/>
  <c r="B156" i="220"/>
  <c r="B157" i="220"/>
  <c r="B158" i="220"/>
  <c r="B159" i="220"/>
  <c r="B160" i="220"/>
  <c r="B161" i="220"/>
  <c r="B162" i="220"/>
  <c r="B163" i="220"/>
  <c r="B164" i="220"/>
  <c r="B165" i="220"/>
  <c r="B166" i="220"/>
  <c r="B167" i="220"/>
  <c r="B168" i="220"/>
  <c r="B169" i="220"/>
  <c r="B170" i="220"/>
  <c r="B171" i="220"/>
  <c r="B172" i="220"/>
  <c r="B173" i="220"/>
  <c r="B174" i="220"/>
  <c r="B175" i="220"/>
  <c r="B176" i="220"/>
  <c r="B177" i="220"/>
  <c r="B178" i="220"/>
  <c r="B179" i="220"/>
  <c r="B180" i="220"/>
  <c r="B181" i="220"/>
  <c r="B182" i="220"/>
  <c r="B183" i="220"/>
  <c r="B184" i="220"/>
  <c r="B185" i="220"/>
  <c r="B186" i="220"/>
  <c r="B187" i="220"/>
  <c r="B188" i="220"/>
  <c r="B189" i="220"/>
  <c r="B190" i="220"/>
  <c r="B191" i="220"/>
  <c r="B192" i="220"/>
  <c r="B193" i="220"/>
  <c r="B194" i="220"/>
  <c r="B195" i="220"/>
  <c r="B196" i="220"/>
  <c r="B197" i="220"/>
  <c r="B198" i="220"/>
  <c r="B199" i="220"/>
  <c r="B200" i="220"/>
  <c r="B201" i="220"/>
  <c r="B202" i="220"/>
  <c r="B203" i="220"/>
  <c r="B204" i="220"/>
  <c r="B205" i="220"/>
  <c r="B206" i="220"/>
  <c r="B207" i="220"/>
  <c r="B208" i="220"/>
  <c r="B209" i="220"/>
  <c r="B210" i="220"/>
  <c r="B211" i="220"/>
  <c r="B212" i="220"/>
  <c r="B213" i="220"/>
  <c r="B214" i="220"/>
  <c r="B215" i="220"/>
  <c r="B216" i="220"/>
  <c r="B217" i="220"/>
  <c r="B218" i="220"/>
  <c r="B10" i="220"/>
  <c r="C10" i="220" s="1"/>
  <c r="B11" i="220"/>
  <c r="C11" i="220" s="1"/>
  <c r="B12" i="220"/>
  <c r="C12" i="220" s="1"/>
  <c r="B13" i="220"/>
  <c r="C13" i="220" s="1"/>
  <c r="B14" i="220"/>
  <c r="C14" i="220" s="1"/>
  <c r="B15" i="220"/>
  <c r="C15" i="220" s="1"/>
  <c r="B16" i="220"/>
  <c r="C16" i="220" s="1"/>
  <c r="B17" i="220"/>
  <c r="C17" i="220" s="1"/>
  <c r="B18" i="220"/>
  <c r="C18" i="220" s="1"/>
  <c r="B19" i="220"/>
  <c r="C19" i="220" s="1"/>
  <c r="B20" i="220"/>
  <c r="C20" i="220" s="1"/>
  <c r="B21" i="220"/>
  <c r="C21" i="220" s="1"/>
  <c r="B22" i="220"/>
  <c r="C22" i="220" s="1"/>
  <c r="B23" i="220"/>
  <c r="C23" i="220" s="1"/>
  <c r="B24" i="220"/>
  <c r="B25" i="220"/>
  <c r="B26" i="220"/>
  <c r="B27" i="220"/>
  <c r="B28" i="220"/>
  <c r="B29" i="220"/>
  <c r="B30" i="220"/>
  <c r="B31" i="220"/>
  <c r="B32" i="220"/>
  <c r="B33" i="220"/>
  <c r="B34" i="220"/>
  <c r="B35" i="220"/>
  <c r="B36" i="220"/>
  <c r="B37" i="220"/>
  <c r="B38" i="220"/>
  <c r="B39" i="220"/>
  <c r="B40" i="220"/>
  <c r="B41" i="220"/>
  <c r="B42" i="220"/>
  <c r="B43" i="220"/>
  <c r="B44" i="220"/>
  <c r="B45" i="220"/>
  <c r="B46" i="220"/>
  <c r="B47" i="220"/>
  <c r="B48" i="220"/>
  <c r="B49" i="220"/>
  <c r="B50" i="220"/>
  <c r="B51" i="220"/>
  <c r="B52" i="220"/>
  <c r="B53" i="220"/>
  <c r="B54" i="220"/>
  <c r="B55" i="220"/>
  <c r="B56" i="220"/>
  <c r="B57" i="220"/>
  <c r="B58" i="220"/>
  <c r="B59" i="220"/>
  <c r="B60" i="220"/>
  <c r="B61" i="220"/>
  <c r="B62" i="220"/>
  <c r="B63" i="220"/>
  <c r="B64" i="220"/>
  <c r="B65" i="220"/>
  <c r="B66" i="220"/>
  <c r="B67" i="220"/>
  <c r="B68" i="220"/>
  <c r="B69" i="220"/>
  <c r="B70" i="220"/>
  <c r="B71" i="220"/>
  <c r="B72" i="220"/>
  <c r="B73" i="220"/>
  <c r="B74" i="220"/>
  <c r="B75" i="220"/>
  <c r="B76" i="220"/>
  <c r="B77" i="220"/>
  <c r="B78" i="220"/>
  <c r="B79" i="220"/>
  <c r="B80" i="220"/>
  <c r="B81" i="220"/>
  <c r="B82" i="220"/>
  <c r="B83" i="220"/>
  <c r="B84" i="220"/>
  <c r="B85" i="220"/>
  <c r="B86" i="220"/>
  <c r="B87" i="220"/>
  <c r="B88" i="220"/>
  <c r="B89" i="220"/>
  <c r="B90" i="220"/>
  <c r="B91" i="220"/>
  <c r="B92" i="220"/>
  <c r="B93" i="220"/>
  <c r="B94" i="220"/>
  <c r="B95" i="220"/>
  <c r="B96" i="220"/>
  <c r="B97" i="220"/>
  <c r="B98" i="220"/>
  <c r="B99" i="220"/>
  <c r="B100" i="220"/>
  <c r="B101" i="220"/>
  <c r="B102" i="220"/>
  <c r="B103" i="220"/>
  <c r="B104" i="220"/>
  <c r="B105" i="220"/>
  <c r="B106" i="220"/>
  <c r="E88" i="220" l="1"/>
  <c r="D88" i="220"/>
  <c r="H88" i="220"/>
  <c r="G88" i="220"/>
  <c r="F88" i="220"/>
  <c r="H99" i="220"/>
  <c r="G99" i="220"/>
  <c r="D99" i="220"/>
  <c r="F99" i="220"/>
  <c r="E99" i="220"/>
  <c r="G87" i="220"/>
  <c r="H87" i="220"/>
  <c r="D87" i="220"/>
  <c r="E87" i="220"/>
  <c r="F87" i="220"/>
  <c r="F75" i="220"/>
  <c r="E75" i="220"/>
  <c r="G75" i="220"/>
  <c r="H75" i="220"/>
  <c r="D75" i="220"/>
  <c r="E63" i="220"/>
  <c r="F63" i="220"/>
  <c r="H63" i="220"/>
  <c r="D63" i="220"/>
  <c r="G63" i="220"/>
  <c r="F51" i="220"/>
  <c r="G51" i="220"/>
  <c r="E51" i="220"/>
  <c r="H51" i="220"/>
  <c r="D51" i="220"/>
  <c r="D39" i="220"/>
  <c r="G39" i="220"/>
  <c r="H39" i="220"/>
  <c r="E39" i="220"/>
  <c r="F39" i="220"/>
  <c r="D27" i="220"/>
  <c r="G27" i="220"/>
  <c r="E27" i="220"/>
  <c r="H27" i="220"/>
  <c r="F27" i="220"/>
  <c r="F98" i="220"/>
  <c r="G98" i="220"/>
  <c r="E98" i="220"/>
  <c r="H98" i="220"/>
  <c r="D98" i="220"/>
  <c r="H86" i="220"/>
  <c r="D86" i="220"/>
  <c r="E86" i="220"/>
  <c r="G86" i="220"/>
  <c r="F86" i="220"/>
  <c r="F74" i="220"/>
  <c r="E74" i="220"/>
  <c r="G74" i="220"/>
  <c r="H74" i="220"/>
  <c r="D74" i="220"/>
  <c r="E62" i="220"/>
  <c r="H62" i="220"/>
  <c r="D62" i="220"/>
  <c r="G62" i="220"/>
  <c r="F62" i="220"/>
  <c r="F50" i="220"/>
  <c r="E50" i="220"/>
  <c r="G50" i="220"/>
  <c r="H50" i="220"/>
  <c r="D50" i="220"/>
  <c r="F38" i="220"/>
  <c r="G38" i="220"/>
  <c r="H38" i="220"/>
  <c r="E38" i="220"/>
  <c r="D38" i="220"/>
  <c r="G26" i="220"/>
  <c r="H26" i="220"/>
  <c r="D26" i="220"/>
  <c r="F26" i="220"/>
  <c r="E26" i="220"/>
  <c r="E52" i="220"/>
  <c r="F52" i="220"/>
  <c r="D52" i="220"/>
  <c r="G52" i="220"/>
  <c r="H52" i="220"/>
  <c r="F49" i="220"/>
  <c r="D49" i="220"/>
  <c r="H49" i="220"/>
  <c r="E49" i="220"/>
  <c r="G49" i="220"/>
  <c r="G37" i="220"/>
  <c r="F37" i="220"/>
  <c r="D37" i="220"/>
  <c r="H37" i="220"/>
  <c r="E37" i="220"/>
  <c r="G25" i="220"/>
  <c r="F25" i="220"/>
  <c r="D25" i="220"/>
  <c r="H25" i="220"/>
  <c r="E25" i="220"/>
  <c r="H96" i="220"/>
  <c r="G96" i="220"/>
  <c r="D96" i="220"/>
  <c r="F96" i="220"/>
  <c r="E96" i="220"/>
  <c r="F84" i="220"/>
  <c r="D84" i="220"/>
  <c r="G84" i="220"/>
  <c r="E84" i="220"/>
  <c r="H84" i="220"/>
  <c r="H72" i="220"/>
  <c r="E72" i="220"/>
  <c r="F72" i="220"/>
  <c r="G72" i="220"/>
  <c r="D72" i="220"/>
  <c r="F60" i="220"/>
  <c r="D60" i="220"/>
  <c r="E60" i="220"/>
  <c r="G60" i="220"/>
  <c r="H60" i="220"/>
  <c r="G48" i="220"/>
  <c r="H48" i="220"/>
  <c r="E48" i="220"/>
  <c r="F48" i="220"/>
  <c r="D48" i="220"/>
  <c r="E36" i="220"/>
  <c r="F36" i="220"/>
  <c r="G36" i="220"/>
  <c r="H36" i="220"/>
  <c r="D36" i="220"/>
  <c r="E24" i="220"/>
  <c r="F24" i="220"/>
  <c r="G24" i="220"/>
  <c r="H24" i="220"/>
  <c r="D24" i="220"/>
  <c r="E100" i="220"/>
  <c r="F100" i="220"/>
  <c r="G100" i="220"/>
  <c r="H100" i="220"/>
  <c r="D100" i="220"/>
  <c r="G85" i="220"/>
  <c r="F85" i="220"/>
  <c r="E85" i="220"/>
  <c r="H85" i="220"/>
  <c r="D85" i="220"/>
  <c r="G83" i="220"/>
  <c r="H83" i="220"/>
  <c r="D83" i="220"/>
  <c r="E83" i="220"/>
  <c r="F83" i="220"/>
  <c r="F35" i="220"/>
  <c r="G35" i="220"/>
  <c r="H35" i="220"/>
  <c r="D35" i="220"/>
  <c r="E35" i="220"/>
  <c r="G105" i="220"/>
  <c r="D105" i="220"/>
  <c r="E105" i="220"/>
  <c r="F105" i="220"/>
  <c r="H105" i="220"/>
  <c r="F93" i="220"/>
  <c r="H93" i="220"/>
  <c r="E93" i="220"/>
  <c r="G93" i="220"/>
  <c r="D93" i="220"/>
  <c r="E81" i="220"/>
  <c r="F81" i="220"/>
  <c r="H81" i="220"/>
  <c r="D81" i="220"/>
  <c r="G81" i="220"/>
  <c r="F69" i="220"/>
  <c r="H69" i="220"/>
  <c r="G69" i="220"/>
  <c r="D69" i="220"/>
  <c r="E69" i="220"/>
  <c r="F57" i="220"/>
  <c r="H57" i="220"/>
  <c r="D57" i="220"/>
  <c r="E57" i="220"/>
  <c r="G57" i="220"/>
  <c r="D45" i="220"/>
  <c r="E45" i="220"/>
  <c r="G45" i="220"/>
  <c r="F45" i="220"/>
  <c r="H45" i="220"/>
  <c r="D33" i="220"/>
  <c r="E33" i="220"/>
  <c r="G33" i="220"/>
  <c r="F33" i="220"/>
  <c r="H33" i="220"/>
  <c r="G21" i="220"/>
  <c r="D21" i="220"/>
  <c r="E21" i="220"/>
  <c r="F21" i="220"/>
  <c r="H21" i="220"/>
  <c r="D40" i="220"/>
  <c r="E40" i="220"/>
  <c r="F40" i="220"/>
  <c r="G40" i="220"/>
  <c r="H40" i="220"/>
  <c r="D61" i="220"/>
  <c r="G61" i="220"/>
  <c r="H61" i="220"/>
  <c r="F61" i="220"/>
  <c r="E61" i="220"/>
  <c r="F71" i="220"/>
  <c r="G71" i="220"/>
  <c r="H71" i="220"/>
  <c r="D71" i="220"/>
  <c r="E71" i="220"/>
  <c r="F47" i="220"/>
  <c r="G47" i="220"/>
  <c r="E47" i="220"/>
  <c r="H47" i="220"/>
  <c r="D47" i="220"/>
  <c r="E94" i="220"/>
  <c r="G94" i="220"/>
  <c r="F94" i="220"/>
  <c r="H94" i="220"/>
  <c r="D94" i="220"/>
  <c r="H58" i="220"/>
  <c r="E58" i="220"/>
  <c r="G58" i="220"/>
  <c r="F58" i="220"/>
  <c r="D58" i="220"/>
  <c r="G68" i="220"/>
  <c r="D68" i="220"/>
  <c r="F68" i="220"/>
  <c r="H68" i="220"/>
  <c r="E68" i="220"/>
  <c r="F20" i="220"/>
  <c r="E20" i="220"/>
  <c r="G20" i="220"/>
  <c r="H20" i="220"/>
  <c r="D20" i="220"/>
  <c r="H76" i="220"/>
  <c r="D76" i="220"/>
  <c r="G76" i="220"/>
  <c r="E76" i="220"/>
  <c r="F76" i="220"/>
  <c r="F97" i="220"/>
  <c r="G97" i="220"/>
  <c r="D97" i="220"/>
  <c r="H97" i="220"/>
  <c r="E97" i="220"/>
  <c r="H106" i="220"/>
  <c r="F106" i="220"/>
  <c r="D106" i="220"/>
  <c r="E106" i="220"/>
  <c r="G106" i="220"/>
  <c r="F70" i="220"/>
  <c r="H70" i="220"/>
  <c r="G70" i="220"/>
  <c r="D70" i="220"/>
  <c r="E70" i="220"/>
  <c r="H34" i="220"/>
  <c r="G34" i="220"/>
  <c r="D34" i="220"/>
  <c r="E34" i="220"/>
  <c r="F34" i="220"/>
  <c r="H80" i="220"/>
  <c r="E80" i="220"/>
  <c r="D80" i="220"/>
  <c r="G80" i="220"/>
  <c r="F80" i="220"/>
  <c r="D44" i="220"/>
  <c r="F44" i="220"/>
  <c r="E44" i="220"/>
  <c r="G44" i="220"/>
  <c r="H44" i="220"/>
  <c r="E103" i="220"/>
  <c r="H103" i="220"/>
  <c r="F103" i="220"/>
  <c r="G103" i="220"/>
  <c r="D103" i="220"/>
  <c r="E91" i="220"/>
  <c r="F91" i="220"/>
  <c r="D91" i="220"/>
  <c r="G91" i="220"/>
  <c r="H91" i="220"/>
  <c r="D79" i="220"/>
  <c r="F79" i="220"/>
  <c r="G79" i="220"/>
  <c r="H79" i="220"/>
  <c r="E79" i="220"/>
  <c r="F67" i="220"/>
  <c r="D67" i="220"/>
  <c r="G67" i="220"/>
  <c r="H67" i="220"/>
  <c r="E67" i="220"/>
  <c r="G55" i="220"/>
  <c r="H55" i="220"/>
  <c r="E55" i="220"/>
  <c r="F55" i="220"/>
  <c r="D55" i="220"/>
  <c r="G43" i="220"/>
  <c r="H43" i="220"/>
  <c r="F43" i="220"/>
  <c r="D43" i="220"/>
  <c r="E43" i="220"/>
  <c r="F31" i="220"/>
  <c r="G31" i="220"/>
  <c r="D31" i="220"/>
  <c r="H31" i="220"/>
  <c r="E31" i="220"/>
  <c r="H19" i="220"/>
  <c r="E19" i="220"/>
  <c r="D19" i="220"/>
  <c r="G19" i="220"/>
  <c r="F19" i="220"/>
  <c r="D64" i="220"/>
  <c r="E64" i="220"/>
  <c r="F64" i="220"/>
  <c r="G64" i="220"/>
  <c r="H64" i="220"/>
  <c r="D23" i="220"/>
  <c r="G23" i="220"/>
  <c r="H23" i="220"/>
  <c r="E23" i="220"/>
  <c r="F23" i="220"/>
  <c r="F22" i="220"/>
  <c r="G22" i="220"/>
  <c r="H22" i="220"/>
  <c r="D22" i="220"/>
  <c r="E22" i="220"/>
  <c r="D92" i="220"/>
  <c r="F92" i="220"/>
  <c r="E92" i="220"/>
  <c r="G92" i="220"/>
  <c r="H92" i="220"/>
  <c r="H32" i="220"/>
  <c r="D32" i="220"/>
  <c r="F32" i="220"/>
  <c r="G32" i="220"/>
  <c r="E32" i="220"/>
  <c r="D102" i="220"/>
  <c r="E102" i="220"/>
  <c r="G102" i="220"/>
  <c r="H102" i="220"/>
  <c r="F102" i="220"/>
  <c r="H90" i="220"/>
  <c r="D90" i="220"/>
  <c r="E90" i="220"/>
  <c r="F90" i="220"/>
  <c r="G90" i="220"/>
  <c r="E78" i="220"/>
  <c r="F78" i="220"/>
  <c r="D78" i="220"/>
  <c r="G78" i="220"/>
  <c r="H78" i="220"/>
  <c r="E66" i="220"/>
  <c r="D66" i="220"/>
  <c r="F66" i="220"/>
  <c r="G66" i="220"/>
  <c r="H66" i="220"/>
  <c r="F54" i="220"/>
  <c r="G54" i="220"/>
  <c r="H54" i="220"/>
  <c r="D54" i="220"/>
  <c r="E54" i="220"/>
  <c r="F42" i="220"/>
  <c r="G42" i="220"/>
  <c r="H42" i="220"/>
  <c r="D42" i="220"/>
  <c r="E42" i="220"/>
  <c r="F30" i="220"/>
  <c r="E30" i="220"/>
  <c r="D30" i="220"/>
  <c r="G30" i="220"/>
  <c r="H30" i="220"/>
  <c r="E28" i="220"/>
  <c r="F28" i="220"/>
  <c r="G28" i="220"/>
  <c r="D28" i="220"/>
  <c r="H28" i="220"/>
  <c r="G73" i="220"/>
  <c r="F73" i="220"/>
  <c r="D73" i="220"/>
  <c r="H73" i="220"/>
  <c r="E73" i="220"/>
  <c r="G95" i="220"/>
  <c r="F95" i="220"/>
  <c r="H95" i="220"/>
  <c r="E95" i="220"/>
  <c r="D95" i="220"/>
  <c r="G59" i="220"/>
  <c r="F59" i="220"/>
  <c r="H59" i="220"/>
  <c r="D59" i="220"/>
  <c r="E59" i="220"/>
  <c r="E82" i="220"/>
  <c r="H82" i="220"/>
  <c r="D82" i="220"/>
  <c r="F82" i="220"/>
  <c r="G82" i="220"/>
  <c r="E46" i="220"/>
  <c r="G46" i="220"/>
  <c r="H46" i="220"/>
  <c r="F46" i="220"/>
  <c r="D46" i="220"/>
  <c r="H104" i="220"/>
  <c r="F104" i="220"/>
  <c r="E104" i="220"/>
  <c r="D104" i="220"/>
  <c r="G104" i="220"/>
  <c r="G56" i="220"/>
  <c r="H56" i="220"/>
  <c r="D56" i="220"/>
  <c r="F56" i="220"/>
  <c r="E56" i="220"/>
  <c r="G101" i="220"/>
  <c r="D101" i="220"/>
  <c r="E101" i="220"/>
  <c r="F101" i="220"/>
  <c r="H101" i="220"/>
  <c r="D89" i="220"/>
  <c r="H89" i="220"/>
  <c r="G89" i="220"/>
  <c r="E89" i="220"/>
  <c r="F89" i="220"/>
  <c r="G77" i="220"/>
  <c r="D77" i="220"/>
  <c r="H77" i="220"/>
  <c r="E77" i="220"/>
  <c r="F77" i="220"/>
  <c r="F65" i="220"/>
  <c r="H65" i="220"/>
  <c r="E65" i="220"/>
  <c r="G65" i="220"/>
  <c r="D65" i="220"/>
  <c r="D53" i="220"/>
  <c r="E53" i="220"/>
  <c r="G53" i="220"/>
  <c r="H53" i="220"/>
  <c r="F53" i="220"/>
  <c r="D41" i="220"/>
  <c r="H41" i="220"/>
  <c r="E41" i="220"/>
  <c r="G41" i="220"/>
  <c r="F41" i="220"/>
  <c r="D29" i="220"/>
  <c r="E29" i="220"/>
  <c r="F29" i="220"/>
  <c r="H29" i="220"/>
  <c r="G29" i="220"/>
  <c r="F14" i="220"/>
  <c r="E14" i="220"/>
  <c r="G14" i="220"/>
  <c r="H14" i="220"/>
  <c r="D14" i="220"/>
  <c r="F11" i="220"/>
  <c r="G11" i="220"/>
  <c r="H11" i="220"/>
  <c r="D11" i="220"/>
  <c r="E11" i="220"/>
  <c r="E12" i="220"/>
  <c r="F12" i="220"/>
  <c r="G12" i="220"/>
  <c r="H12" i="220"/>
  <c r="D12" i="220"/>
  <c r="F10" i="220"/>
  <c r="G10" i="220"/>
  <c r="H10" i="220"/>
  <c r="D10" i="220"/>
  <c r="E10" i="220"/>
  <c r="D16" i="220"/>
  <c r="E16" i="220"/>
  <c r="F16" i="220"/>
  <c r="G16" i="220"/>
  <c r="H16" i="220"/>
  <c r="G13" i="220"/>
  <c r="F13" i="220"/>
  <c r="D13" i="220"/>
  <c r="H13" i="220"/>
  <c r="E13" i="220"/>
  <c r="F18" i="220"/>
  <c r="G18" i="220"/>
  <c r="H18" i="220"/>
  <c r="D18" i="220"/>
  <c r="E18" i="220"/>
  <c r="E15" i="220"/>
  <c r="F15" i="220"/>
  <c r="G15" i="220"/>
  <c r="H15" i="220"/>
  <c r="D15" i="220"/>
  <c r="D17" i="220"/>
  <c r="G17" i="220"/>
  <c r="E17" i="220"/>
  <c r="F17" i="220"/>
  <c r="H17" i="220"/>
  <c r="F77" i="226"/>
  <c r="G77" i="226" s="1"/>
  <c r="C78" i="226"/>
  <c r="B79" i="226"/>
  <c r="A80" i="226"/>
  <c r="B121" i="220"/>
  <c r="C114" i="220"/>
  <c r="C112" i="220"/>
  <c r="C111" i="220"/>
  <c r="C110" i="220"/>
  <c r="F78" i="226" l="1"/>
  <c r="G78" i="226" s="1"/>
  <c r="C79" i="226"/>
  <c r="B80" i="226"/>
  <c r="A81" i="226"/>
  <c r="B118" i="220"/>
  <c r="B117" i="220"/>
  <c r="C195" i="220"/>
  <c r="C197" i="220"/>
  <c r="C199" i="220"/>
  <c r="C135" i="220"/>
  <c r="C174" i="220"/>
  <c r="C178" i="220"/>
  <c r="C170" i="220"/>
  <c r="C139" i="220"/>
  <c r="C123" i="220"/>
  <c r="C142" i="220"/>
  <c r="C181" i="220"/>
  <c r="C207" i="220"/>
  <c r="C150" i="220"/>
  <c r="C166" i="220"/>
  <c r="C185" i="220"/>
  <c r="C154" i="220"/>
  <c r="C127" i="220"/>
  <c r="C164" i="220"/>
  <c r="C183" i="220"/>
  <c r="C147" i="220"/>
  <c r="C172" i="220"/>
  <c r="C217" i="220"/>
  <c r="C140" i="220"/>
  <c r="C193" i="220"/>
  <c r="C148" i="220"/>
  <c r="C186" i="220"/>
  <c r="C182" i="220"/>
  <c r="C133" i="220"/>
  <c r="C125" i="220"/>
  <c r="C153" i="220"/>
  <c r="C137" i="220"/>
  <c r="C175" i="220"/>
  <c r="C138" i="220"/>
  <c r="C205" i="220"/>
  <c r="C136" i="220"/>
  <c r="C167" i="220"/>
  <c r="C151" i="220"/>
  <c r="C143" i="220"/>
  <c r="C160" i="220"/>
  <c r="C132" i="220"/>
  <c r="C215" i="220"/>
  <c r="C124" i="220"/>
  <c r="C213" i="220"/>
  <c r="C192" i="220"/>
  <c r="C126" i="220"/>
  <c r="C190" i="220"/>
  <c r="C194" i="220"/>
  <c r="C157" i="220"/>
  <c r="C141" i="220"/>
  <c r="C189" i="220"/>
  <c r="C212" i="220"/>
  <c r="C171" i="220"/>
  <c r="C128" i="220"/>
  <c r="C203" i="220"/>
  <c r="C218" i="220"/>
  <c r="C162" i="220"/>
  <c r="C146" i="220"/>
  <c r="C187" i="220"/>
  <c r="C131" i="220"/>
  <c r="C216" i="220"/>
  <c r="C155" i="220"/>
  <c r="C214" i="220"/>
  <c r="C134" i="220"/>
  <c r="C209" i="220"/>
  <c r="C211" i="220"/>
  <c r="C122" i="220"/>
  <c r="C198" i="220"/>
  <c r="C176" i="220"/>
  <c r="C188" i="220"/>
  <c r="C184" i="220"/>
  <c r="C180" i="220"/>
  <c r="C169" i="220"/>
  <c r="C129" i="220"/>
  <c r="C173" i="220"/>
  <c r="C161" i="220"/>
  <c r="C145" i="220"/>
  <c r="C210" i="220"/>
  <c r="C158" i="220"/>
  <c r="C163" i="220"/>
  <c r="C201" i="220"/>
  <c r="C200" i="220"/>
  <c r="C159" i="220"/>
  <c r="C144" i="220"/>
  <c r="C179" i="220"/>
  <c r="C191" i="220"/>
  <c r="C152" i="220"/>
  <c r="C196" i="220"/>
  <c r="C130" i="220"/>
  <c r="C208" i="220"/>
  <c r="C204" i="220"/>
  <c r="C156" i="220"/>
  <c r="C206" i="220"/>
  <c r="C177" i="220"/>
  <c r="C202" i="220"/>
  <c r="C168" i="220"/>
  <c r="C165" i="220"/>
  <c r="C149" i="220"/>
  <c r="C121" i="220"/>
  <c r="F79" i="226" l="1"/>
  <c r="G79" i="226" s="1"/>
  <c r="C80" i="226"/>
  <c r="B81" i="226"/>
  <c r="A82" i="226"/>
  <c r="D136" i="220"/>
  <c r="D134" i="220"/>
  <c r="D169" i="220"/>
  <c r="D123" i="220"/>
  <c r="D133" i="220"/>
  <c r="D153" i="220"/>
  <c r="D165" i="220"/>
  <c r="D128" i="220"/>
  <c r="D181" i="220" l="1"/>
  <c r="F80" i="226"/>
  <c r="G80" i="226" s="1"/>
  <c r="C81" i="226"/>
  <c r="B82" i="226"/>
  <c r="A83" i="226"/>
  <c r="D197" i="220"/>
  <c r="D210" i="220"/>
  <c r="D171" i="220"/>
  <c r="D147" i="220"/>
  <c r="D172" i="220"/>
  <c r="D182" i="220"/>
  <c r="D173" i="220"/>
  <c r="D217" i="220"/>
  <c r="D143" i="220"/>
  <c r="D214" i="220"/>
  <c r="D149" i="220"/>
  <c r="D168" i="220"/>
  <c r="D204" i="220"/>
  <c r="D161" i="220"/>
  <c r="D159" i="220"/>
  <c r="D164" i="220"/>
  <c r="D135" i="220"/>
  <c r="D216" i="220"/>
  <c r="D199" i="220"/>
  <c r="D179" i="220"/>
  <c r="D140" i="220"/>
  <c r="D186" i="220"/>
  <c r="D202" i="220"/>
  <c r="D198" i="220"/>
  <c r="D158" i="220"/>
  <c r="D188" i="220"/>
  <c r="D185" i="220"/>
  <c r="D205" i="220"/>
  <c r="D131" i="220"/>
  <c r="D200" i="220"/>
  <c r="D141" i="220"/>
  <c r="D174" i="220"/>
  <c r="D152" i="220"/>
  <c r="D154" i="220"/>
  <c r="D126" i="220"/>
  <c r="D150" i="220"/>
  <c r="D183" i="220"/>
  <c r="D218" i="220"/>
  <c r="D144" i="220"/>
  <c r="D132" i="220"/>
  <c r="D196" i="220"/>
  <c r="D125" i="220"/>
  <c r="D137" i="220"/>
  <c r="D211" i="220"/>
  <c r="D157" i="220"/>
  <c r="D215" i="220"/>
  <c r="D156" i="220"/>
  <c r="D195" i="220"/>
  <c r="D209" i="220"/>
  <c r="D122" i="220"/>
  <c r="D163" i="220"/>
  <c r="D160" i="220"/>
  <c r="D189" i="220"/>
  <c r="D177" i="220"/>
  <c r="D138" i="220"/>
  <c r="D170" i="220"/>
  <c r="D206" i="220"/>
  <c r="D194" i="220"/>
  <c r="D166" i="220"/>
  <c r="D184" i="220"/>
  <c r="D155" i="220"/>
  <c r="D212" i="220"/>
  <c r="D148" i="220"/>
  <c r="D187" i="220"/>
  <c r="D124" i="220"/>
  <c r="D121" i="220"/>
  <c r="D151" i="220"/>
  <c r="D190" i="220"/>
  <c r="D208" i="220"/>
  <c r="D176" i="220"/>
  <c r="D180" i="220"/>
  <c r="D175" i="220"/>
  <c r="D162" i="220"/>
  <c r="D130" i="220"/>
  <c r="D193" i="220"/>
  <c r="D191" i="220"/>
  <c r="D145" i="220"/>
  <c r="D142" i="220"/>
  <c r="D207" i="220"/>
  <c r="D129" i="220"/>
  <c r="D192" i="220"/>
  <c r="D139" i="220"/>
  <c r="D203" i="220"/>
  <c r="D167" i="220"/>
  <c r="D146" i="220"/>
  <c r="D201" i="220"/>
  <c r="D178" i="220"/>
  <c r="D127" i="220"/>
  <c r="D213" i="220"/>
  <c r="F81" i="226" l="1"/>
  <c r="G81" i="226" s="1"/>
  <c r="C82" i="226"/>
  <c r="B83" i="226"/>
  <c r="A84" i="226"/>
  <c r="F82" i="226" l="1"/>
  <c r="G82" i="226" s="1"/>
  <c r="C83" i="226"/>
  <c r="B84" i="226"/>
  <c r="A85" i="226"/>
  <c r="F83" i="226" l="1"/>
  <c r="G83" i="226" s="1"/>
  <c r="C84" i="226"/>
  <c r="B85" i="226"/>
  <c r="A86" i="226"/>
  <c r="F84" i="226" l="1"/>
  <c r="G84" i="226" s="1"/>
  <c r="C85" i="226"/>
  <c r="B86" i="226"/>
  <c r="A87" i="226"/>
  <c r="F85" i="226" l="1"/>
  <c r="G85" i="226" s="1"/>
  <c r="C86" i="226"/>
  <c r="B87" i="226"/>
  <c r="A88" i="226"/>
  <c r="F86" i="226" l="1"/>
  <c r="G86" i="226" s="1"/>
  <c r="C87" i="226"/>
  <c r="B88" i="226"/>
  <c r="A89" i="226"/>
  <c r="F87" i="226" l="1"/>
  <c r="G87" i="226" s="1"/>
  <c r="C88" i="226"/>
  <c r="B89" i="226"/>
  <c r="A90" i="226"/>
  <c r="F88" i="226" l="1"/>
  <c r="G88" i="226" s="1"/>
  <c r="C89" i="226"/>
  <c r="B90" i="226"/>
  <c r="A91" i="226"/>
  <c r="F89" i="226" l="1"/>
  <c r="G89" i="226" s="1"/>
  <c r="C90" i="226"/>
  <c r="B91" i="226"/>
  <c r="A92" i="226"/>
  <c r="F90" i="226" l="1"/>
  <c r="G90" i="226" s="1"/>
  <c r="C91" i="226"/>
  <c r="B92" i="226"/>
  <c r="A93" i="226"/>
  <c r="F91" i="226" l="1"/>
  <c r="G91" i="226" s="1"/>
  <c r="C92" i="226"/>
  <c r="B93" i="226"/>
  <c r="A94" i="226"/>
  <c r="F92" i="226" l="1"/>
  <c r="G92" i="226" s="1"/>
  <c r="C93" i="226"/>
  <c r="B94" i="226"/>
  <c r="A95" i="226"/>
  <c r="F93" i="226" l="1"/>
  <c r="G93" i="226" s="1"/>
  <c r="C94" i="226"/>
  <c r="B95" i="226"/>
  <c r="A96" i="226"/>
  <c r="F94" i="226" l="1"/>
  <c r="G94" i="226" s="1"/>
  <c r="C95" i="226"/>
  <c r="B96" i="226"/>
  <c r="A97" i="226"/>
  <c r="F95" i="226" l="1"/>
  <c r="G95" i="226" s="1"/>
  <c r="C96" i="226"/>
  <c r="B97" i="226"/>
  <c r="A98" i="226"/>
  <c r="P49" i="115"/>
  <c r="P48" i="115"/>
  <c r="P47" i="115"/>
  <c r="P46" i="115"/>
  <c r="P45" i="115"/>
  <c r="P44" i="115"/>
  <c r="P43" i="115"/>
  <c r="P42" i="115"/>
  <c r="P41" i="115"/>
  <c r="P40" i="115"/>
  <c r="P39" i="115"/>
  <c r="P38" i="115"/>
  <c r="P37" i="115"/>
  <c r="P36" i="115"/>
  <c r="P35" i="115"/>
  <c r="P34" i="115"/>
  <c r="P33" i="115"/>
  <c r="P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P19" i="115"/>
  <c r="P18" i="115"/>
  <c r="P17" i="115"/>
  <c r="P16" i="115"/>
  <c r="P15" i="115"/>
  <c r="P14" i="115"/>
  <c r="P13" i="115"/>
  <c r="P12" i="115"/>
  <c r="P11" i="115"/>
  <c r="P10" i="115"/>
  <c r="P9" i="115"/>
  <c r="P8" i="115"/>
  <c r="P7" i="115"/>
  <c r="P6" i="115"/>
  <c r="P5" i="115"/>
  <c r="P4" i="115"/>
  <c r="P3" i="115"/>
  <c r="B32" i="1"/>
  <c r="B31" i="1"/>
  <c r="L482" i="3"/>
  <c r="Q482" i="3" s="1"/>
  <c r="K481" i="3"/>
  <c r="F481" i="3"/>
  <c r="L481" i="3" s="1"/>
  <c r="Q481" i="3" s="1"/>
  <c r="K480" i="3"/>
  <c r="F480" i="3"/>
  <c r="L480" i="3" s="1"/>
  <c r="Q480" i="3" s="1"/>
  <c r="K479" i="3"/>
  <c r="F479" i="3"/>
  <c r="L479" i="3" s="1"/>
  <c r="Q479" i="3" s="1"/>
  <c r="L478" i="3"/>
  <c r="Q478" i="3" s="1"/>
  <c r="K478" i="3"/>
  <c r="L477" i="3"/>
  <c r="Q477" i="3" s="1"/>
  <c r="K477" i="3"/>
  <c r="L476" i="3"/>
  <c r="Q476" i="3" s="1"/>
  <c r="K476" i="3"/>
  <c r="L475" i="3"/>
  <c r="Q475" i="3" s="1"/>
  <c r="K475" i="3"/>
  <c r="L474" i="3"/>
  <c r="Q474" i="3" s="1"/>
  <c r="K474" i="3"/>
  <c r="L473" i="3"/>
  <c r="Q473" i="3" s="1"/>
  <c r="K473" i="3"/>
  <c r="L472" i="3"/>
  <c r="Q472" i="3" s="1"/>
  <c r="K472" i="3"/>
  <c r="L471" i="3"/>
  <c r="Q471" i="3" s="1"/>
  <c r="K471" i="3"/>
  <c r="L470" i="3"/>
  <c r="Q470" i="3" s="1"/>
  <c r="K470" i="3"/>
  <c r="L469" i="3"/>
  <c r="Q469" i="3" s="1"/>
  <c r="K469" i="3"/>
  <c r="L468" i="3"/>
  <c r="Q468" i="3" s="1"/>
  <c r="K468" i="3"/>
  <c r="L467" i="3"/>
  <c r="Q467" i="3" s="1"/>
  <c r="K467" i="3"/>
  <c r="L466" i="3"/>
  <c r="Q466" i="3" s="1"/>
  <c r="K466" i="3"/>
  <c r="L465" i="3"/>
  <c r="Q465" i="3" s="1"/>
  <c r="K465" i="3"/>
  <c r="L464" i="3"/>
  <c r="Q464" i="3" s="1"/>
  <c r="K464" i="3"/>
  <c r="L463" i="3"/>
  <c r="Q463" i="3" s="1"/>
  <c r="K463" i="3"/>
  <c r="L462" i="3"/>
  <c r="Q462" i="3" s="1"/>
  <c r="K462" i="3"/>
  <c r="L461" i="3"/>
  <c r="Q461" i="3" s="1"/>
  <c r="K461" i="3"/>
  <c r="L460" i="3"/>
  <c r="Q460" i="3" s="1"/>
  <c r="K460" i="3"/>
  <c r="L459" i="3"/>
  <c r="Q459" i="3" s="1"/>
  <c r="K459" i="3"/>
  <c r="L458" i="3"/>
  <c r="Q458" i="3" s="1"/>
  <c r="K458" i="3"/>
  <c r="L457" i="3"/>
  <c r="Q457" i="3" s="1"/>
  <c r="K457" i="3"/>
  <c r="L456" i="3"/>
  <c r="Q456" i="3" s="1"/>
  <c r="K456" i="3"/>
  <c r="L455" i="3"/>
  <c r="Q455" i="3" s="1"/>
  <c r="K455" i="3"/>
  <c r="L454" i="3"/>
  <c r="Q454" i="3" s="1"/>
  <c r="K454" i="3"/>
  <c r="L453" i="3"/>
  <c r="Q453" i="3" s="1"/>
  <c r="K453" i="3"/>
  <c r="L452" i="3"/>
  <c r="Q452" i="3" s="1"/>
  <c r="K452" i="3"/>
  <c r="L451" i="3"/>
  <c r="Q451" i="3" s="1"/>
  <c r="K451" i="3"/>
  <c r="L450" i="3"/>
  <c r="Q450" i="3" s="1"/>
  <c r="K450" i="3"/>
  <c r="L449" i="3"/>
  <c r="Q449" i="3" s="1"/>
  <c r="K449" i="3"/>
  <c r="L448" i="3"/>
  <c r="Q448" i="3" s="1"/>
  <c r="K448" i="3"/>
  <c r="L447" i="3"/>
  <c r="Q447" i="3" s="1"/>
  <c r="K447" i="3"/>
  <c r="L446" i="3"/>
  <c r="Q446" i="3" s="1"/>
  <c r="K446" i="3"/>
  <c r="L445" i="3"/>
  <c r="Q445" i="3" s="1"/>
  <c r="K445" i="3"/>
  <c r="L444" i="3"/>
  <c r="Q444" i="3" s="1"/>
  <c r="K444" i="3"/>
  <c r="L443" i="3"/>
  <c r="Q443" i="3" s="1"/>
  <c r="K443" i="3"/>
  <c r="L442" i="3"/>
  <c r="Q442" i="3" s="1"/>
  <c r="K442" i="3"/>
  <c r="L441" i="3"/>
  <c r="Q441" i="3" s="1"/>
  <c r="K441" i="3"/>
  <c r="L440" i="3"/>
  <c r="Q440" i="3" s="1"/>
  <c r="K440" i="3"/>
  <c r="L439" i="3"/>
  <c r="Q439" i="3" s="1"/>
  <c r="K439" i="3"/>
  <c r="L438" i="3"/>
  <c r="Q438" i="3" s="1"/>
  <c r="K438" i="3"/>
  <c r="L437" i="3"/>
  <c r="Q437" i="3" s="1"/>
  <c r="K437" i="3"/>
  <c r="L436" i="3"/>
  <c r="Q436" i="3" s="1"/>
  <c r="K436" i="3"/>
  <c r="L435" i="3"/>
  <c r="Q435" i="3" s="1"/>
  <c r="K435" i="3"/>
  <c r="L434" i="3"/>
  <c r="Q434" i="3" s="1"/>
  <c r="K434" i="3"/>
  <c r="L433" i="3"/>
  <c r="Q433" i="3" s="1"/>
  <c r="K433" i="3"/>
  <c r="L432" i="3"/>
  <c r="Q432" i="3" s="1"/>
  <c r="K432" i="3"/>
  <c r="L431" i="3"/>
  <c r="Q431" i="3" s="1"/>
  <c r="K431" i="3"/>
  <c r="L430" i="3"/>
  <c r="Q430" i="3" s="1"/>
  <c r="K430" i="3"/>
  <c r="L429" i="3"/>
  <c r="Q429" i="3" s="1"/>
  <c r="K429" i="3"/>
  <c r="L428" i="3"/>
  <c r="Q428" i="3" s="1"/>
  <c r="K428" i="3"/>
  <c r="L427" i="3"/>
  <c r="Q427" i="3" s="1"/>
  <c r="K427" i="3"/>
  <c r="L426" i="3"/>
  <c r="Q426" i="3" s="1"/>
  <c r="K426" i="3"/>
  <c r="L425" i="3"/>
  <c r="Q425" i="3" s="1"/>
  <c r="K425" i="3"/>
  <c r="L424" i="3"/>
  <c r="Q424" i="3" s="1"/>
  <c r="K424" i="3"/>
  <c r="L423" i="3"/>
  <c r="Q423" i="3" s="1"/>
  <c r="K423" i="3"/>
  <c r="L422" i="3"/>
  <c r="Q422" i="3" s="1"/>
  <c r="K422" i="3"/>
  <c r="L421" i="3"/>
  <c r="Q421" i="3" s="1"/>
  <c r="K421" i="3"/>
  <c r="L420" i="3"/>
  <c r="Q420" i="3" s="1"/>
  <c r="K420" i="3"/>
  <c r="L419" i="3"/>
  <c r="Q419" i="3" s="1"/>
  <c r="K419" i="3"/>
  <c r="L418" i="3"/>
  <c r="Q418" i="3" s="1"/>
  <c r="K418" i="3"/>
  <c r="L417" i="3"/>
  <c r="Q417" i="3" s="1"/>
  <c r="K417" i="3"/>
  <c r="L416" i="3"/>
  <c r="Q416" i="3" s="1"/>
  <c r="K416" i="3"/>
  <c r="L415" i="3"/>
  <c r="Q415" i="3" s="1"/>
  <c r="K415" i="3"/>
  <c r="L414" i="3"/>
  <c r="Q414" i="3" s="1"/>
  <c r="K414" i="3"/>
  <c r="L413" i="3"/>
  <c r="Q413" i="3" s="1"/>
  <c r="K413" i="3"/>
  <c r="L412" i="3"/>
  <c r="Q412" i="3" s="1"/>
  <c r="K412" i="3"/>
  <c r="L411" i="3"/>
  <c r="Q411" i="3" s="1"/>
  <c r="K411" i="3"/>
  <c r="L410" i="3"/>
  <c r="Q410" i="3" s="1"/>
  <c r="K410" i="3"/>
  <c r="L409" i="3"/>
  <c r="Q409" i="3" s="1"/>
  <c r="K409" i="3"/>
  <c r="L408" i="3"/>
  <c r="Q408" i="3" s="1"/>
  <c r="K408" i="3"/>
  <c r="L407" i="3"/>
  <c r="Q407" i="3" s="1"/>
  <c r="K407" i="3"/>
  <c r="L406" i="3"/>
  <c r="Q406" i="3" s="1"/>
  <c r="K406" i="3"/>
  <c r="L405" i="3"/>
  <c r="Q405" i="3" s="1"/>
  <c r="K405" i="3"/>
  <c r="L404" i="3"/>
  <c r="Q404" i="3" s="1"/>
  <c r="K404" i="3"/>
  <c r="L403" i="3"/>
  <c r="Q403" i="3" s="1"/>
  <c r="K403" i="3"/>
  <c r="L402" i="3"/>
  <c r="Q402" i="3" s="1"/>
  <c r="K402" i="3"/>
  <c r="L401" i="3"/>
  <c r="Q401" i="3" s="1"/>
  <c r="K401" i="3"/>
  <c r="L400" i="3"/>
  <c r="Q400" i="3" s="1"/>
  <c r="K400" i="3"/>
  <c r="L399" i="3"/>
  <c r="Q399" i="3" s="1"/>
  <c r="K399" i="3"/>
  <c r="L398" i="3"/>
  <c r="Q398" i="3" s="1"/>
  <c r="K398" i="3"/>
  <c r="L397" i="3"/>
  <c r="Q397" i="3" s="1"/>
  <c r="K397" i="3"/>
  <c r="L396" i="3"/>
  <c r="Q396" i="3" s="1"/>
  <c r="K396" i="3"/>
  <c r="L395" i="3"/>
  <c r="Q395" i="3" s="1"/>
  <c r="K395" i="3"/>
  <c r="L394" i="3"/>
  <c r="Q394" i="3" s="1"/>
  <c r="K394" i="3"/>
  <c r="L393" i="3"/>
  <c r="Q393" i="3" s="1"/>
  <c r="K393" i="3"/>
  <c r="L392" i="3"/>
  <c r="Q392" i="3" s="1"/>
  <c r="K392" i="3"/>
  <c r="L391" i="3"/>
  <c r="Q391" i="3" s="1"/>
  <c r="K391" i="3"/>
  <c r="L390" i="3"/>
  <c r="Q390" i="3" s="1"/>
  <c r="K390" i="3"/>
  <c r="L389" i="3"/>
  <c r="Q389" i="3" s="1"/>
  <c r="K389" i="3"/>
  <c r="L388" i="3"/>
  <c r="Q388" i="3" s="1"/>
  <c r="K388" i="3"/>
  <c r="L387" i="3"/>
  <c r="Q387" i="3" s="1"/>
  <c r="K387" i="3"/>
  <c r="L386" i="3"/>
  <c r="Q386" i="3" s="1"/>
  <c r="K386" i="3"/>
  <c r="L385" i="3"/>
  <c r="Q385" i="3" s="1"/>
  <c r="K385" i="3"/>
  <c r="L384" i="3"/>
  <c r="Q384" i="3" s="1"/>
  <c r="K384" i="3"/>
  <c r="L383" i="3"/>
  <c r="Q383" i="3" s="1"/>
  <c r="K383" i="3"/>
  <c r="L382" i="3"/>
  <c r="Q382" i="3" s="1"/>
  <c r="K382" i="3"/>
  <c r="L381" i="3"/>
  <c r="Q381" i="3" s="1"/>
  <c r="K381" i="3"/>
  <c r="L380" i="3"/>
  <c r="Q380" i="3" s="1"/>
  <c r="K380" i="3"/>
  <c r="L379" i="3"/>
  <c r="Q379" i="3" s="1"/>
  <c r="K379" i="3"/>
  <c r="L378" i="3"/>
  <c r="Q378" i="3" s="1"/>
  <c r="K378" i="3"/>
  <c r="L377" i="3"/>
  <c r="Q377" i="3" s="1"/>
  <c r="K377" i="3"/>
  <c r="L376" i="3"/>
  <c r="Q376" i="3" s="1"/>
  <c r="K376" i="3"/>
  <c r="L375" i="3"/>
  <c r="Q375" i="3" s="1"/>
  <c r="K375" i="3"/>
  <c r="L374" i="3"/>
  <c r="Q374" i="3" s="1"/>
  <c r="K374" i="3"/>
  <c r="L373" i="3"/>
  <c r="Q373" i="3" s="1"/>
  <c r="K373" i="3"/>
  <c r="L372" i="3"/>
  <c r="Q372" i="3" s="1"/>
  <c r="K372" i="3"/>
  <c r="L371" i="3"/>
  <c r="Q371" i="3" s="1"/>
  <c r="K371" i="3"/>
  <c r="L370" i="3"/>
  <c r="Q370" i="3" s="1"/>
  <c r="K370" i="3"/>
  <c r="L369" i="3"/>
  <c r="Q369" i="3" s="1"/>
  <c r="K369" i="3"/>
  <c r="L368" i="3"/>
  <c r="Q368" i="3" s="1"/>
  <c r="K368" i="3"/>
  <c r="L367" i="3"/>
  <c r="Q367" i="3" s="1"/>
  <c r="K367" i="3"/>
  <c r="L366" i="3"/>
  <c r="Q366" i="3" s="1"/>
  <c r="K366" i="3"/>
  <c r="L365" i="3"/>
  <c r="Q365" i="3" s="1"/>
  <c r="K365" i="3"/>
  <c r="L364" i="3"/>
  <c r="Q364" i="3" s="1"/>
  <c r="K364" i="3"/>
  <c r="L363" i="3"/>
  <c r="Q363" i="3" s="1"/>
  <c r="K363" i="3"/>
  <c r="L362" i="3"/>
  <c r="Q362" i="3" s="1"/>
  <c r="K362" i="3"/>
  <c r="L361" i="3"/>
  <c r="Q361" i="3" s="1"/>
  <c r="K361" i="3"/>
  <c r="L360" i="3"/>
  <c r="Q360" i="3" s="1"/>
  <c r="K360" i="3"/>
  <c r="L359" i="3"/>
  <c r="Q359" i="3" s="1"/>
  <c r="K359" i="3"/>
  <c r="L358" i="3"/>
  <c r="Q358" i="3" s="1"/>
  <c r="K358" i="3"/>
  <c r="L357" i="3"/>
  <c r="Q357" i="3" s="1"/>
  <c r="K357" i="3"/>
  <c r="L356" i="3"/>
  <c r="Q356" i="3" s="1"/>
  <c r="K356" i="3"/>
  <c r="L355" i="3"/>
  <c r="Q355" i="3" s="1"/>
  <c r="K355" i="3"/>
  <c r="L354" i="3"/>
  <c r="Q354" i="3" s="1"/>
  <c r="K354" i="3"/>
  <c r="L353" i="3"/>
  <c r="Q353" i="3" s="1"/>
  <c r="K353" i="3"/>
  <c r="L352" i="3"/>
  <c r="Q352" i="3" s="1"/>
  <c r="K352" i="3"/>
  <c r="L351" i="3"/>
  <c r="Q351" i="3" s="1"/>
  <c r="K351" i="3"/>
  <c r="L350" i="3"/>
  <c r="Q350" i="3" s="1"/>
  <c r="K350" i="3"/>
  <c r="L349" i="3"/>
  <c r="Q349" i="3" s="1"/>
  <c r="K349" i="3"/>
  <c r="L348" i="3"/>
  <c r="Q348" i="3" s="1"/>
  <c r="K348" i="3"/>
  <c r="L347" i="3"/>
  <c r="Q347" i="3" s="1"/>
  <c r="K347" i="3"/>
  <c r="L346" i="3"/>
  <c r="Q346" i="3" s="1"/>
  <c r="K346" i="3"/>
  <c r="L345" i="3"/>
  <c r="Q345" i="3" s="1"/>
  <c r="K345" i="3"/>
  <c r="L344" i="3"/>
  <c r="Q344" i="3" s="1"/>
  <c r="K344" i="3"/>
  <c r="L343" i="3"/>
  <c r="Q343" i="3" s="1"/>
  <c r="K343" i="3"/>
  <c r="L342" i="3"/>
  <c r="Q342" i="3" s="1"/>
  <c r="K342" i="3"/>
  <c r="L341" i="3"/>
  <c r="Q341" i="3" s="1"/>
  <c r="K341" i="3"/>
  <c r="L340" i="3"/>
  <c r="Q340" i="3" s="1"/>
  <c r="K340" i="3"/>
  <c r="L339" i="3"/>
  <c r="Q339" i="3" s="1"/>
  <c r="K339" i="3"/>
  <c r="L338" i="3"/>
  <c r="Q338" i="3" s="1"/>
  <c r="K338" i="3"/>
  <c r="L337" i="3"/>
  <c r="Q337" i="3" s="1"/>
  <c r="K337" i="3"/>
  <c r="L336" i="3"/>
  <c r="Q336" i="3" s="1"/>
  <c r="K336" i="3"/>
  <c r="L335" i="3"/>
  <c r="Q335" i="3" s="1"/>
  <c r="K335" i="3"/>
  <c r="L334" i="3"/>
  <c r="Q334" i="3" s="1"/>
  <c r="K334" i="3"/>
  <c r="L333" i="3"/>
  <c r="Q333" i="3" s="1"/>
  <c r="K333" i="3"/>
  <c r="L332" i="3"/>
  <c r="Q332" i="3" s="1"/>
  <c r="K332" i="3"/>
  <c r="L331" i="3"/>
  <c r="Q331" i="3" s="1"/>
  <c r="K331" i="3"/>
  <c r="L330" i="3"/>
  <c r="Q330" i="3" s="1"/>
  <c r="K330" i="3"/>
  <c r="L329" i="3"/>
  <c r="Q329" i="3" s="1"/>
  <c r="K329" i="3"/>
  <c r="L328" i="3"/>
  <c r="Q328" i="3" s="1"/>
  <c r="K328" i="3"/>
  <c r="L327" i="3"/>
  <c r="Q327" i="3" s="1"/>
  <c r="K327" i="3"/>
  <c r="L326" i="3"/>
  <c r="Q326" i="3" s="1"/>
  <c r="K326" i="3"/>
  <c r="L325" i="3"/>
  <c r="Q325" i="3" s="1"/>
  <c r="K325" i="3"/>
  <c r="L324" i="3"/>
  <c r="Q324" i="3" s="1"/>
  <c r="K324" i="3"/>
  <c r="L323" i="3"/>
  <c r="Q323" i="3" s="1"/>
  <c r="K323" i="3"/>
  <c r="L322" i="3"/>
  <c r="Q322" i="3" s="1"/>
  <c r="K322" i="3"/>
  <c r="L321" i="3"/>
  <c r="Q321" i="3" s="1"/>
  <c r="K321" i="3"/>
  <c r="L320" i="3"/>
  <c r="Q320" i="3" s="1"/>
  <c r="K320" i="3"/>
  <c r="L319" i="3"/>
  <c r="Q319" i="3" s="1"/>
  <c r="K319" i="3"/>
  <c r="L318" i="3"/>
  <c r="Q318" i="3" s="1"/>
  <c r="K318" i="3"/>
  <c r="L317" i="3"/>
  <c r="Q317" i="3" s="1"/>
  <c r="K317" i="3"/>
  <c r="L316" i="3"/>
  <c r="Q316" i="3" s="1"/>
  <c r="K316" i="3"/>
  <c r="L315" i="3"/>
  <c r="Q315" i="3" s="1"/>
  <c r="K315" i="3"/>
  <c r="L314" i="3"/>
  <c r="Q314" i="3" s="1"/>
  <c r="K314" i="3"/>
  <c r="L313" i="3"/>
  <c r="Q313" i="3" s="1"/>
  <c r="K313" i="3"/>
  <c r="L312" i="3"/>
  <c r="Q312" i="3" s="1"/>
  <c r="K312" i="3"/>
  <c r="L311" i="3"/>
  <c r="Q311" i="3" s="1"/>
  <c r="K311" i="3"/>
  <c r="L310" i="3"/>
  <c r="Q310" i="3" s="1"/>
  <c r="K310" i="3"/>
  <c r="L309" i="3"/>
  <c r="Q309" i="3" s="1"/>
  <c r="K309" i="3"/>
  <c r="L308" i="3"/>
  <c r="Q308" i="3" s="1"/>
  <c r="K308" i="3"/>
  <c r="L307" i="3"/>
  <c r="Q307" i="3" s="1"/>
  <c r="K307" i="3"/>
  <c r="L306" i="3"/>
  <c r="Q306" i="3" s="1"/>
  <c r="K306" i="3"/>
  <c r="L305" i="3"/>
  <c r="Q305" i="3" s="1"/>
  <c r="K305" i="3"/>
  <c r="L304" i="3"/>
  <c r="Q304" i="3" s="1"/>
  <c r="K304" i="3"/>
  <c r="L303" i="3"/>
  <c r="Q303" i="3" s="1"/>
  <c r="K303" i="3"/>
  <c r="L302" i="3"/>
  <c r="Q302" i="3" s="1"/>
  <c r="K302" i="3"/>
  <c r="L301" i="3"/>
  <c r="Q301" i="3" s="1"/>
  <c r="K301" i="3"/>
  <c r="L300" i="3"/>
  <c r="Q300" i="3" s="1"/>
  <c r="K300" i="3"/>
  <c r="L299" i="3"/>
  <c r="Q299" i="3" s="1"/>
  <c r="K299" i="3"/>
  <c r="L298" i="3"/>
  <c r="Q298" i="3" s="1"/>
  <c r="K298" i="3"/>
  <c r="L297" i="3"/>
  <c r="Q297" i="3" s="1"/>
  <c r="K297" i="3"/>
  <c r="L296" i="3"/>
  <c r="Q296" i="3" s="1"/>
  <c r="K296" i="3"/>
  <c r="L295" i="3"/>
  <c r="Q295" i="3" s="1"/>
  <c r="K295" i="3"/>
  <c r="L294" i="3"/>
  <c r="Q294" i="3" s="1"/>
  <c r="K294" i="3"/>
  <c r="L293" i="3"/>
  <c r="Q293" i="3" s="1"/>
  <c r="K293" i="3"/>
  <c r="L292" i="3"/>
  <c r="Q292" i="3" s="1"/>
  <c r="K292" i="3"/>
  <c r="L291" i="3"/>
  <c r="Q291" i="3" s="1"/>
  <c r="K291" i="3"/>
  <c r="L290" i="3"/>
  <c r="Q290" i="3" s="1"/>
  <c r="K290" i="3"/>
  <c r="L289" i="3"/>
  <c r="Q289" i="3" s="1"/>
  <c r="K289" i="3"/>
  <c r="L288" i="3"/>
  <c r="Q288" i="3" s="1"/>
  <c r="K288" i="3"/>
  <c r="L287" i="3"/>
  <c r="Q287" i="3" s="1"/>
  <c r="K287" i="3"/>
  <c r="L286" i="3"/>
  <c r="Q286" i="3" s="1"/>
  <c r="K286" i="3"/>
  <c r="L285" i="3"/>
  <c r="Q285" i="3" s="1"/>
  <c r="K285" i="3"/>
  <c r="L284" i="3"/>
  <c r="Q284" i="3" s="1"/>
  <c r="K284" i="3"/>
  <c r="L283" i="3"/>
  <c r="Q283" i="3" s="1"/>
  <c r="K283" i="3"/>
  <c r="L282" i="3"/>
  <c r="Q282" i="3" s="1"/>
  <c r="K282" i="3"/>
  <c r="L281" i="3"/>
  <c r="Q281" i="3" s="1"/>
  <c r="K281" i="3"/>
  <c r="L280" i="3"/>
  <c r="Q280" i="3" s="1"/>
  <c r="K280" i="3"/>
  <c r="L279" i="3"/>
  <c r="Q279" i="3" s="1"/>
  <c r="K279" i="3"/>
  <c r="L278" i="3"/>
  <c r="Q278" i="3" s="1"/>
  <c r="K278" i="3"/>
  <c r="L277" i="3"/>
  <c r="Q277" i="3" s="1"/>
  <c r="K277" i="3"/>
  <c r="L276" i="3"/>
  <c r="Q276" i="3" s="1"/>
  <c r="K276" i="3"/>
  <c r="L275" i="3"/>
  <c r="Q275" i="3" s="1"/>
  <c r="K275" i="3"/>
  <c r="L274" i="3"/>
  <c r="Q274" i="3" s="1"/>
  <c r="K274" i="3"/>
  <c r="L273" i="3"/>
  <c r="Q273" i="3" s="1"/>
  <c r="K273" i="3"/>
  <c r="L272" i="3"/>
  <c r="Q272" i="3" s="1"/>
  <c r="K272" i="3"/>
  <c r="L271" i="3"/>
  <c r="Q271" i="3" s="1"/>
  <c r="K271" i="3"/>
  <c r="L270" i="3"/>
  <c r="Q270" i="3" s="1"/>
  <c r="K270" i="3"/>
  <c r="L269" i="3"/>
  <c r="Q269" i="3" s="1"/>
  <c r="K269" i="3"/>
  <c r="L268" i="3"/>
  <c r="Q268" i="3" s="1"/>
  <c r="K268" i="3"/>
  <c r="L267" i="3"/>
  <c r="Q267" i="3" s="1"/>
  <c r="K267" i="3"/>
  <c r="L266" i="3"/>
  <c r="Q266" i="3" s="1"/>
  <c r="K266" i="3"/>
  <c r="L265" i="3"/>
  <c r="Q265" i="3" s="1"/>
  <c r="K265" i="3"/>
  <c r="L264" i="3"/>
  <c r="Q264" i="3" s="1"/>
  <c r="K264" i="3"/>
  <c r="L263" i="3"/>
  <c r="Q263" i="3" s="1"/>
  <c r="K263" i="3"/>
  <c r="L262" i="3"/>
  <c r="Q262" i="3" s="1"/>
  <c r="K262" i="3"/>
  <c r="L261" i="3"/>
  <c r="Q261" i="3" s="1"/>
  <c r="K261" i="3"/>
  <c r="L260" i="3"/>
  <c r="Q260" i="3" s="1"/>
  <c r="K260" i="3"/>
  <c r="L259" i="3"/>
  <c r="Q259" i="3" s="1"/>
  <c r="K259" i="3"/>
  <c r="L258" i="3"/>
  <c r="Q258" i="3" s="1"/>
  <c r="K258" i="3"/>
  <c r="L257" i="3"/>
  <c r="Q257" i="3" s="1"/>
  <c r="K257" i="3"/>
  <c r="L256" i="3"/>
  <c r="Q256" i="3" s="1"/>
  <c r="K256" i="3"/>
  <c r="L255" i="3"/>
  <c r="Q255" i="3" s="1"/>
  <c r="K255" i="3"/>
  <c r="L254" i="3"/>
  <c r="Q254" i="3" s="1"/>
  <c r="K254" i="3"/>
  <c r="L253" i="3"/>
  <c r="Q253" i="3" s="1"/>
  <c r="K253" i="3"/>
  <c r="L252" i="3"/>
  <c r="Q252" i="3" s="1"/>
  <c r="K252" i="3"/>
  <c r="L251" i="3"/>
  <c r="Q251" i="3" s="1"/>
  <c r="K251" i="3"/>
  <c r="L250" i="3"/>
  <c r="Q250" i="3" s="1"/>
  <c r="K250" i="3"/>
  <c r="L249" i="3"/>
  <c r="Q249" i="3" s="1"/>
  <c r="K249" i="3"/>
  <c r="L248" i="3"/>
  <c r="Q248" i="3" s="1"/>
  <c r="K248" i="3"/>
  <c r="L247" i="3"/>
  <c r="Q247" i="3" s="1"/>
  <c r="K247" i="3"/>
  <c r="L246" i="3"/>
  <c r="Q246" i="3" s="1"/>
  <c r="K246" i="3"/>
  <c r="L245" i="3"/>
  <c r="Q245" i="3" s="1"/>
  <c r="K245" i="3"/>
  <c r="L244" i="3"/>
  <c r="Q244" i="3" s="1"/>
  <c r="K244" i="3"/>
  <c r="L243" i="3"/>
  <c r="Q243" i="3" s="1"/>
  <c r="K243" i="3"/>
  <c r="L242" i="3"/>
  <c r="Q242" i="3" s="1"/>
  <c r="K242" i="3"/>
  <c r="L241" i="3"/>
  <c r="Q241" i="3" s="1"/>
  <c r="K241" i="3"/>
  <c r="L240" i="3"/>
  <c r="Q240" i="3" s="1"/>
  <c r="K240" i="3"/>
  <c r="L239" i="3"/>
  <c r="Q239" i="3" s="1"/>
  <c r="K239" i="3"/>
  <c r="L238" i="3"/>
  <c r="Q238" i="3" s="1"/>
  <c r="K238" i="3"/>
  <c r="L237" i="3"/>
  <c r="Q237" i="3" s="1"/>
  <c r="K237" i="3"/>
  <c r="L236" i="3"/>
  <c r="Q236" i="3" s="1"/>
  <c r="K236" i="3"/>
  <c r="L235" i="3"/>
  <c r="Q235" i="3" s="1"/>
  <c r="K235" i="3"/>
  <c r="L234" i="3"/>
  <c r="Q234" i="3" s="1"/>
  <c r="K234" i="3"/>
  <c r="L233" i="3"/>
  <c r="Q233" i="3" s="1"/>
  <c r="K233" i="3"/>
  <c r="L232" i="3"/>
  <c r="Q232" i="3" s="1"/>
  <c r="K232" i="3"/>
  <c r="L231" i="3"/>
  <c r="Q231" i="3" s="1"/>
  <c r="K231" i="3"/>
  <c r="L230" i="3"/>
  <c r="Q230" i="3" s="1"/>
  <c r="K230" i="3"/>
  <c r="L229" i="3"/>
  <c r="Q229" i="3" s="1"/>
  <c r="K229" i="3"/>
  <c r="L228" i="3"/>
  <c r="Q228" i="3" s="1"/>
  <c r="K228" i="3"/>
  <c r="L227" i="3"/>
  <c r="Q227" i="3" s="1"/>
  <c r="K227" i="3"/>
  <c r="L226" i="3"/>
  <c r="Q226" i="3" s="1"/>
  <c r="K226" i="3"/>
  <c r="L225" i="3"/>
  <c r="Q225" i="3" s="1"/>
  <c r="K225" i="3"/>
  <c r="L224" i="3"/>
  <c r="Q224" i="3" s="1"/>
  <c r="K224" i="3"/>
  <c r="L223" i="3"/>
  <c r="Q223" i="3" s="1"/>
  <c r="K223" i="3"/>
  <c r="L222" i="3"/>
  <c r="Q222" i="3" s="1"/>
  <c r="K222" i="3"/>
  <c r="L221" i="3"/>
  <c r="Q221" i="3" s="1"/>
  <c r="K221" i="3"/>
  <c r="L220" i="3"/>
  <c r="Q220" i="3" s="1"/>
  <c r="K220" i="3"/>
  <c r="L219" i="3"/>
  <c r="Q219" i="3" s="1"/>
  <c r="K219" i="3"/>
  <c r="L218" i="3"/>
  <c r="Q218" i="3" s="1"/>
  <c r="K218" i="3"/>
  <c r="L217" i="3"/>
  <c r="Q217" i="3" s="1"/>
  <c r="K217" i="3"/>
  <c r="L216" i="3"/>
  <c r="Q216" i="3" s="1"/>
  <c r="K216" i="3"/>
  <c r="L215" i="3"/>
  <c r="Q215" i="3" s="1"/>
  <c r="K215" i="3"/>
  <c r="L214" i="3"/>
  <c r="Q214" i="3" s="1"/>
  <c r="K214" i="3"/>
  <c r="L213" i="3"/>
  <c r="Q213" i="3" s="1"/>
  <c r="K213" i="3"/>
  <c r="L212" i="3"/>
  <c r="Q212" i="3" s="1"/>
  <c r="K212" i="3"/>
  <c r="L211" i="3"/>
  <c r="Q211" i="3" s="1"/>
  <c r="K211" i="3"/>
  <c r="L210" i="3"/>
  <c r="Q210" i="3" s="1"/>
  <c r="K210" i="3"/>
  <c r="L209" i="3"/>
  <c r="Q209" i="3" s="1"/>
  <c r="K209" i="3"/>
  <c r="L208" i="3"/>
  <c r="Q208" i="3" s="1"/>
  <c r="K208" i="3"/>
  <c r="L207" i="3"/>
  <c r="Q207" i="3" s="1"/>
  <c r="K207" i="3"/>
  <c r="L206" i="3"/>
  <c r="Q206" i="3" s="1"/>
  <c r="K206" i="3"/>
  <c r="L205" i="3"/>
  <c r="Q205" i="3" s="1"/>
  <c r="K205" i="3"/>
  <c r="L204" i="3"/>
  <c r="Q204" i="3" s="1"/>
  <c r="K204" i="3"/>
  <c r="L203" i="3"/>
  <c r="Q203" i="3" s="1"/>
  <c r="K203" i="3"/>
  <c r="L202" i="3"/>
  <c r="Q202" i="3" s="1"/>
  <c r="K202" i="3"/>
  <c r="L201" i="3"/>
  <c r="Q201" i="3" s="1"/>
  <c r="K201" i="3"/>
  <c r="L200" i="3"/>
  <c r="Q200" i="3" s="1"/>
  <c r="K200" i="3"/>
  <c r="L199" i="3"/>
  <c r="Q199" i="3" s="1"/>
  <c r="K199" i="3"/>
  <c r="L198" i="3"/>
  <c r="Q198" i="3" s="1"/>
  <c r="K198" i="3"/>
  <c r="L197" i="3"/>
  <c r="Q197" i="3" s="1"/>
  <c r="K197" i="3"/>
  <c r="L196" i="3"/>
  <c r="Q196" i="3" s="1"/>
  <c r="K196" i="3"/>
  <c r="L195" i="3"/>
  <c r="Q195" i="3" s="1"/>
  <c r="K195" i="3"/>
  <c r="L194" i="3"/>
  <c r="Q194" i="3" s="1"/>
  <c r="K194" i="3"/>
  <c r="L193" i="3"/>
  <c r="Q193" i="3" s="1"/>
  <c r="K193" i="3"/>
  <c r="L192" i="3"/>
  <c r="Q192" i="3" s="1"/>
  <c r="K192" i="3"/>
  <c r="L191" i="3"/>
  <c r="Q191" i="3" s="1"/>
  <c r="K191" i="3"/>
  <c r="L190" i="3"/>
  <c r="Q190" i="3" s="1"/>
  <c r="K190" i="3"/>
  <c r="L189" i="3"/>
  <c r="Q189" i="3" s="1"/>
  <c r="K189" i="3"/>
  <c r="L188" i="3"/>
  <c r="Q188" i="3" s="1"/>
  <c r="K188" i="3"/>
  <c r="L187" i="3"/>
  <c r="Q187" i="3" s="1"/>
  <c r="K187" i="3"/>
  <c r="L186" i="3"/>
  <c r="Q186" i="3" s="1"/>
  <c r="K186" i="3"/>
  <c r="L185" i="3"/>
  <c r="Q185" i="3" s="1"/>
  <c r="K185" i="3"/>
  <c r="L184" i="3"/>
  <c r="Q184" i="3" s="1"/>
  <c r="K184" i="3"/>
  <c r="L183" i="3"/>
  <c r="Q183" i="3" s="1"/>
  <c r="K183" i="3"/>
  <c r="L182" i="3"/>
  <c r="Q182" i="3" s="1"/>
  <c r="K182" i="3"/>
  <c r="L181" i="3"/>
  <c r="Q181" i="3" s="1"/>
  <c r="K181" i="3"/>
  <c r="L180" i="3"/>
  <c r="Q180" i="3" s="1"/>
  <c r="K180" i="3"/>
  <c r="L179" i="3"/>
  <c r="Q179" i="3" s="1"/>
  <c r="K179" i="3"/>
  <c r="L178" i="3"/>
  <c r="Q178" i="3" s="1"/>
  <c r="K178" i="3"/>
  <c r="L177" i="3"/>
  <c r="Q177" i="3" s="1"/>
  <c r="K177" i="3"/>
  <c r="L176" i="3"/>
  <c r="Q176" i="3" s="1"/>
  <c r="K176" i="3"/>
  <c r="L175" i="3"/>
  <c r="Q175" i="3" s="1"/>
  <c r="K175" i="3"/>
  <c r="L174" i="3"/>
  <c r="Q174" i="3" s="1"/>
  <c r="K174" i="3"/>
  <c r="L173" i="3"/>
  <c r="Q173" i="3" s="1"/>
  <c r="K173" i="3"/>
  <c r="L172" i="3"/>
  <c r="Q172" i="3" s="1"/>
  <c r="K172" i="3"/>
  <c r="L171" i="3"/>
  <c r="Q171" i="3" s="1"/>
  <c r="K171" i="3"/>
  <c r="L170" i="3"/>
  <c r="Q170" i="3" s="1"/>
  <c r="K170" i="3"/>
  <c r="L169" i="3"/>
  <c r="Q169" i="3" s="1"/>
  <c r="K169" i="3"/>
  <c r="L168" i="3"/>
  <c r="Q168" i="3" s="1"/>
  <c r="K168" i="3"/>
  <c r="L167" i="3"/>
  <c r="Q167" i="3" s="1"/>
  <c r="K167" i="3"/>
  <c r="L166" i="3"/>
  <c r="Q166" i="3" s="1"/>
  <c r="K166" i="3"/>
  <c r="L165" i="3"/>
  <c r="Q165" i="3" s="1"/>
  <c r="K165" i="3"/>
  <c r="L164" i="3"/>
  <c r="Q164" i="3" s="1"/>
  <c r="K164" i="3"/>
  <c r="L163" i="3"/>
  <c r="Q163" i="3" s="1"/>
  <c r="K163" i="3"/>
  <c r="L162" i="3"/>
  <c r="Q162" i="3" s="1"/>
  <c r="K162" i="3"/>
  <c r="L161" i="3"/>
  <c r="Q161" i="3" s="1"/>
  <c r="K161" i="3"/>
  <c r="L160" i="3"/>
  <c r="Q160" i="3" s="1"/>
  <c r="K160" i="3"/>
  <c r="L159" i="3"/>
  <c r="Q159" i="3" s="1"/>
  <c r="K159" i="3"/>
  <c r="L158" i="3"/>
  <c r="Q158" i="3" s="1"/>
  <c r="K158" i="3"/>
  <c r="L157" i="3"/>
  <c r="Q157" i="3" s="1"/>
  <c r="K157" i="3"/>
  <c r="L156" i="3"/>
  <c r="Q156" i="3" s="1"/>
  <c r="K156" i="3"/>
  <c r="L155" i="3"/>
  <c r="Q155" i="3" s="1"/>
  <c r="K155" i="3"/>
  <c r="L154" i="3"/>
  <c r="Q154" i="3" s="1"/>
  <c r="K154" i="3"/>
  <c r="L153" i="3"/>
  <c r="Q153" i="3" s="1"/>
  <c r="K153" i="3"/>
  <c r="L152" i="3"/>
  <c r="Q152" i="3" s="1"/>
  <c r="K152" i="3"/>
  <c r="L151" i="3"/>
  <c r="Q151" i="3" s="1"/>
  <c r="K151" i="3"/>
  <c r="L150" i="3"/>
  <c r="Q150" i="3" s="1"/>
  <c r="K150" i="3"/>
  <c r="L149" i="3"/>
  <c r="Q149" i="3" s="1"/>
  <c r="K149" i="3"/>
  <c r="L148" i="3"/>
  <c r="Q148" i="3" s="1"/>
  <c r="K148" i="3"/>
  <c r="L147" i="3"/>
  <c r="Q147" i="3" s="1"/>
  <c r="K147" i="3"/>
  <c r="L146" i="3"/>
  <c r="Q146" i="3" s="1"/>
  <c r="K146" i="3"/>
  <c r="L145" i="3"/>
  <c r="Q145" i="3" s="1"/>
  <c r="K145" i="3"/>
  <c r="L144" i="3"/>
  <c r="Q144" i="3" s="1"/>
  <c r="K144" i="3"/>
  <c r="L143" i="3"/>
  <c r="Q143" i="3" s="1"/>
  <c r="K143" i="3"/>
  <c r="L142" i="3"/>
  <c r="Q142" i="3" s="1"/>
  <c r="K142" i="3"/>
  <c r="L141" i="3"/>
  <c r="Q141" i="3" s="1"/>
  <c r="K141" i="3"/>
  <c r="L140" i="3"/>
  <c r="Q140" i="3" s="1"/>
  <c r="K140" i="3"/>
  <c r="L139" i="3"/>
  <c r="Q139" i="3" s="1"/>
  <c r="K139" i="3"/>
  <c r="L138" i="3"/>
  <c r="Q138" i="3" s="1"/>
  <c r="K138" i="3"/>
  <c r="L137" i="3"/>
  <c r="Q137" i="3" s="1"/>
  <c r="K137" i="3"/>
  <c r="L136" i="3"/>
  <c r="Q136" i="3" s="1"/>
  <c r="K136" i="3"/>
  <c r="L135" i="3"/>
  <c r="Q135" i="3" s="1"/>
  <c r="K135" i="3"/>
  <c r="L134" i="3"/>
  <c r="Q134" i="3" s="1"/>
  <c r="K134" i="3"/>
  <c r="L133" i="3"/>
  <c r="Q133" i="3" s="1"/>
  <c r="K133" i="3"/>
  <c r="L132" i="3"/>
  <c r="Q132" i="3" s="1"/>
  <c r="K132" i="3"/>
  <c r="L131" i="3"/>
  <c r="Q131" i="3" s="1"/>
  <c r="K131" i="3"/>
  <c r="L130" i="3"/>
  <c r="Q130" i="3" s="1"/>
  <c r="K130" i="3"/>
  <c r="L129" i="3"/>
  <c r="Q129" i="3" s="1"/>
  <c r="K129" i="3"/>
  <c r="L128" i="3"/>
  <c r="Q128" i="3" s="1"/>
  <c r="K128" i="3"/>
  <c r="L127" i="3"/>
  <c r="Q127" i="3" s="1"/>
  <c r="K127" i="3"/>
  <c r="L126" i="3"/>
  <c r="Q126" i="3" s="1"/>
  <c r="K126" i="3"/>
  <c r="L125" i="3"/>
  <c r="Q125" i="3" s="1"/>
  <c r="K125" i="3"/>
  <c r="L124" i="3"/>
  <c r="Q124" i="3" s="1"/>
  <c r="K124" i="3"/>
  <c r="L123" i="3"/>
  <c r="Q123" i="3" s="1"/>
  <c r="K123" i="3"/>
  <c r="L122" i="3"/>
  <c r="Q122" i="3" s="1"/>
  <c r="K122" i="3"/>
  <c r="L121" i="3"/>
  <c r="Q121" i="3" s="1"/>
  <c r="K121" i="3"/>
  <c r="L120" i="3"/>
  <c r="Q120" i="3" s="1"/>
  <c r="K120" i="3"/>
  <c r="L119" i="3"/>
  <c r="Q119" i="3" s="1"/>
  <c r="K119" i="3"/>
  <c r="L118" i="3"/>
  <c r="Q118" i="3" s="1"/>
  <c r="K118" i="3"/>
  <c r="L117" i="3"/>
  <c r="Q117" i="3" s="1"/>
  <c r="K117" i="3"/>
  <c r="L116" i="3"/>
  <c r="Q116" i="3" s="1"/>
  <c r="K116" i="3"/>
  <c r="L115" i="3"/>
  <c r="Q115" i="3" s="1"/>
  <c r="K115" i="3"/>
  <c r="L114" i="3"/>
  <c r="Q114" i="3" s="1"/>
  <c r="K114" i="3"/>
  <c r="L113" i="3"/>
  <c r="Q113" i="3" s="1"/>
  <c r="K113" i="3"/>
  <c r="L112" i="3"/>
  <c r="Q112" i="3" s="1"/>
  <c r="K112" i="3"/>
  <c r="L111" i="3"/>
  <c r="Q111" i="3" s="1"/>
  <c r="K111" i="3"/>
  <c r="L110" i="3"/>
  <c r="Q110" i="3" s="1"/>
  <c r="K110" i="3"/>
  <c r="L109" i="3"/>
  <c r="Q109" i="3" s="1"/>
  <c r="K109" i="3"/>
  <c r="L108" i="3"/>
  <c r="Q108" i="3" s="1"/>
  <c r="K108" i="3"/>
  <c r="L107" i="3"/>
  <c r="Q107" i="3" s="1"/>
  <c r="K107" i="3"/>
  <c r="L106" i="3"/>
  <c r="Q106" i="3" s="1"/>
  <c r="K106" i="3"/>
  <c r="L105" i="3"/>
  <c r="Q105" i="3" s="1"/>
  <c r="K105" i="3"/>
  <c r="L104" i="3"/>
  <c r="Q104" i="3" s="1"/>
  <c r="K104" i="3"/>
  <c r="L103" i="3"/>
  <c r="Q103" i="3" s="1"/>
  <c r="K103" i="3"/>
  <c r="L102" i="3"/>
  <c r="Q102" i="3" s="1"/>
  <c r="K102" i="3"/>
  <c r="L101" i="3"/>
  <c r="Q101" i="3" s="1"/>
  <c r="K101" i="3"/>
  <c r="L100" i="3"/>
  <c r="Q100" i="3" s="1"/>
  <c r="K100" i="3"/>
  <c r="L99" i="3"/>
  <c r="Q99" i="3" s="1"/>
  <c r="K99" i="3"/>
  <c r="L98" i="3"/>
  <c r="Q98" i="3" s="1"/>
  <c r="K98" i="3"/>
  <c r="L97" i="3"/>
  <c r="Q97" i="3" s="1"/>
  <c r="K97" i="3"/>
  <c r="L96" i="3"/>
  <c r="Q96" i="3" s="1"/>
  <c r="K96" i="3"/>
  <c r="L95" i="3"/>
  <c r="Q95" i="3" s="1"/>
  <c r="K95" i="3"/>
  <c r="L94" i="3"/>
  <c r="Q94" i="3" s="1"/>
  <c r="K94" i="3"/>
  <c r="L93" i="3"/>
  <c r="Q93" i="3" s="1"/>
  <c r="K93" i="3"/>
  <c r="L92" i="3"/>
  <c r="Q92" i="3" s="1"/>
  <c r="K92" i="3"/>
  <c r="L91" i="3"/>
  <c r="Q91" i="3" s="1"/>
  <c r="K91" i="3"/>
  <c r="L90" i="3"/>
  <c r="Q90" i="3" s="1"/>
  <c r="K90" i="3"/>
  <c r="L89" i="3"/>
  <c r="Q89" i="3" s="1"/>
  <c r="K89" i="3"/>
  <c r="L88" i="3"/>
  <c r="Q88" i="3" s="1"/>
  <c r="K88" i="3"/>
  <c r="L87" i="3"/>
  <c r="Q87" i="3" s="1"/>
  <c r="K87" i="3"/>
  <c r="L86" i="3"/>
  <c r="Q86" i="3" s="1"/>
  <c r="K86" i="3"/>
  <c r="L85" i="3"/>
  <c r="Q85" i="3" s="1"/>
  <c r="K85" i="3"/>
  <c r="L84" i="3"/>
  <c r="Q84" i="3" s="1"/>
  <c r="K84" i="3"/>
  <c r="L83" i="3"/>
  <c r="Q83" i="3" s="1"/>
  <c r="K83" i="3"/>
  <c r="L82" i="3"/>
  <c r="Q82" i="3" s="1"/>
  <c r="K82" i="3"/>
  <c r="L81" i="3"/>
  <c r="Q81" i="3" s="1"/>
  <c r="K81" i="3"/>
  <c r="L80" i="3"/>
  <c r="Q80" i="3" s="1"/>
  <c r="K80" i="3"/>
  <c r="L79" i="3"/>
  <c r="Q79" i="3" s="1"/>
  <c r="K79" i="3"/>
  <c r="L78" i="3"/>
  <c r="Q78" i="3" s="1"/>
  <c r="K78" i="3"/>
  <c r="L77" i="3"/>
  <c r="Q77" i="3" s="1"/>
  <c r="K77" i="3"/>
  <c r="L76" i="3"/>
  <c r="Q76" i="3" s="1"/>
  <c r="K76" i="3"/>
  <c r="L75" i="3"/>
  <c r="Q75" i="3" s="1"/>
  <c r="K75" i="3"/>
  <c r="L74" i="3"/>
  <c r="Q74" i="3" s="1"/>
  <c r="K74" i="3"/>
  <c r="L73" i="3"/>
  <c r="Q73" i="3" s="1"/>
  <c r="K73" i="3"/>
  <c r="L72" i="3"/>
  <c r="Q72" i="3" s="1"/>
  <c r="K72" i="3"/>
  <c r="L71" i="3"/>
  <c r="Q71" i="3" s="1"/>
  <c r="K71" i="3"/>
  <c r="L70" i="3"/>
  <c r="Q70" i="3" s="1"/>
  <c r="K70" i="3"/>
  <c r="L69" i="3"/>
  <c r="Q69" i="3" s="1"/>
  <c r="K69" i="3"/>
  <c r="L68" i="3"/>
  <c r="Q68" i="3" s="1"/>
  <c r="K68" i="3"/>
  <c r="L67" i="3"/>
  <c r="Q67" i="3" s="1"/>
  <c r="K67" i="3"/>
  <c r="L66" i="3"/>
  <c r="Q66" i="3" s="1"/>
  <c r="K66" i="3"/>
  <c r="L65" i="3"/>
  <c r="Q65" i="3" s="1"/>
  <c r="K65" i="3"/>
  <c r="L64" i="3"/>
  <c r="Q64" i="3" s="1"/>
  <c r="K64" i="3"/>
  <c r="L63" i="3"/>
  <c r="Q63" i="3" s="1"/>
  <c r="K63" i="3"/>
  <c r="L62" i="3"/>
  <c r="Q62" i="3" s="1"/>
  <c r="K62" i="3"/>
  <c r="L61" i="3"/>
  <c r="Q61" i="3" s="1"/>
  <c r="K61" i="3"/>
  <c r="L60" i="3"/>
  <c r="Q60" i="3" s="1"/>
  <c r="K60" i="3"/>
  <c r="L59" i="3"/>
  <c r="Q59" i="3" s="1"/>
  <c r="K59" i="3"/>
  <c r="L58" i="3"/>
  <c r="Q58" i="3" s="1"/>
  <c r="K58" i="3"/>
  <c r="L57" i="3"/>
  <c r="Q57" i="3" s="1"/>
  <c r="K57" i="3"/>
  <c r="L56" i="3"/>
  <c r="Q56" i="3" s="1"/>
  <c r="K56" i="3"/>
  <c r="L55" i="3"/>
  <c r="Q55" i="3" s="1"/>
  <c r="K55" i="3"/>
  <c r="L54" i="3"/>
  <c r="Q54" i="3" s="1"/>
  <c r="K54" i="3"/>
  <c r="L53" i="3"/>
  <c r="Q53" i="3" s="1"/>
  <c r="K53" i="3"/>
  <c r="L52" i="3"/>
  <c r="Q52" i="3" s="1"/>
  <c r="K52" i="3"/>
  <c r="L51" i="3"/>
  <c r="Q51" i="3" s="1"/>
  <c r="K51" i="3"/>
  <c r="L50" i="3"/>
  <c r="Q50" i="3" s="1"/>
  <c r="K50" i="3"/>
  <c r="L49" i="3"/>
  <c r="Q49" i="3" s="1"/>
  <c r="K49" i="3"/>
  <c r="L48" i="3"/>
  <c r="Q48" i="3" s="1"/>
  <c r="K48" i="3"/>
  <c r="L47" i="3"/>
  <c r="Q47" i="3" s="1"/>
  <c r="K47" i="3"/>
  <c r="L46" i="3"/>
  <c r="Q46" i="3" s="1"/>
  <c r="K46" i="3"/>
  <c r="L45" i="3"/>
  <c r="Q45" i="3" s="1"/>
  <c r="K45" i="3"/>
  <c r="L44" i="3"/>
  <c r="Q44" i="3" s="1"/>
  <c r="K44" i="3"/>
  <c r="L43" i="3"/>
  <c r="Q43" i="3" s="1"/>
  <c r="K43" i="3"/>
  <c r="L42" i="3"/>
  <c r="Q42" i="3" s="1"/>
  <c r="K42" i="3"/>
  <c r="L41" i="3"/>
  <c r="Q41" i="3" s="1"/>
  <c r="K41" i="3"/>
  <c r="L40" i="3"/>
  <c r="Q40" i="3" s="1"/>
  <c r="K40" i="3"/>
  <c r="L39" i="3"/>
  <c r="Q39" i="3" s="1"/>
  <c r="K39" i="3"/>
  <c r="L38" i="3"/>
  <c r="Q38" i="3" s="1"/>
  <c r="K38" i="3"/>
  <c r="L37" i="3"/>
  <c r="Q37" i="3" s="1"/>
  <c r="K37" i="3"/>
  <c r="L36" i="3"/>
  <c r="Q36" i="3" s="1"/>
  <c r="K36" i="3"/>
  <c r="L35" i="3"/>
  <c r="Q35" i="3" s="1"/>
  <c r="K35" i="3"/>
  <c r="L34" i="3"/>
  <c r="Q34" i="3" s="1"/>
  <c r="K34" i="3"/>
  <c r="L33" i="3"/>
  <c r="Q33" i="3" s="1"/>
  <c r="K33" i="3"/>
  <c r="L32" i="3"/>
  <c r="Q32" i="3" s="1"/>
  <c r="K32" i="3"/>
  <c r="L31" i="3"/>
  <c r="Q31" i="3" s="1"/>
  <c r="K31" i="3"/>
  <c r="L30" i="3"/>
  <c r="Q30" i="3" s="1"/>
  <c r="K30" i="3"/>
  <c r="L29" i="3"/>
  <c r="Q29" i="3" s="1"/>
  <c r="K29" i="3"/>
  <c r="L28" i="3"/>
  <c r="Q28" i="3" s="1"/>
  <c r="K28" i="3"/>
  <c r="L27" i="3"/>
  <c r="Q27" i="3" s="1"/>
  <c r="K27" i="3"/>
  <c r="L26" i="3"/>
  <c r="Q26" i="3" s="1"/>
  <c r="K26" i="3"/>
  <c r="L25" i="3"/>
  <c r="Q25" i="3" s="1"/>
  <c r="K25" i="3"/>
  <c r="L24" i="3"/>
  <c r="Q24" i="3" s="1"/>
  <c r="K24" i="3"/>
  <c r="L23" i="3"/>
  <c r="Q23" i="3" s="1"/>
  <c r="K23" i="3"/>
  <c r="L22" i="3"/>
  <c r="Q22" i="3" s="1"/>
  <c r="K22" i="3"/>
  <c r="L21" i="3"/>
  <c r="Q21" i="3" s="1"/>
  <c r="K21" i="3"/>
  <c r="L20" i="3"/>
  <c r="Q20" i="3" s="1"/>
  <c r="K20" i="3"/>
  <c r="L19" i="3"/>
  <c r="Q19" i="3" s="1"/>
  <c r="K19" i="3"/>
  <c r="L18" i="3"/>
  <c r="Q18" i="3" s="1"/>
  <c r="K18" i="3"/>
  <c r="L17" i="3"/>
  <c r="Q17" i="3" s="1"/>
  <c r="K17" i="3"/>
  <c r="L16" i="3"/>
  <c r="Q16" i="3" s="1"/>
  <c r="K16" i="3"/>
  <c r="L15" i="3"/>
  <c r="Q15" i="3" s="1"/>
  <c r="K15" i="3"/>
  <c r="L14" i="3"/>
  <c r="Q14" i="3" s="1"/>
  <c r="K14" i="3"/>
  <c r="L13" i="3"/>
  <c r="Q13" i="3" s="1"/>
  <c r="K13" i="3"/>
  <c r="L12" i="3"/>
  <c r="Q12" i="3" s="1"/>
  <c r="K12" i="3"/>
  <c r="L11" i="3"/>
  <c r="Q11" i="3" s="1"/>
  <c r="K11" i="3"/>
  <c r="L10" i="3"/>
  <c r="Q10" i="3" s="1"/>
  <c r="K10" i="3"/>
  <c r="L9" i="3"/>
  <c r="Q9" i="3" s="1"/>
  <c r="K9" i="3"/>
  <c r="L8" i="3"/>
  <c r="Q8" i="3" s="1"/>
  <c r="K8" i="3"/>
  <c r="L7" i="3"/>
  <c r="Q7" i="3" s="1"/>
  <c r="K7" i="3"/>
  <c r="F96" i="226" l="1"/>
  <c r="G96" i="226" s="1"/>
  <c r="C97" i="226"/>
  <c r="B98" i="226"/>
  <c r="R7" i="3"/>
  <c r="A99" i="226"/>
  <c r="M12" i="3"/>
  <c r="M16" i="3"/>
  <c r="M13" i="3"/>
  <c r="M15" i="3"/>
  <c r="M14" i="3"/>
  <c r="V8" i="3"/>
  <c r="M10" i="3"/>
  <c r="V265" i="3"/>
  <c r="M267" i="3"/>
  <c r="V136" i="3"/>
  <c r="M138" i="3"/>
  <c r="V393" i="3"/>
  <c r="M395" i="3"/>
  <c r="V72" i="3"/>
  <c r="M74" i="3"/>
  <c r="V201" i="3"/>
  <c r="M203" i="3"/>
  <c r="V329" i="3"/>
  <c r="M331" i="3"/>
  <c r="V457" i="3"/>
  <c r="M459" i="3"/>
  <c r="V40" i="3"/>
  <c r="M42" i="3"/>
  <c r="V104" i="3"/>
  <c r="M106" i="3"/>
  <c r="V168" i="3"/>
  <c r="M170" i="3"/>
  <c r="V233" i="3"/>
  <c r="M235" i="3"/>
  <c r="V297" i="3"/>
  <c r="M299" i="3"/>
  <c r="V361" i="3"/>
  <c r="M363" i="3"/>
  <c r="V425" i="3"/>
  <c r="M427" i="3"/>
  <c r="V24" i="3"/>
  <c r="M26" i="3"/>
  <c r="V56" i="3"/>
  <c r="M58" i="3"/>
  <c r="V88" i="3"/>
  <c r="M90" i="3"/>
  <c r="V120" i="3"/>
  <c r="M122" i="3"/>
  <c r="V152" i="3"/>
  <c r="M154" i="3"/>
  <c r="V184" i="3"/>
  <c r="M186" i="3"/>
  <c r="V217" i="3"/>
  <c r="M219" i="3"/>
  <c r="V249" i="3"/>
  <c r="M251" i="3"/>
  <c r="V281" i="3"/>
  <c r="M283" i="3"/>
  <c r="V313" i="3"/>
  <c r="M315" i="3"/>
  <c r="V345" i="3"/>
  <c r="M347" i="3"/>
  <c r="V377" i="3"/>
  <c r="M379" i="3"/>
  <c r="V409" i="3"/>
  <c r="M411" i="3"/>
  <c r="V441" i="3"/>
  <c r="M443" i="3"/>
  <c r="V473" i="3"/>
  <c r="M475" i="3"/>
  <c r="V16" i="3"/>
  <c r="M18" i="3"/>
  <c r="V32" i="3"/>
  <c r="M34" i="3"/>
  <c r="V48" i="3"/>
  <c r="M50" i="3"/>
  <c r="V64" i="3"/>
  <c r="M66" i="3"/>
  <c r="V80" i="3"/>
  <c r="M82" i="3"/>
  <c r="V96" i="3"/>
  <c r="M98" i="3"/>
  <c r="V112" i="3"/>
  <c r="M114" i="3"/>
  <c r="V128" i="3"/>
  <c r="M130" i="3"/>
  <c r="V144" i="3"/>
  <c r="M146" i="3"/>
  <c r="V160" i="3"/>
  <c r="M162" i="3"/>
  <c r="V176" i="3"/>
  <c r="M178" i="3"/>
  <c r="V192" i="3"/>
  <c r="V193" i="3"/>
  <c r="M195" i="3"/>
  <c r="V209" i="3"/>
  <c r="M211" i="3"/>
  <c r="V225" i="3"/>
  <c r="M227" i="3"/>
  <c r="V241" i="3"/>
  <c r="M243" i="3"/>
  <c r="V257" i="3"/>
  <c r="M259" i="3"/>
  <c r="V273" i="3"/>
  <c r="M275" i="3"/>
  <c r="V289" i="3"/>
  <c r="M291" i="3"/>
  <c r="V305" i="3"/>
  <c r="M307" i="3"/>
  <c r="V321" i="3"/>
  <c r="M323" i="3"/>
  <c r="V337" i="3"/>
  <c r="M339" i="3"/>
  <c r="V353" i="3"/>
  <c r="M355" i="3"/>
  <c r="V369" i="3"/>
  <c r="M371" i="3"/>
  <c r="V385" i="3"/>
  <c r="M387" i="3"/>
  <c r="V401" i="3"/>
  <c r="M403" i="3"/>
  <c r="V417" i="3"/>
  <c r="M419" i="3"/>
  <c r="V433" i="3"/>
  <c r="M435" i="3"/>
  <c r="V449" i="3"/>
  <c r="M451" i="3"/>
  <c r="V465" i="3"/>
  <c r="M467" i="3"/>
  <c r="V12" i="3"/>
  <c r="V20" i="3"/>
  <c r="M22" i="3"/>
  <c r="V28" i="3"/>
  <c r="M30" i="3"/>
  <c r="V36" i="3"/>
  <c r="M38" i="3"/>
  <c r="V44" i="3"/>
  <c r="M46" i="3"/>
  <c r="V52" i="3"/>
  <c r="M54" i="3"/>
  <c r="V60" i="3"/>
  <c r="M62" i="3"/>
  <c r="V68" i="3"/>
  <c r="M70" i="3"/>
  <c r="V76" i="3"/>
  <c r="M78" i="3"/>
  <c r="V84" i="3"/>
  <c r="M86" i="3"/>
  <c r="V92" i="3"/>
  <c r="M94" i="3"/>
  <c r="V100" i="3"/>
  <c r="M102" i="3"/>
  <c r="V108" i="3"/>
  <c r="M110" i="3"/>
  <c r="V116" i="3"/>
  <c r="M118" i="3"/>
  <c r="V124" i="3"/>
  <c r="M126" i="3"/>
  <c r="V132" i="3"/>
  <c r="M134" i="3"/>
  <c r="V140" i="3"/>
  <c r="M142" i="3"/>
  <c r="V148" i="3"/>
  <c r="M150" i="3"/>
  <c r="V156" i="3"/>
  <c r="M158" i="3"/>
  <c r="V164" i="3"/>
  <c r="M166" i="3"/>
  <c r="V172" i="3"/>
  <c r="M174" i="3"/>
  <c r="V180" i="3"/>
  <c r="M182" i="3"/>
  <c r="V188" i="3"/>
  <c r="M190" i="3"/>
  <c r="V197" i="3"/>
  <c r="M199" i="3"/>
  <c r="V205" i="3"/>
  <c r="M207" i="3"/>
  <c r="V213" i="3"/>
  <c r="M215" i="3"/>
  <c r="V221" i="3"/>
  <c r="M223" i="3"/>
  <c r="V229" i="3"/>
  <c r="M231" i="3"/>
  <c r="V237" i="3"/>
  <c r="M239" i="3"/>
  <c r="V245" i="3"/>
  <c r="M247" i="3"/>
  <c r="V253" i="3"/>
  <c r="M255" i="3"/>
  <c r="V261" i="3"/>
  <c r="M263" i="3"/>
  <c r="V269" i="3"/>
  <c r="M271" i="3"/>
  <c r="V277" i="3"/>
  <c r="M279" i="3"/>
  <c r="V285" i="3"/>
  <c r="M287" i="3"/>
  <c r="V293" i="3"/>
  <c r="M295" i="3"/>
  <c r="V301" i="3"/>
  <c r="M303" i="3"/>
  <c r="V309" i="3"/>
  <c r="M311" i="3"/>
  <c r="V317" i="3"/>
  <c r="M319" i="3"/>
  <c r="V325" i="3"/>
  <c r="M327" i="3"/>
  <c r="V333" i="3"/>
  <c r="M335" i="3"/>
  <c r="V341" i="3"/>
  <c r="M343" i="3"/>
  <c r="V349" i="3"/>
  <c r="M351" i="3"/>
  <c r="V357" i="3"/>
  <c r="M359" i="3"/>
  <c r="V365" i="3"/>
  <c r="M367" i="3"/>
  <c r="V373" i="3"/>
  <c r="M375" i="3"/>
  <c r="V381" i="3"/>
  <c r="M383" i="3"/>
  <c r="V389" i="3"/>
  <c r="M391" i="3"/>
  <c r="V397" i="3"/>
  <c r="M399" i="3"/>
  <c r="V405" i="3"/>
  <c r="M407" i="3"/>
  <c r="V413" i="3"/>
  <c r="M415" i="3"/>
  <c r="V421" i="3"/>
  <c r="M423" i="3"/>
  <c r="V429" i="3"/>
  <c r="M431" i="3"/>
  <c r="V437" i="3"/>
  <c r="M439" i="3"/>
  <c r="V445" i="3"/>
  <c r="M447" i="3"/>
  <c r="V453" i="3"/>
  <c r="M455" i="3"/>
  <c r="V461" i="3"/>
  <c r="M463" i="3"/>
  <c r="V469" i="3"/>
  <c r="M471" i="3"/>
  <c r="V477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1" i="3"/>
  <c r="R295" i="3"/>
  <c r="R299" i="3"/>
  <c r="R303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M8" i="3"/>
  <c r="R8" i="3"/>
  <c r="V10" i="3"/>
  <c r="R12" i="3"/>
  <c r="V14" i="3"/>
  <c r="R16" i="3"/>
  <c r="V18" i="3"/>
  <c r="M20" i="3"/>
  <c r="R20" i="3"/>
  <c r="V22" i="3"/>
  <c r="M24" i="3"/>
  <c r="R24" i="3"/>
  <c r="V26" i="3"/>
  <c r="M28" i="3"/>
  <c r="R28" i="3"/>
  <c r="V30" i="3"/>
  <c r="M32" i="3"/>
  <c r="R32" i="3"/>
  <c r="V34" i="3"/>
  <c r="M36" i="3"/>
  <c r="R36" i="3"/>
  <c r="V38" i="3"/>
  <c r="M40" i="3"/>
  <c r="R40" i="3"/>
  <c r="V42" i="3"/>
  <c r="M44" i="3"/>
  <c r="R44" i="3"/>
  <c r="V46" i="3"/>
  <c r="M48" i="3"/>
  <c r="R48" i="3"/>
  <c r="V50" i="3"/>
  <c r="M52" i="3"/>
  <c r="R52" i="3"/>
  <c r="V54" i="3"/>
  <c r="M56" i="3"/>
  <c r="R56" i="3"/>
  <c r="V58" i="3"/>
  <c r="M60" i="3"/>
  <c r="R60" i="3"/>
  <c r="V62" i="3"/>
  <c r="M64" i="3"/>
  <c r="R64" i="3"/>
  <c r="V66" i="3"/>
  <c r="M68" i="3"/>
  <c r="R68" i="3"/>
  <c r="V70" i="3"/>
  <c r="M72" i="3"/>
  <c r="R72" i="3"/>
  <c r="V74" i="3"/>
  <c r="M76" i="3"/>
  <c r="R76" i="3"/>
  <c r="V78" i="3"/>
  <c r="M80" i="3"/>
  <c r="R80" i="3"/>
  <c r="V82" i="3"/>
  <c r="M84" i="3"/>
  <c r="R84" i="3"/>
  <c r="V86" i="3"/>
  <c r="M88" i="3"/>
  <c r="R88" i="3"/>
  <c r="V90" i="3"/>
  <c r="M92" i="3"/>
  <c r="R92" i="3"/>
  <c r="V94" i="3"/>
  <c r="M96" i="3"/>
  <c r="R96" i="3"/>
  <c r="V98" i="3"/>
  <c r="M100" i="3"/>
  <c r="R100" i="3"/>
  <c r="V102" i="3"/>
  <c r="M104" i="3"/>
  <c r="R104" i="3"/>
  <c r="V106" i="3"/>
  <c r="M108" i="3"/>
  <c r="R108" i="3"/>
  <c r="V110" i="3"/>
  <c r="M112" i="3"/>
  <c r="R112" i="3"/>
  <c r="V114" i="3"/>
  <c r="M116" i="3"/>
  <c r="R116" i="3"/>
  <c r="V118" i="3"/>
  <c r="M120" i="3"/>
  <c r="R120" i="3"/>
  <c r="V122" i="3"/>
  <c r="M124" i="3"/>
  <c r="R124" i="3"/>
  <c r="V126" i="3"/>
  <c r="M128" i="3"/>
  <c r="R128" i="3"/>
  <c r="V130" i="3"/>
  <c r="M132" i="3"/>
  <c r="R132" i="3"/>
  <c r="V134" i="3"/>
  <c r="M136" i="3"/>
  <c r="R136" i="3"/>
  <c r="V138" i="3"/>
  <c r="M140" i="3"/>
  <c r="R140" i="3"/>
  <c r="V142" i="3"/>
  <c r="M144" i="3"/>
  <c r="R144" i="3"/>
  <c r="V146" i="3"/>
  <c r="M148" i="3"/>
  <c r="R148" i="3"/>
  <c r="V150" i="3"/>
  <c r="M152" i="3"/>
  <c r="R152" i="3"/>
  <c r="V154" i="3"/>
  <c r="M156" i="3"/>
  <c r="R156" i="3"/>
  <c r="V158" i="3"/>
  <c r="M160" i="3"/>
  <c r="R160" i="3"/>
  <c r="V162" i="3"/>
  <c r="M164" i="3"/>
  <c r="R164" i="3"/>
  <c r="V166" i="3"/>
  <c r="M168" i="3"/>
  <c r="R168" i="3"/>
  <c r="V170" i="3"/>
  <c r="M172" i="3"/>
  <c r="R172" i="3"/>
  <c r="V174" i="3"/>
  <c r="M176" i="3"/>
  <c r="R176" i="3"/>
  <c r="V178" i="3"/>
  <c r="M180" i="3"/>
  <c r="R180" i="3"/>
  <c r="V182" i="3"/>
  <c r="M184" i="3"/>
  <c r="R184" i="3"/>
  <c r="V186" i="3"/>
  <c r="M188" i="3"/>
  <c r="R188" i="3"/>
  <c r="V190" i="3"/>
  <c r="M192" i="3"/>
  <c r="R192" i="3"/>
  <c r="M193" i="3"/>
  <c r="R193" i="3"/>
  <c r="V195" i="3"/>
  <c r="M197" i="3"/>
  <c r="R197" i="3"/>
  <c r="V199" i="3"/>
  <c r="M201" i="3"/>
  <c r="R201" i="3"/>
  <c r="V203" i="3"/>
  <c r="M205" i="3"/>
  <c r="R205" i="3"/>
  <c r="V207" i="3"/>
  <c r="M209" i="3"/>
  <c r="R209" i="3"/>
  <c r="V211" i="3"/>
  <c r="M213" i="3"/>
  <c r="R213" i="3"/>
  <c r="V215" i="3"/>
  <c r="M217" i="3"/>
  <c r="R217" i="3"/>
  <c r="V219" i="3"/>
  <c r="M221" i="3"/>
  <c r="R221" i="3"/>
  <c r="V223" i="3"/>
  <c r="M225" i="3"/>
  <c r="R225" i="3"/>
  <c r="V227" i="3"/>
  <c r="M229" i="3"/>
  <c r="R229" i="3"/>
  <c r="V231" i="3"/>
  <c r="M233" i="3"/>
  <c r="R233" i="3"/>
  <c r="V235" i="3"/>
  <c r="M237" i="3"/>
  <c r="R237" i="3"/>
  <c r="V239" i="3"/>
  <c r="M241" i="3"/>
  <c r="R241" i="3"/>
  <c r="V243" i="3"/>
  <c r="M245" i="3"/>
  <c r="R245" i="3"/>
  <c r="V247" i="3"/>
  <c r="M249" i="3"/>
  <c r="R249" i="3"/>
  <c r="V251" i="3"/>
  <c r="M253" i="3"/>
  <c r="R253" i="3"/>
  <c r="V255" i="3"/>
  <c r="M257" i="3"/>
  <c r="R257" i="3"/>
  <c r="V259" i="3"/>
  <c r="M261" i="3"/>
  <c r="R261" i="3"/>
  <c r="V263" i="3"/>
  <c r="M265" i="3"/>
  <c r="R265" i="3"/>
  <c r="V267" i="3"/>
  <c r="M269" i="3"/>
  <c r="R269" i="3"/>
  <c r="V271" i="3"/>
  <c r="M273" i="3"/>
  <c r="R273" i="3"/>
  <c r="V275" i="3"/>
  <c r="M277" i="3"/>
  <c r="R277" i="3"/>
  <c r="V279" i="3"/>
  <c r="M281" i="3"/>
  <c r="R281" i="3"/>
  <c r="V283" i="3"/>
  <c r="M285" i="3"/>
  <c r="R285" i="3"/>
  <c r="V287" i="3"/>
  <c r="M289" i="3"/>
  <c r="R289" i="3"/>
  <c r="V291" i="3"/>
  <c r="M293" i="3"/>
  <c r="R293" i="3"/>
  <c r="V295" i="3"/>
  <c r="M297" i="3"/>
  <c r="R297" i="3"/>
  <c r="V299" i="3"/>
  <c r="M301" i="3"/>
  <c r="R301" i="3"/>
  <c r="V303" i="3"/>
  <c r="M305" i="3"/>
  <c r="R305" i="3"/>
  <c r="V307" i="3"/>
  <c r="M309" i="3"/>
  <c r="R309" i="3"/>
  <c r="V311" i="3"/>
  <c r="M313" i="3"/>
  <c r="R313" i="3"/>
  <c r="V315" i="3"/>
  <c r="M317" i="3"/>
  <c r="R317" i="3"/>
  <c r="V319" i="3"/>
  <c r="M321" i="3"/>
  <c r="R321" i="3"/>
  <c r="V323" i="3"/>
  <c r="M325" i="3"/>
  <c r="R325" i="3"/>
  <c r="V327" i="3"/>
  <c r="M329" i="3"/>
  <c r="R329" i="3"/>
  <c r="V331" i="3"/>
  <c r="M333" i="3"/>
  <c r="R333" i="3"/>
  <c r="V335" i="3"/>
  <c r="M337" i="3"/>
  <c r="R337" i="3"/>
  <c r="V339" i="3"/>
  <c r="M341" i="3"/>
  <c r="R341" i="3"/>
  <c r="V343" i="3"/>
  <c r="M345" i="3"/>
  <c r="R345" i="3"/>
  <c r="V347" i="3"/>
  <c r="M349" i="3"/>
  <c r="R349" i="3"/>
  <c r="V351" i="3"/>
  <c r="M353" i="3"/>
  <c r="R353" i="3"/>
  <c r="V355" i="3"/>
  <c r="M357" i="3"/>
  <c r="R357" i="3"/>
  <c r="V359" i="3"/>
  <c r="M361" i="3"/>
  <c r="R361" i="3"/>
  <c r="V363" i="3"/>
  <c r="M365" i="3"/>
  <c r="R365" i="3"/>
  <c r="V367" i="3"/>
  <c r="M369" i="3"/>
  <c r="R369" i="3"/>
  <c r="V371" i="3"/>
  <c r="M373" i="3"/>
  <c r="R373" i="3"/>
  <c r="V375" i="3"/>
  <c r="M377" i="3"/>
  <c r="R377" i="3"/>
  <c r="V379" i="3"/>
  <c r="M381" i="3"/>
  <c r="R381" i="3"/>
  <c r="V383" i="3"/>
  <c r="M385" i="3"/>
  <c r="R385" i="3"/>
  <c r="V387" i="3"/>
  <c r="M389" i="3"/>
  <c r="R389" i="3"/>
  <c r="V391" i="3"/>
  <c r="M393" i="3"/>
  <c r="R393" i="3"/>
  <c r="V395" i="3"/>
  <c r="M397" i="3"/>
  <c r="R397" i="3"/>
  <c r="V399" i="3"/>
  <c r="M401" i="3"/>
  <c r="R401" i="3"/>
  <c r="V403" i="3"/>
  <c r="M405" i="3"/>
  <c r="R405" i="3"/>
  <c r="V407" i="3"/>
  <c r="M409" i="3"/>
  <c r="R409" i="3"/>
  <c r="V411" i="3"/>
  <c r="M413" i="3"/>
  <c r="R413" i="3"/>
  <c r="V415" i="3"/>
  <c r="M417" i="3"/>
  <c r="R417" i="3"/>
  <c r="V419" i="3"/>
  <c r="M421" i="3"/>
  <c r="R421" i="3"/>
  <c r="V423" i="3"/>
  <c r="M425" i="3"/>
  <c r="R425" i="3"/>
  <c r="V427" i="3"/>
  <c r="M429" i="3"/>
  <c r="R429" i="3"/>
  <c r="V431" i="3"/>
  <c r="M433" i="3"/>
  <c r="R433" i="3"/>
  <c r="V435" i="3"/>
  <c r="M437" i="3"/>
  <c r="R437" i="3"/>
  <c r="V439" i="3"/>
  <c r="M441" i="3"/>
  <c r="R441" i="3"/>
  <c r="V443" i="3"/>
  <c r="M445" i="3"/>
  <c r="R445" i="3"/>
  <c r="V447" i="3"/>
  <c r="M449" i="3"/>
  <c r="R449" i="3"/>
  <c r="V451" i="3"/>
  <c r="M453" i="3"/>
  <c r="R453" i="3"/>
  <c r="V455" i="3"/>
  <c r="M457" i="3"/>
  <c r="R457" i="3"/>
  <c r="V459" i="3"/>
  <c r="M461" i="3"/>
  <c r="R461" i="3"/>
  <c r="V463" i="3"/>
  <c r="M465" i="3"/>
  <c r="R465" i="3"/>
  <c r="V467" i="3"/>
  <c r="M469" i="3"/>
  <c r="R469" i="3"/>
  <c r="V471" i="3"/>
  <c r="M473" i="3"/>
  <c r="R473" i="3"/>
  <c r="V475" i="3"/>
  <c r="M477" i="3"/>
  <c r="R477" i="3"/>
  <c r="R479" i="3"/>
  <c r="M479" i="3"/>
  <c r="V479" i="3"/>
  <c r="R481" i="3"/>
  <c r="M481" i="3"/>
  <c r="V481" i="3"/>
  <c r="R480" i="3"/>
  <c r="M480" i="3"/>
  <c r="V480" i="3"/>
  <c r="R482" i="3"/>
  <c r="M482" i="3"/>
  <c r="V482" i="3"/>
  <c r="V7" i="3"/>
  <c r="V9" i="3"/>
  <c r="V11" i="3"/>
  <c r="V25" i="3"/>
  <c r="V27" i="3"/>
  <c r="V33" i="3"/>
  <c r="V35" i="3"/>
  <c r="V37" i="3"/>
  <c r="V39" i="3"/>
  <c r="V41" i="3"/>
  <c r="V43" i="3"/>
  <c r="V45" i="3"/>
  <c r="V47" i="3"/>
  <c r="V49" i="3"/>
  <c r="V51" i="3"/>
  <c r="V53" i="3"/>
  <c r="V55" i="3"/>
  <c r="V57" i="3"/>
  <c r="V59" i="3"/>
  <c r="V61" i="3"/>
  <c r="V63" i="3"/>
  <c r="V65" i="3"/>
  <c r="V67" i="3"/>
  <c r="V69" i="3"/>
  <c r="V71" i="3"/>
  <c r="V73" i="3"/>
  <c r="V75" i="3"/>
  <c r="V77" i="3"/>
  <c r="V79" i="3"/>
  <c r="V81" i="3"/>
  <c r="V83" i="3"/>
  <c r="V85" i="3"/>
  <c r="V87" i="3"/>
  <c r="V89" i="3"/>
  <c r="V91" i="3"/>
  <c r="V93" i="3"/>
  <c r="V95" i="3"/>
  <c r="V97" i="3"/>
  <c r="V99" i="3"/>
  <c r="V101" i="3"/>
  <c r="V103" i="3"/>
  <c r="V105" i="3"/>
  <c r="V107" i="3"/>
  <c r="V109" i="3"/>
  <c r="V111" i="3"/>
  <c r="V113" i="3"/>
  <c r="V115" i="3"/>
  <c r="V117" i="3"/>
  <c r="V119" i="3"/>
  <c r="V121" i="3"/>
  <c r="V123" i="3"/>
  <c r="V125" i="3"/>
  <c r="V127" i="3"/>
  <c r="V129" i="3"/>
  <c r="V131" i="3"/>
  <c r="V133" i="3"/>
  <c r="V135" i="3"/>
  <c r="V137" i="3"/>
  <c r="V139" i="3"/>
  <c r="V141" i="3"/>
  <c r="V143" i="3"/>
  <c r="V145" i="3"/>
  <c r="V147" i="3"/>
  <c r="V149" i="3"/>
  <c r="V151" i="3"/>
  <c r="V153" i="3"/>
  <c r="V155" i="3"/>
  <c r="V157" i="3"/>
  <c r="V159" i="3"/>
  <c r="V161" i="3"/>
  <c r="V163" i="3"/>
  <c r="V165" i="3"/>
  <c r="V167" i="3"/>
  <c r="V169" i="3"/>
  <c r="V171" i="3"/>
  <c r="V173" i="3"/>
  <c r="V175" i="3"/>
  <c r="V177" i="3"/>
  <c r="V179" i="3"/>
  <c r="V181" i="3"/>
  <c r="V183" i="3"/>
  <c r="V185" i="3"/>
  <c r="V187" i="3"/>
  <c r="V189" i="3"/>
  <c r="V191" i="3"/>
  <c r="V194" i="3"/>
  <c r="V196" i="3"/>
  <c r="V198" i="3"/>
  <c r="V200" i="3"/>
  <c r="V202" i="3"/>
  <c r="V204" i="3"/>
  <c r="V206" i="3"/>
  <c r="V208" i="3"/>
  <c r="V210" i="3"/>
  <c r="V212" i="3"/>
  <c r="V214" i="3"/>
  <c r="V216" i="3"/>
  <c r="V218" i="3"/>
  <c r="V220" i="3"/>
  <c r="V222" i="3"/>
  <c r="V224" i="3"/>
  <c r="V226" i="3"/>
  <c r="V228" i="3"/>
  <c r="V230" i="3"/>
  <c r="V232" i="3"/>
  <c r="V234" i="3"/>
  <c r="V236" i="3"/>
  <c r="V238" i="3"/>
  <c r="V240" i="3"/>
  <c r="V242" i="3"/>
  <c r="V244" i="3"/>
  <c r="V246" i="3"/>
  <c r="V248" i="3"/>
  <c r="V250" i="3"/>
  <c r="V252" i="3"/>
  <c r="V254" i="3"/>
  <c r="V256" i="3"/>
  <c r="V258" i="3"/>
  <c r="V260" i="3"/>
  <c r="V262" i="3"/>
  <c r="V264" i="3"/>
  <c r="V266" i="3"/>
  <c r="V268" i="3"/>
  <c r="V270" i="3"/>
  <c r="V272" i="3"/>
  <c r="V274" i="3"/>
  <c r="V276" i="3"/>
  <c r="V278" i="3"/>
  <c r="V280" i="3"/>
  <c r="V282" i="3"/>
  <c r="V284" i="3"/>
  <c r="V286" i="3"/>
  <c r="V288" i="3"/>
  <c r="V290" i="3"/>
  <c r="V292" i="3"/>
  <c r="V294" i="3"/>
  <c r="V296" i="3"/>
  <c r="V298" i="3"/>
  <c r="V300" i="3"/>
  <c r="V302" i="3"/>
  <c r="V304" i="3"/>
  <c r="V306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2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0" i="3"/>
  <c r="V462" i="3"/>
  <c r="V464" i="3"/>
  <c r="V466" i="3"/>
  <c r="V468" i="3"/>
  <c r="V470" i="3"/>
  <c r="V472" i="3"/>
  <c r="V474" i="3"/>
  <c r="V476" i="3"/>
  <c r="V478" i="3"/>
  <c r="L483" i="3"/>
  <c r="V13" i="3"/>
  <c r="V15" i="3"/>
  <c r="V17" i="3"/>
  <c r="V19" i="3"/>
  <c r="V21" i="3"/>
  <c r="V23" i="3"/>
  <c r="V29" i="3"/>
  <c r="V31" i="3"/>
  <c r="M7" i="3"/>
  <c r="M9" i="3"/>
  <c r="R9" i="3"/>
  <c r="M11" i="3"/>
  <c r="R11" i="3"/>
  <c r="R13" i="3"/>
  <c r="R15" i="3"/>
  <c r="M17" i="3"/>
  <c r="R17" i="3"/>
  <c r="M19" i="3"/>
  <c r="R19" i="3"/>
  <c r="M21" i="3"/>
  <c r="R21" i="3"/>
  <c r="M23" i="3"/>
  <c r="R23" i="3"/>
  <c r="M25" i="3"/>
  <c r="R25" i="3"/>
  <c r="M27" i="3"/>
  <c r="R27" i="3"/>
  <c r="M29" i="3"/>
  <c r="R29" i="3"/>
  <c r="M31" i="3"/>
  <c r="R31" i="3"/>
  <c r="M33" i="3"/>
  <c r="R33" i="3"/>
  <c r="M35" i="3"/>
  <c r="R35" i="3"/>
  <c r="M37" i="3"/>
  <c r="R37" i="3"/>
  <c r="M39" i="3"/>
  <c r="R39" i="3"/>
  <c r="M41" i="3"/>
  <c r="R41" i="3"/>
  <c r="M43" i="3"/>
  <c r="R43" i="3"/>
  <c r="M45" i="3"/>
  <c r="R45" i="3"/>
  <c r="M47" i="3"/>
  <c r="R47" i="3"/>
  <c r="M49" i="3"/>
  <c r="R49" i="3"/>
  <c r="M51" i="3"/>
  <c r="R51" i="3"/>
  <c r="M53" i="3"/>
  <c r="R53" i="3"/>
  <c r="M55" i="3"/>
  <c r="R55" i="3"/>
  <c r="M57" i="3"/>
  <c r="R57" i="3"/>
  <c r="M59" i="3"/>
  <c r="R59" i="3"/>
  <c r="M61" i="3"/>
  <c r="R61" i="3"/>
  <c r="M63" i="3"/>
  <c r="R63" i="3"/>
  <c r="M65" i="3"/>
  <c r="R65" i="3"/>
  <c r="M67" i="3"/>
  <c r="R67" i="3"/>
  <c r="M69" i="3"/>
  <c r="R69" i="3"/>
  <c r="M71" i="3"/>
  <c r="R71" i="3"/>
  <c r="M73" i="3"/>
  <c r="R73" i="3"/>
  <c r="M75" i="3"/>
  <c r="R75" i="3"/>
  <c r="M77" i="3"/>
  <c r="R77" i="3"/>
  <c r="M79" i="3"/>
  <c r="R79" i="3"/>
  <c r="M81" i="3"/>
  <c r="R81" i="3"/>
  <c r="M83" i="3"/>
  <c r="R83" i="3"/>
  <c r="M85" i="3"/>
  <c r="R85" i="3"/>
  <c r="M87" i="3"/>
  <c r="R87" i="3"/>
  <c r="M89" i="3"/>
  <c r="R89" i="3"/>
  <c r="M91" i="3"/>
  <c r="R91" i="3"/>
  <c r="M93" i="3"/>
  <c r="R93" i="3"/>
  <c r="M95" i="3"/>
  <c r="R95" i="3"/>
  <c r="M97" i="3"/>
  <c r="R97" i="3"/>
  <c r="M99" i="3"/>
  <c r="R99" i="3"/>
  <c r="M101" i="3"/>
  <c r="R101" i="3"/>
  <c r="M103" i="3"/>
  <c r="R103" i="3"/>
  <c r="M105" i="3"/>
  <c r="R105" i="3"/>
  <c r="M107" i="3"/>
  <c r="R107" i="3"/>
  <c r="M109" i="3"/>
  <c r="R109" i="3"/>
  <c r="M111" i="3"/>
  <c r="R111" i="3"/>
  <c r="M113" i="3"/>
  <c r="R113" i="3"/>
  <c r="M115" i="3"/>
  <c r="R115" i="3"/>
  <c r="M117" i="3"/>
  <c r="R117" i="3"/>
  <c r="M119" i="3"/>
  <c r="R119" i="3"/>
  <c r="M121" i="3"/>
  <c r="R121" i="3"/>
  <c r="M123" i="3"/>
  <c r="R123" i="3"/>
  <c r="M125" i="3"/>
  <c r="R125" i="3"/>
  <c r="M127" i="3"/>
  <c r="R127" i="3"/>
  <c r="M129" i="3"/>
  <c r="R129" i="3"/>
  <c r="M131" i="3"/>
  <c r="R131" i="3"/>
  <c r="M133" i="3"/>
  <c r="R133" i="3"/>
  <c r="M135" i="3"/>
  <c r="R135" i="3"/>
  <c r="M137" i="3"/>
  <c r="R137" i="3"/>
  <c r="M139" i="3"/>
  <c r="R139" i="3"/>
  <c r="M141" i="3"/>
  <c r="R141" i="3"/>
  <c r="M143" i="3"/>
  <c r="R143" i="3"/>
  <c r="M145" i="3"/>
  <c r="R145" i="3"/>
  <c r="M147" i="3"/>
  <c r="R147" i="3"/>
  <c r="M149" i="3"/>
  <c r="R149" i="3"/>
  <c r="M151" i="3"/>
  <c r="R151" i="3"/>
  <c r="M153" i="3"/>
  <c r="R153" i="3"/>
  <c r="M155" i="3"/>
  <c r="R155" i="3"/>
  <c r="M157" i="3"/>
  <c r="R157" i="3"/>
  <c r="M159" i="3"/>
  <c r="R159" i="3"/>
  <c r="M161" i="3"/>
  <c r="R161" i="3"/>
  <c r="M163" i="3"/>
  <c r="R163" i="3"/>
  <c r="M165" i="3"/>
  <c r="R165" i="3"/>
  <c r="M167" i="3"/>
  <c r="R167" i="3"/>
  <c r="M169" i="3"/>
  <c r="R169" i="3"/>
  <c r="M171" i="3"/>
  <c r="R171" i="3"/>
  <c r="M173" i="3"/>
  <c r="R173" i="3"/>
  <c r="M175" i="3"/>
  <c r="R175" i="3"/>
  <c r="M177" i="3"/>
  <c r="R177" i="3"/>
  <c r="M179" i="3"/>
  <c r="R179" i="3"/>
  <c r="M181" i="3"/>
  <c r="R181" i="3"/>
  <c r="M183" i="3"/>
  <c r="R183" i="3"/>
  <c r="M185" i="3"/>
  <c r="R185" i="3"/>
  <c r="M187" i="3"/>
  <c r="R187" i="3"/>
  <c r="M189" i="3"/>
  <c r="R189" i="3"/>
  <c r="M191" i="3"/>
  <c r="R191" i="3"/>
  <c r="M194" i="3"/>
  <c r="R194" i="3"/>
  <c r="M196" i="3"/>
  <c r="R196" i="3"/>
  <c r="M198" i="3"/>
  <c r="R198" i="3"/>
  <c r="M200" i="3"/>
  <c r="R200" i="3"/>
  <c r="M202" i="3"/>
  <c r="R202" i="3"/>
  <c r="M204" i="3"/>
  <c r="R204" i="3"/>
  <c r="M206" i="3"/>
  <c r="R206" i="3"/>
  <c r="M208" i="3"/>
  <c r="R208" i="3"/>
  <c r="M210" i="3"/>
  <c r="R210" i="3"/>
  <c r="M212" i="3"/>
  <c r="R212" i="3"/>
  <c r="M214" i="3"/>
  <c r="R214" i="3"/>
  <c r="M216" i="3"/>
  <c r="R216" i="3"/>
  <c r="M218" i="3"/>
  <c r="R218" i="3"/>
  <c r="M220" i="3"/>
  <c r="R220" i="3"/>
  <c r="M222" i="3"/>
  <c r="R222" i="3"/>
  <c r="M224" i="3"/>
  <c r="R224" i="3"/>
  <c r="M226" i="3"/>
  <c r="R226" i="3"/>
  <c r="M228" i="3"/>
  <c r="R228" i="3"/>
  <c r="M230" i="3"/>
  <c r="R230" i="3"/>
  <c r="M232" i="3"/>
  <c r="R232" i="3"/>
  <c r="M234" i="3"/>
  <c r="R234" i="3"/>
  <c r="M236" i="3"/>
  <c r="R236" i="3"/>
  <c r="M238" i="3"/>
  <c r="R238" i="3"/>
  <c r="M240" i="3"/>
  <c r="R240" i="3"/>
  <c r="M242" i="3"/>
  <c r="R242" i="3"/>
  <c r="M244" i="3"/>
  <c r="R244" i="3"/>
  <c r="M246" i="3"/>
  <c r="R246" i="3"/>
  <c r="M248" i="3"/>
  <c r="R248" i="3"/>
  <c r="M250" i="3"/>
  <c r="R250" i="3"/>
  <c r="M252" i="3"/>
  <c r="R252" i="3"/>
  <c r="M254" i="3"/>
  <c r="R254" i="3"/>
  <c r="M256" i="3"/>
  <c r="R256" i="3"/>
  <c r="M258" i="3"/>
  <c r="R258" i="3"/>
  <c r="M260" i="3"/>
  <c r="R260" i="3"/>
  <c r="M262" i="3"/>
  <c r="R262" i="3"/>
  <c r="M264" i="3"/>
  <c r="R264" i="3"/>
  <c r="M266" i="3"/>
  <c r="R266" i="3"/>
  <c r="M268" i="3"/>
  <c r="R268" i="3"/>
  <c r="M270" i="3"/>
  <c r="R270" i="3"/>
  <c r="M272" i="3"/>
  <c r="R272" i="3"/>
  <c r="M274" i="3"/>
  <c r="R274" i="3"/>
  <c r="M276" i="3"/>
  <c r="R276" i="3"/>
  <c r="M278" i="3"/>
  <c r="R278" i="3"/>
  <c r="M280" i="3"/>
  <c r="R280" i="3"/>
  <c r="M282" i="3"/>
  <c r="R282" i="3"/>
  <c r="M284" i="3"/>
  <c r="R284" i="3"/>
  <c r="M286" i="3"/>
  <c r="R286" i="3"/>
  <c r="M288" i="3"/>
  <c r="R288" i="3"/>
  <c r="M290" i="3"/>
  <c r="R290" i="3"/>
  <c r="M292" i="3"/>
  <c r="R292" i="3"/>
  <c r="M294" i="3"/>
  <c r="R294" i="3"/>
  <c r="M296" i="3"/>
  <c r="R296" i="3"/>
  <c r="M298" i="3"/>
  <c r="R298" i="3"/>
  <c r="M300" i="3"/>
  <c r="R300" i="3"/>
  <c r="M302" i="3"/>
  <c r="R302" i="3"/>
  <c r="M304" i="3"/>
  <c r="R304" i="3"/>
  <c r="M306" i="3"/>
  <c r="R306" i="3"/>
  <c r="M308" i="3"/>
  <c r="R308" i="3"/>
  <c r="M310" i="3"/>
  <c r="R310" i="3"/>
  <c r="M312" i="3"/>
  <c r="R312" i="3"/>
  <c r="M314" i="3"/>
  <c r="R314" i="3"/>
  <c r="M316" i="3"/>
  <c r="R316" i="3"/>
  <c r="M318" i="3"/>
  <c r="R318" i="3"/>
  <c r="M320" i="3"/>
  <c r="R320" i="3"/>
  <c r="M322" i="3"/>
  <c r="R322" i="3"/>
  <c r="M324" i="3"/>
  <c r="R324" i="3"/>
  <c r="M326" i="3"/>
  <c r="R326" i="3"/>
  <c r="M328" i="3"/>
  <c r="R328" i="3"/>
  <c r="M330" i="3"/>
  <c r="R330" i="3"/>
  <c r="M332" i="3"/>
  <c r="R332" i="3"/>
  <c r="M334" i="3"/>
  <c r="R334" i="3"/>
  <c r="M336" i="3"/>
  <c r="R336" i="3"/>
  <c r="M338" i="3"/>
  <c r="R338" i="3"/>
  <c r="M340" i="3"/>
  <c r="R340" i="3"/>
  <c r="M342" i="3"/>
  <c r="R342" i="3"/>
  <c r="M344" i="3"/>
  <c r="R344" i="3"/>
  <c r="M346" i="3"/>
  <c r="R346" i="3"/>
  <c r="M348" i="3"/>
  <c r="R348" i="3"/>
  <c r="M350" i="3"/>
  <c r="R350" i="3"/>
  <c r="M352" i="3"/>
  <c r="R352" i="3"/>
  <c r="M354" i="3"/>
  <c r="R354" i="3"/>
  <c r="M356" i="3"/>
  <c r="R356" i="3"/>
  <c r="M358" i="3"/>
  <c r="R358" i="3"/>
  <c r="M360" i="3"/>
  <c r="R360" i="3"/>
  <c r="M362" i="3"/>
  <c r="R362" i="3"/>
  <c r="M364" i="3"/>
  <c r="R364" i="3"/>
  <c r="M366" i="3"/>
  <c r="R366" i="3"/>
  <c r="M368" i="3"/>
  <c r="R368" i="3"/>
  <c r="M370" i="3"/>
  <c r="R370" i="3"/>
  <c r="M372" i="3"/>
  <c r="R372" i="3"/>
  <c r="M374" i="3"/>
  <c r="R374" i="3"/>
  <c r="M376" i="3"/>
  <c r="R376" i="3"/>
  <c r="M378" i="3"/>
  <c r="R378" i="3"/>
  <c r="M380" i="3"/>
  <c r="R380" i="3"/>
  <c r="M382" i="3"/>
  <c r="R382" i="3"/>
  <c r="M384" i="3"/>
  <c r="R384" i="3"/>
  <c r="M386" i="3"/>
  <c r="R386" i="3"/>
  <c r="M388" i="3"/>
  <c r="R388" i="3"/>
  <c r="M390" i="3"/>
  <c r="R390" i="3"/>
  <c r="M392" i="3"/>
  <c r="R392" i="3"/>
  <c r="M394" i="3"/>
  <c r="R394" i="3"/>
  <c r="M396" i="3"/>
  <c r="R396" i="3"/>
  <c r="M398" i="3"/>
  <c r="R398" i="3"/>
  <c r="M400" i="3"/>
  <c r="R400" i="3"/>
  <c r="M402" i="3"/>
  <c r="R402" i="3"/>
  <c r="M404" i="3"/>
  <c r="R404" i="3"/>
  <c r="M406" i="3"/>
  <c r="R406" i="3"/>
  <c r="M408" i="3"/>
  <c r="R408" i="3"/>
  <c r="M410" i="3"/>
  <c r="R410" i="3"/>
  <c r="M412" i="3"/>
  <c r="R412" i="3"/>
  <c r="M414" i="3"/>
  <c r="R414" i="3"/>
  <c r="M416" i="3"/>
  <c r="R416" i="3"/>
  <c r="M418" i="3"/>
  <c r="R418" i="3"/>
  <c r="M420" i="3"/>
  <c r="R420" i="3"/>
  <c r="M422" i="3"/>
  <c r="R422" i="3"/>
  <c r="M424" i="3"/>
  <c r="R424" i="3"/>
  <c r="M426" i="3"/>
  <c r="R426" i="3"/>
  <c r="M428" i="3"/>
  <c r="R428" i="3"/>
  <c r="M430" i="3"/>
  <c r="R430" i="3"/>
  <c r="M432" i="3"/>
  <c r="R432" i="3"/>
  <c r="M434" i="3"/>
  <c r="R434" i="3"/>
  <c r="M436" i="3"/>
  <c r="R436" i="3"/>
  <c r="M438" i="3"/>
  <c r="R438" i="3"/>
  <c r="M440" i="3"/>
  <c r="R440" i="3"/>
  <c r="M442" i="3"/>
  <c r="R442" i="3"/>
  <c r="M444" i="3"/>
  <c r="R444" i="3"/>
  <c r="M446" i="3"/>
  <c r="R446" i="3"/>
  <c r="M448" i="3"/>
  <c r="R448" i="3"/>
  <c r="M450" i="3"/>
  <c r="R450" i="3"/>
  <c r="M452" i="3"/>
  <c r="R452" i="3"/>
  <c r="M454" i="3"/>
  <c r="R454" i="3"/>
  <c r="M456" i="3"/>
  <c r="R456" i="3"/>
  <c r="M458" i="3"/>
  <c r="R458" i="3"/>
  <c r="M460" i="3"/>
  <c r="R460" i="3"/>
  <c r="M462" i="3"/>
  <c r="R462" i="3"/>
  <c r="M464" i="3"/>
  <c r="R464" i="3"/>
  <c r="M466" i="3"/>
  <c r="R466" i="3"/>
  <c r="M468" i="3"/>
  <c r="R468" i="3"/>
  <c r="M470" i="3"/>
  <c r="R470" i="3"/>
  <c r="M472" i="3"/>
  <c r="R472" i="3"/>
  <c r="M474" i="3"/>
  <c r="R474" i="3"/>
  <c r="M476" i="3"/>
  <c r="R476" i="3"/>
  <c r="M478" i="3"/>
  <c r="R478" i="3"/>
  <c r="F97" i="226" l="1"/>
  <c r="G97" i="226" s="1"/>
  <c r="C98" i="226"/>
  <c r="B99" i="226"/>
  <c r="R483" i="3"/>
  <c r="A100" i="226"/>
  <c r="V483" i="3"/>
  <c r="E3" i="3" s="1"/>
  <c r="R484" i="3"/>
  <c r="E2" i="3" s="1"/>
  <c r="M483" i="3"/>
  <c r="F98" i="226" l="1"/>
  <c r="G98" i="226" s="1"/>
  <c r="C99" i="226"/>
  <c r="B100" i="226"/>
  <c r="A101" i="226"/>
  <c r="F99" i="226" l="1"/>
  <c r="G99" i="226" s="1"/>
  <c r="C100" i="226"/>
  <c r="B101" i="226"/>
  <c r="F100" i="226" l="1"/>
  <c r="G100" i="226" s="1"/>
  <c r="C101" i="226"/>
  <c r="F101" i="226" s="1"/>
  <c r="G101" i="226" l="1"/>
  <c r="H102" i="226"/>
  <c r="H103" i="226" s="1"/>
</calcChain>
</file>

<file path=xl/sharedStrings.xml><?xml version="1.0" encoding="utf-8"?>
<sst xmlns="http://schemas.openxmlformats.org/spreadsheetml/2006/main" count="688" uniqueCount="666">
  <si>
    <t>Seconds per year (s/y)</t>
  </si>
  <si>
    <t>Name</t>
  </si>
  <si>
    <t>Red Shift (z)</t>
  </si>
  <si>
    <t>Aphrodite</t>
  </si>
  <si>
    <t>Greenberg</t>
  </si>
  <si>
    <t>Lancaster</t>
  </si>
  <si>
    <t>Sasquatch</t>
  </si>
  <si>
    <t>SDSS10028</t>
  </si>
  <si>
    <t>SDSS10106</t>
  </si>
  <si>
    <t>SDSS10434</t>
  </si>
  <si>
    <t>SDSS10449</t>
  </si>
  <si>
    <t>SDSS10550</t>
  </si>
  <si>
    <t>SDSS11300</t>
  </si>
  <si>
    <t>SDSS11864</t>
  </si>
  <si>
    <t>Torngasek</t>
  </si>
  <si>
    <t>SN UDS10Wil</t>
  </si>
  <si>
    <t>Bulge Mass</t>
  </si>
  <si>
    <t>Disk Mass</t>
  </si>
  <si>
    <t>SolarLuminosity</t>
  </si>
  <si>
    <t>Radius
(kpc)</t>
  </si>
  <si>
    <t>Bulge Mass
(kg)</t>
  </si>
  <si>
    <t>Total Mass
(kg)</t>
  </si>
  <si>
    <t>Bulge Effective Radius</t>
  </si>
  <si>
    <t>Electron Mass</t>
  </si>
  <si>
    <t>GND12Col</t>
  </si>
  <si>
    <t xml:space="preserve"> GND13Sto </t>
  </si>
  <si>
    <t>B Band Magnitude</t>
  </si>
  <si>
    <t>Stretch Parameter</t>
  </si>
  <si>
    <t>Color</t>
  </si>
  <si>
    <t>Model Parameters</t>
  </si>
  <si>
    <t>α</t>
  </si>
  <si>
    <t>β</t>
  </si>
  <si>
    <r>
      <t>M</t>
    </r>
    <r>
      <rPr>
        <vertAlign val="subscript"/>
        <sz val="11"/>
        <color theme="1"/>
        <rFont val="Calibri"/>
        <family val="2"/>
        <scheme val="minor"/>
      </rPr>
      <t>b</t>
    </r>
  </si>
  <si>
    <t>Total Error</t>
  </si>
  <si>
    <t>sn2004s</t>
  </si>
  <si>
    <t>sn1999ac</t>
  </si>
  <si>
    <t>sn1997do</t>
  </si>
  <si>
    <t>sn2006bh</t>
  </si>
  <si>
    <t>sn2002dp</t>
  </si>
  <si>
    <t>sn2005al</t>
  </si>
  <si>
    <t>sn2001ep</t>
  </si>
  <si>
    <t>sn1997e</t>
  </si>
  <si>
    <t>sn2001fe</t>
  </si>
  <si>
    <t>sn2005bo</t>
  </si>
  <si>
    <t>sn2002ha</t>
  </si>
  <si>
    <t>sn2006n</t>
  </si>
  <si>
    <t>sn1999dq</t>
  </si>
  <si>
    <t>sn1999aa</t>
  </si>
  <si>
    <t>sn1992al</t>
  </si>
  <si>
    <t>sn2001bt</t>
  </si>
  <si>
    <t>sn2005el</t>
  </si>
  <si>
    <t>sn1999dk</t>
  </si>
  <si>
    <t>sn2001v</t>
  </si>
  <si>
    <t>sn2005kc</t>
  </si>
  <si>
    <t>sn1994s</t>
  </si>
  <si>
    <t>sn2001cz</t>
  </si>
  <si>
    <t>sn2001cn</t>
  </si>
  <si>
    <t>sn2001bf</t>
  </si>
  <si>
    <t>sn2004eo</t>
  </si>
  <si>
    <t>sn2004ey</t>
  </si>
  <si>
    <t>sn2001en</t>
  </si>
  <si>
    <t>sn2006td</t>
  </si>
  <si>
    <t>sn1996bv</t>
  </si>
  <si>
    <t>sn2006ax</t>
  </si>
  <si>
    <t>sn2001da</t>
  </si>
  <si>
    <t>sn2000dk</t>
  </si>
  <si>
    <t>sn1998v</t>
  </si>
  <si>
    <t>sn1998ef</t>
  </si>
  <si>
    <t>sn2007ci</t>
  </si>
  <si>
    <t>sn1992bo</t>
  </si>
  <si>
    <t>sn2002kf</t>
  </si>
  <si>
    <t>sn2005ki</t>
  </si>
  <si>
    <t>sn2003w</t>
  </si>
  <si>
    <t>sn1992bc</t>
  </si>
  <si>
    <t>sn2006ej</t>
  </si>
  <si>
    <t>sn2007bc</t>
  </si>
  <si>
    <t>sn2002jy</t>
  </si>
  <si>
    <t>sn2008bf</t>
  </si>
  <si>
    <t>sn2006bq</t>
  </si>
  <si>
    <t>sn2006et</t>
  </si>
  <si>
    <t>sn2006cp</t>
  </si>
  <si>
    <t>sn2006ar</t>
  </si>
  <si>
    <t>sn1995ak</t>
  </si>
  <si>
    <t>sn2006mp</t>
  </si>
  <si>
    <t>sn2005bg</t>
  </si>
  <si>
    <t>sn2006ac</t>
  </si>
  <si>
    <t>sn1994m</t>
  </si>
  <si>
    <t>sn2000cn</t>
  </si>
  <si>
    <t>sn2007f</t>
  </si>
  <si>
    <t>sn2000ca</t>
  </si>
  <si>
    <t>sn2007qe</t>
  </si>
  <si>
    <t>sn2006sr</t>
  </si>
  <si>
    <t>sn1993h</t>
  </si>
  <si>
    <t>sn2002bf</t>
  </si>
  <si>
    <t>sn2002he</t>
  </si>
  <si>
    <t>sn1992ag</t>
  </si>
  <si>
    <t>sn2005ms</t>
  </si>
  <si>
    <t>sn1992p</t>
  </si>
  <si>
    <t>sn2007cq</t>
  </si>
  <si>
    <t>sn2005na</t>
  </si>
  <si>
    <t>sn2004gs</t>
  </si>
  <si>
    <t>sn1999gp</t>
  </si>
  <si>
    <t>sn2007co</t>
  </si>
  <si>
    <t>sn1998ab</t>
  </si>
  <si>
    <t>sn2002de</t>
  </si>
  <si>
    <t>sn2003u</t>
  </si>
  <si>
    <t>sn2005eq</t>
  </si>
  <si>
    <t>sn2001ba</t>
  </si>
  <si>
    <t>sn1996c</t>
  </si>
  <si>
    <t>sn2006qo</t>
  </si>
  <si>
    <t>sn2003ch</t>
  </si>
  <si>
    <t>sn1990o</t>
  </si>
  <si>
    <t>sn1997dg</t>
  </si>
  <si>
    <t>sn2006az</t>
  </si>
  <si>
    <t>sn2004as</t>
  </si>
  <si>
    <t>sn2007bd</t>
  </si>
  <si>
    <t>sn1999cc</t>
  </si>
  <si>
    <t>sn2006s</t>
  </si>
  <si>
    <t>sn2006bt</t>
  </si>
  <si>
    <t>sn2004l</t>
  </si>
  <si>
    <t>sn2005iq</t>
  </si>
  <si>
    <t>sn2003iv</t>
  </si>
  <si>
    <t>sn2006gr</t>
  </si>
  <si>
    <t>sn2005eu</t>
  </si>
  <si>
    <t>sn2002hd</t>
  </si>
  <si>
    <t>sn1992bg</t>
  </si>
  <si>
    <t>sn1996bl</t>
  </si>
  <si>
    <t>sn2000cf</t>
  </si>
  <si>
    <t>sn2006mo</t>
  </si>
  <si>
    <t>sn2001eh</t>
  </si>
  <si>
    <t>sn1999aw</t>
  </si>
  <si>
    <t>sn2002hu</t>
  </si>
  <si>
    <t>sn2003fa</t>
  </si>
  <si>
    <t>sn2001az</t>
  </si>
  <si>
    <t>sn2005lz</t>
  </si>
  <si>
    <t>sn1992bl</t>
  </si>
  <si>
    <t>sn1992bh</t>
  </si>
  <si>
    <t>sn2004gu</t>
  </si>
  <si>
    <t>sn2005hc</t>
  </si>
  <si>
    <t>sn1993ag</t>
  </si>
  <si>
    <t>sn1995ac</t>
  </si>
  <si>
    <t>sn1990af</t>
  </si>
  <si>
    <t>sn1993o</t>
  </si>
  <si>
    <t>sn1999ao</t>
  </si>
  <si>
    <t>sn1998dx</t>
  </si>
  <si>
    <t>sn2006ob</t>
  </si>
  <si>
    <t>sn2006oa</t>
  </si>
  <si>
    <t>SDSS3901</t>
  </si>
  <si>
    <t>sn1992bs</t>
  </si>
  <si>
    <t>sn2006an</t>
  </si>
  <si>
    <t>sn2007ae</t>
  </si>
  <si>
    <t>SDSS6057</t>
  </si>
  <si>
    <t>sn2006al</t>
  </si>
  <si>
    <t>sn1993b</t>
  </si>
  <si>
    <t>sn2006on</t>
  </si>
  <si>
    <t>sn1992ae</t>
  </si>
  <si>
    <t>sn2005ir</t>
  </si>
  <si>
    <t>sn1999bp</t>
  </si>
  <si>
    <t>sn1992bp</t>
  </si>
  <si>
    <t>sn2005ag</t>
  </si>
  <si>
    <t>SDSS1241</t>
  </si>
  <si>
    <t>SDSS3592</t>
  </si>
  <si>
    <t>SDSS6773</t>
  </si>
  <si>
    <t>SDSS2102</t>
  </si>
  <si>
    <t>SDSS3256</t>
  </si>
  <si>
    <t>SDSS7147</t>
  </si>
  <si>
    <t>SDSS8719</t>
  </si>
  <si>
    <t>SDSS5395</t>
  </si>
  <si>
    <t>SDSS2561</t>
  </si>
  <si>
    <t>SDSS1371</t>
  </si>
  <si>
    <t>SDSS5549</t>
  </si>
  <si>
    <t>SDSS2916</t>
  </si>
  <si>
    <t>06D2fb</t>
  </si>
  <si>
    <t>SDSS6406</t>
  </si>
  <si>
    <t>SDSS2992</t>
  </si>
  <si>
    <t>SDSS744</t>
  </si>
  <si>
    <t>SDSS5751</t>
  </si>
  <si>
    <t>SDSS1032</t>
  </si>
  <si>
    <t>SDSS2635</t>
  </si>
  <si>
    <t>SDSS1794</t>
  </si>
  <si>
    <t>SDSS8921</t>
  </si>
  <si>
    <t>SDSS5103</t>
  </si>
  <si>
    <t>SDSS2308</t>
  </si>
  <si>
    <t>SDSS2031</t>
  </si>
  <si>
    <t>SDSS5550</t>
  </si>
  <si>
    <t>SDSS2689</t>
  </si>
  <si>
    <t>SDSS3087</t>
  </si>
  <si>
    <t>05D3ne</t>
  </si>
  <si>
    <t>SDSS5916</t>
  </si>
  <si>
    <t>SDSS3080</t>
  </si>
  <si>
    <t>SDSS5350</t>
  </si>
  <si>
    <t>SDSS5635</t>
  </si>
  <si>
    <t>SDSS2372</t>
  </si>
  <si>
    <t>SDSS6936</t>
  </si>
  <si>
    <t>SDSS1580</t>
  </si>
  <si>
    <t>05D2ah</t>
  </si>
  <si>
    <t>SDSS6422</t>
  </si>
  <si>
    <t>SDSS8213</t>
  </si>
  <si>
    <t>SDSS5994</t>
  </si>
  <si>
    <t>SDSS6304</t>
  </si>
  <si>
    <t>SDSS762</t>
  </si>
  <si>
    <t>SDSS2440</t>
  </si>
  <si>
    <t>SDSS7335</t>
  </si>
  <si>
    <t>SDSS6780</t>
  </si>
  <si>
    <t>SDSS7243</t>
  </si>
  <si>
    <t>SDSS3331</t>
  </si>
  <si>
    <t>04D1dc</t>
  </si>
  <si>
    <t>SDSS7847</t>
  </si>
  <si>
    <t>SDSS6933</t>
  </si>
  <si>
    <t>SDSS8495</t>
  </si>
  <si>
    <t>SDSS1316</t>
  </si>
  <si>
    <t>SDSS9467</t>
  </si>
  <si>
    <t>05D3kx</t>
  </si>
  <si>
    <t>SDSS7512</t>
  </si>
  <si>
    <t>SDSS5533</t>
  </si>
  <si>
    <t>SDSS3452</t>
  </si>
  <si>
    <t>SDSS3377</t>
  </si>
  <si>
    <t>05D3mq</t>
  </si>
  <si>
    <t>SDSS3451</t>
  </si>
  <si>
    <t>06D3gn</t>
  </si>
  <si>
    <t>SDSS3199</t>
  </si>
  <si>
    <t>SDSS5717</t>
  </si>
  <si>
    <t>SDSS5736</t>
  </si>
  <si>
    <t>SDSS9032</t>
  </si>
  <si>
    <t>SDSS9457</t>
  </si>
  <si>
    <t>SDSS1112</t>
  </si>
  <si>
    <t>SDSS8046</t>
  </si>
  <si>
    <t>SDSS6108</t>
  </si>
  <si>
    <t>SDSS3241</t>
  </si>
  <si>
    <t>SDSS1253</t>
  </si>
  <si>
    <t>SDSS2017</t>
  </si>
  <si>
    <t>04D3ez</t>
  </si>
  <si>
    <t>05D1hk</t>
  </si>
  <si>
    <t>SDSS2422</t>
  </si>
  <si>
    <t>SDSS2943</t>
  </si>
  <si>
    <t>SDSS6315</t>
  </si>
  <si>
    <t>06D3fp</t>
  </si>
  <si>
    <t>03D4cj</t>
  </si>
  <si>
    <t>SDSS6192</t>
  </si>
  <si>
    <t>SDSS5957</t>
  </si>
  <si>
    <t>06D3dt</t>
  </si>
  <si>
    <t>03D4ag</t>
  </si>
  <si>
    <t>SDSS2165</t>
  </si>
  <si>
    <t>SDSS2789</t>
  </si>
  <si>
    <t>03D3ba</t>
  </si>
  <si>
    <t>SDSS6249</t>
  </si>
  <si>
    <t>06D4dh</t>
  </si>
  <si>
    <t>SDSS5966</t>
  </si>
  <si>
    <t>SDSS6699</t>
  </si>
  <si>
    <t>SDSS5844</t>
  </si>
  <si>
    <t>SDSS6649</t>
  </si>
  <si>
    <t>SDSS7475</t>
  </si>
  <si>
    <t>05D2ab</t>
  </si>
  <si>
    <t>SDSS6924</t>
  </si>
  <si>
    <t>03D1fc</t>
  </si>
  <si>
    <t>04D3kr</t>
  </si>
  <si>
    <t>SDSS2533</t>
  </si>
  <si>
    <t>04D3nh</t>
  </si>
  <si>
    <t>03D1bp</t>
  </si>
  <si>
    <t>04D2mc</t>
  </si>
  <si>
    <t>05D2ie</t>
  </si>
  <si>
    <t>SDSS9207</t>
  </si>
  <si>
    <t>05D2hc</t>
  </si>
  <si>
    <t>05D2mp</t>
  </si>
  <si>
    <t>03D3bl</t>
  </si>
  <si>
    <t>04D2fs</t>
  </si>
  <si>
    <t>04D3fk</t>
  </si>
  <si>
    <t>04D1hd</t>
  </si>
  <si>
    <t>04D2cf</t>
  </si>
  <si>
    <t>05D3jr</t>
  </si>
  <si>
    <t>03D3ay</t>
  </si>
  <si>
    <t>05D4bm</t>
  </si>
  <si>
    <t>05D4fo</t>
  </si>
  <si>
    <t>05D4cw</t>
  </si>
  <si>
    <t>SDSS7779</t>
  </si>
  <si>
    <t>SDSS5737</t>
  </si>
  <si>
    <t>SDSS8707</t>
  </si>
  <si>
    <t>05D4ff</t>
  </si>
  <si>
    <t>06D3ed</t>
  </si>
  <si>
    <t>05D4dt</t>
  </si>
  <si>
    <t>06D4cq</t>
  </si>
  <si>
    <t>04D2fp</t>
  </si>
  <si>
    <t>05D2dw</t>
  </si>
  <si>
    <t>05D3cf</t>
  </si>
  <si>
    <t>04D4gg</t>
  </si>
  <si>
    <t>05D2cb</t>
  </si>
  <si>
    <t>04D1rh</t>
  </si>
  <si>
    <t>06D4co</t>
  </si>
  <si>
    <t>06D2gb</t>
  </si>
  <si>
    <t>06D3df</t>
  </si>
  <si>
    <t>03D3aw</t>
  </si>
  <si>
    <t>04D2gb</t>
  </si>
  <si>
    <t>04D3gt</t>
  </si>
  <si>
    <t>03D3cd</t>
  </si>
  <si>
    <t>05D3lc</t>
  </si>
  <si>
    <t>03D4au</t>
  </si>
  <si>
    <t>05D3mx</t>
  </si>
  <si>
    <t>04D4jr</t>
  </si>
  <si>
    <t>04D3df</t>
  </si>
  <si>
    <t>04D4ju</t>
  </si>
  <si>
    <t>05D2bv</t>
  </si>
  <si>
    <t>05D2ac</t>
  </si>
  <si>
    <t>05D3dd</t>
  </si>
  <si>
    <t>05D1ix</t>
  </si>
  <si>
    <t>03D1ax</t>
  </si>
  <si>
    <t>05D4af</t>
  </si>
  <si>
    <t>06D2bk</t>
  </si>
  <si>
    <t>03D1au</t>
  </si>
  <si>
    <t>05D4av</t>
  </si>
  <si>
    <t>05D2dy</t>
  </si>
  <si>
    <t>04D2mj</t>
  </si>
  <si>
    <t>04D1pg</t>
  </si>
  <si>
    <t>05D3ci</t>
  </si>
  <si>
    <t>04D4in</t>
  </si>
  <si>
    <t>06D3el</t>
  </si>
  <si>
    <t>04D2gc</t>
  </si>
  <si>
    <t>06D2ca</t>
  </si>
  <si>
    <t>06D2cc</t>
  </si>
  <si>
    <t>05D2eb</t>
  </si>
  <si>
    <t>05D4ek</t>
  </si>
  <si>
    <t>05D4be</t>
  </si>
  <si>
    <t>04D4bq</t>
  </si>
  <si>
    <t>04D3hn</t>
  </si>
  <si>
    <t>06D2ck</t>
  </si>
  <si>
    <t>06D4bo</t>
  </si>
  <si>
    <t>05D1ee</t>
  </si>
  <si>
    <t>04D1hx</t>
  </si>
  <si>
    <t>05D1kl</t>
  </si>
  <si>
    <t>05D1cc</t>
  </si>
  <si>
    <t>05D1dn</t>
  </si>
  <si>
    <t>03D4gl</t>
  </si>
  <si>
    <t>05D2dt</t>
  </si>
  <si>
    <t>06D3et</t>
  </si>
  <si>
    <t>05D3jq</t>
  </si>
  <si>
    <t>05D3gp</t>
  </si>
  <si>
    <t>03D4gf</t>
  </si>
  <si>
    <t>05D1dx</t>
  </si>
  <si>
    <t>03D1aw</t>
  </si>
  <si>
    <t>04D1jg</t>
  </si>
  <si>
    <t>04D1kj</t>
  </si>
  <si>
    <t>05D4ej</t>
  </si>
  <si>
    <t>04D1sa</t>
  </si>
  <si>
    <t>05D1hm</t>
  </si>
  <si>
    <t>05D4bf</t>
  </si>
  <si>
    <t>04D2mh</t>
  </si>
  <si>
    <t>04D1oh</t>
  </si>
  <si>
    <t>03D4gg</t>
  </si>
  <si>
    <t>05D3lr</t>
  </si>
  <si>
    <t>05D4ef</t>
  </si>
  <si>
    <t>05D2he</t>
  </si>
  <si>
    <t>03D4dy</t>
  </si>
  <si>
    <t>04D3do</t>
  </si>
  <si>
    <t>03D1dt</t>
  </si>
  <si>
    <t>04D4an</t>
  </si>
  <si>
    <t>05D1ck</t>
  </si>
  <si>
    <t>04D2an</t>
  </si>
  <si>
    <t>04D3co</t>
  </si>
  <si>
    <t>03D4dh</t>
  </si>
  <si>
    <t>04D4fx</t>
  </si>
  <si>
    <t>05D2ci</t>
  </si>
  <si>
    <t>05D1cb</t>
  </si>
  <si>
    <t>03D4at</t>
  </si>
  <si>
    <t>04D1pu</t>
  </si>
  <si>
    <t>05D2ec</t>
  </si>
  <si>
    <t>05D4ag</t>
  </si>
  <si>
    <t>05D3ax</t>
  </si>
  <si>
    <t>04D3cy</t>
  </si>
  <si>
    <t>05D3lb</t>
  </si>
  <si>
    <t>05D3kt</t>
  </si>
  <si>
    <t>04D1sk</t>
  </si>
  <si>
    <t>05D3hs</t>
  </si>
  <si>
    <t>05D3mh</t>
  </si>
  <si>
    <t>03D1co</t>
  </si>
  <si>
    <t>05D2bt</t>
  </si>
  <si>
    <t>06D3cc</t>
  </si>
  <si>
    <t>04D4ic</t>
  </si>
  <si>
    <t>06D3em</t>
  </si>
  <si>
    <t>05D1ke</t>
  </si>
  <si>
    <t>03D4cz</t>
  </si>
  <si>
    <t>05D2ck</t>
  </si>
  <si>
    <t>04D4ib</t>
  </si>
  <si>
    <t>04D2iu</t>
  </si>
  <si>
    <t>06D4ba</t>
  </si>
  <si>
    <t>05D2le</t>
  </si>
  <si>
    <t>05D4cq</t>
  </si>
  <si>
    <t>05D4bj</t>
  </si>
  <si>
    <t>04D1si</t>
  </si>
  <si>
    <t>04D4hu</t>
  </si>
  <si>
    <t>05D3gv</t>
  </si>
  <si>
    <t>05D3jh</t>
  </si>
  <si>
    <t>06D3gh</t>
  </si>
  <si>
    <t>04D1aj</t>
  </si>
  <si>
    <t>05D4ev</t>
  </si>
  <si>
    <t>06D3do</t>
  </si>
  <si>
    <t>06D3bz</t>
  </si>
  <si>
    <t>04D2gp</t>
  </si>
  <si>
    <t>06D4bw</t>
  </si>
  <si>
    <t>05D2fq</t>
  </si>
  <si>
    <t>05D2ct</t>
  </si>
  <si>
    <t>04D1pp</t>
  </si>
  <si>
    <t>05D3jk</t>
  </si>
  <si>
    <t>05D1eo</t>
  </si>
  <si>
    <t>04D2ja</t>
  </si>
  <si>
    <t>04D3fq</t>
  </si>
  <si>
    <t>04D2kr</t>
  </si>
  <si>
    <t>05D3jb</t>
  </si>
  <si>
    <t>04D3ks</t>
  </si>
  <si>
    <t>04D4im</t>
  </si>
  <si>
    <t>04D3oe</t>
  </si>
  <si>
    <t>05D2nt</t>
  </si>
  <si>
    <t>05D3mn</t>
  </si>
  <si>
    <t>06D3gx</t>
  </si>
  <si>
    <t>05D4cn</t>
  </si>
  <si>
    <t>05D1if</t>
  </si>
  <si>
    <t>05D3hh</t>
  </si>
  <si>
    <t>04D1qd</t>
  </si>
  <si>
    <t>04D1de</t>
  </si>
  <si>
    <t>04D4id</t>
  </si>
  <si>
    <t>04D1pc</t>
  </si>
  <si>
    <t>05D4bi</t>
  </si>
  <si>
    <t>04D1jd</t>
  </si>
  <si>
    <t>05D4cs</t>
  </si>
  <si>
    <t>03D4fd</t>
  </si>
  <si>
    <t>04D1ks</t>
  </si>
  <si>
    <t>05D3dh</t>
  </si>
  <si>
    <t>03D1fq</t>
  </si>
  <si>
    <t>05D3cx</t>
  </si>
  <si>
    <t>05D3ha</t>
  </si>
  <si>
    <t>05D4gw</t>
  </si>
  <si>
    <t>05D4dy</t>
  </si>
  <si>
    <t>04D3ny</t>
  </si>
  <si>
    <t>04D4dm</t>
  </si>
  <si>
    <t>04D3mk</t>
  </si>
  <si>
    <t>04D3nc</t>
  </si>
  <si>
    <t>06D2ce</t>
  </si>
  <si>
    <t>04D3lu</t>
  </si>
  <si>
    <t>05D1cl</t>
  </si>
  <si>
    <t>04D3cp</t>
  </si>
  <si>
    <t>04D2al</t>
  </si>
  <si>
    <t>Elvis</t>
  </si>
  <si>
    <t>05D4fg</t>
  </si>
  <si>
    <t>06D2ga</t>
  </si>
  <si>
    <t>05D1az</t>
  </si>
  <si>
    <t>05D4hn</t>
  </si>
  <si>
    <t>04D1hy</t>
  </si>
  <si>
    <t>06D4ce</t>
  </si>
  <si>
    <t>05D3kp</t>
  </si>
  <si>
    <t>05D4dw</t>
  </si>
  <si>
    <t>04D1ff</t>
  </si>
  <si>
    <t>05D1iz</t>
  </si>
  <si>
    <t>05D1er</t>
  </si>
  <si>
    <t>03D1bk</t>
  </si>
  <si>
    <t>05D1em</t>
  </si>
  <si>
    <t>04D4ii</t>
  </si>
  <si>
    <t>03D1ew</t>
  </si>
  <si>
    <t>05D2nn</t>
  </si>
  <si>
    <t>04D4bk</t>
  </si>
  <si>
    <t>05D3cq</t>
  </si>
  <si>
    <t>05D2by</t>
  </si>
  <si>
    <t>03D4di</t>
  </si>
  <si>
    <t>05D3ht</t>
  </si>
  <si>
    <t>04D3gx</t>
  </si>
  <si>
    <t>04D1ow</t>
  </si>
  <si>
    <t>05D2bw</t>
  </si>
  <si>
    <t>05D2ay</t>
  </si>
  <si>
    <t>05D2ob</t>
  </si>
  <si>
    <t>03D4cy</t>
  </si>
  <si>
    <t>06D2cd</t>
  </si>
  <si>
    <t>04D4jy</t>
  </si>
  <si>
    <t>04D4ih</t>
  </si>
  <si>
    <t>Vilas</t>
  </si>
  <si>
    <t>04D4hf</t>
  </si>
  <si>
    <t>05D3la</t>
  </si>
  <si>
    <t>03D4cx</t>
  </si>
  <si>
    <t>04D1pd</t>
  </si>
  <si>
    <t>04D3ml</t>
  </si>
  <si>
    <t>04D3nr</t>
  </si>
  <si>
    <t>05D3km</t>
  </si>
  <si>
    <t>04D4jw</t>
  </si>
  <si>
    <t>Patuxent</t>
  </si>
  <si>
    <t>Ombo</t>
  </si>
  <si>
    <t>05D2my</t>
  </si>
  <si>
    <t>04D3lp</t>
  </si>
  <si>
    <t>04D1rx</t>
  </si>
  <si>
    <t>04D1iv</t>
  </si>
  <si>
    <t>06D4cl</t>
  </si>
  <si>
    <t>04D3dd</t>
  </si>
  <si>
    <t>Strolger</t>
  </si>
  <si>
    <t>Eagle</t>
  </si>
  <si>
    <t>Ferguson</t>
  </si>
  <si>
    <t>04D4dw</t>
  </si>
  <si>
    <t>06D3en</t>
  </si>
  <si>
    <t>Gabi</t>
  </si>
  <si>
    <t>Borg</t>
  </si>
  <si>
    <t>B Band Magnitude Error</t>
  </si>
  <si>
    <t>Stretch Parameter Error</t>
  </si>
  <si>
    <t>Color Error</t>
  </si>
  <si>
    <t>Intrinsic Scatter Error</t>
  </si>
  <si>
    <t>Red Shift Error</t>
  </si>
  <si>
    <t>Observed Distance Moduli</t>
  </si>
  <si>
    <t>Primo</t>
  </si>
  <si>
    <t>DDO210</t>
  </si>
  <si>
    <t>1,2</t>
  </si>
  <si>
    <t>CamB</t>
  </si>
  <si>
    <t>UGC8215</t>
  </si>
  <si>
    <t>DDO183</t>
  </si>
  <si>
    <t>UGC8833</t>
  </si>
  <si>
    <t>D564-8</t>
  </si>
  <si>
    <t>DDO181</t>
  </si>
  <si>
    <t>P51659</t>
  </si>
  <si>
    <t>KK9824</t>
  </si>
  <si>
    <t>UGCA92</t>
  </si>
  <si>
    <t>D512-2</t>
  </si>
  <si>
    <t>UGCA444</t>
  </si>
  <si>
    <t>KK98251</t>
  </si>
  <si>
    <t>UGC7242</t>
  </si>
  <si>
    <t>UGC6145</t>
  </si>
  <si>
    <t>NGC3741</t>
  </si>
  <si>
    <t>D500-3</t>
  </si>
  <si>
    <t>D631-7</t>
  </si>
  <si>
    <t>DDO168</t>
  </si>
  <si>
    <t>KKH11</t>
  </si>
  <si>
    <t>UGC8550</t>
  </si>
  <si>
    <t>D575-2</t>
  </si>
  <si>
    <t>UGC4115</t>
  </si>
  <si>
    <t>UGC3851</t>
  </si>
  <si>
    <t>UGC9211</t>
  </si>
  <si>
    <t>NGC3109</t>
  </si>
  <si>
    <t>UGC8055</t>
  </si>
  <si>
    <t>D500-2</t>
  </si>
  <si>
    <t>IC2574</t>
  </si>
  <si>
    <t>UGC6818</t>
  </si>
  <si>
    <t>UGC4499</t>
  </si>
  <si>
    <t>NGC1560</t>
  </si>
  <si>
    <t>UGC8490</t>
  </si>
  <si>
    <t>UGC5721</t>
  </si>
  <si>
    <t>F565-V2</t>
  </si>
  <si>
    <t>F571-V1</t>
  </si>
  <si>
    <t>IC2233</t>
  </si>
  <si>
    <t>NGC2915</t>
  </si>
  <si>
    <t>NGC5585</t>
  </si>
  <si>
    <t>UGC3711</t>
  </si>
  <si>
    <t>UGC6983</t>
  </si>
  <si>
    <t>F563-V2</t>
  </si>
  <si>
    <t>F568-1</t>
  </si>
  <si>
    <t>F568-3</t>
  </si>
  <si>
    <t>F568-V1</t>
  </si>
  <si>
    <t>NGC2403</t>
  </si>
  <si>
    <t>NGC3198</t>
  </si>
  <si>
    <t>McGaugh (2011)</t>
  </si>
  <si>
    <t>Red Shift of CMB</t>
  </si>
  <si>
    <t>Observed Luminous Distance (Mpc)</t>
  </si>
  <si>
    <t>Temperature of CMB</t>
  </si>
  <si>
    <t>LDCM</t>
  </si>
  <si>
    <t>Halo Representative Density</t>
  </si>
  <si>
    <t>Central Surface Density</t>
  </si>
  <si>
    <t>Disk Scale Radius</t>
  </si>
  <si>
    <t>Halo Scale Radius</t>
  </si>
  <si>
    <r>
      <t xml:space="preserve">Halo Mass at </t>
    </r>
    <r>
      <rPr>
        <i/>
        <sz val="11"/>
        <color theme="1"/>
        <rFont val="Calibri"/>
        <family val="2"/>
        <scheme val="minor"/>
      </rPr>
      <t>h</t>
    </r>
  </si>
  <si>
    <t>Hubble Constant from SNe Ia</t>
  </si>
  <si>
    <t>CMB</t>
  </si>
  <si>
    <r>
      <t>Boltzman Constant (J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</si>
  <si>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QES Distance Moduli</t>
  </si>
  <si>
    <r>
      <t>QES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</si>
  <si>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QES</t>
  </si>
  <si>
    <t>Angular Scale (θ100)</t>
  </si>
  <si>
    <t>Hubble Constant from CMB (Plank 2018)</t>
  </si>
  <si>
    <t>Angular Scale (100θ)(Planck 2018)</t>
  </si>
  <si>
    <t>Thousand Years (kyr)</t>
  </si>
  <si>
    <t>Billion Years (Gyr)</t>
  </si>
  <si>
    <t>Million Years (Myr)</t>
  </si>
  <si>
    <t>Hydrogen Mass (kg)</t>
  </si>
  <si>
    <t>Helium Mass (kg)</t>
  </si>
  <si>
    <r>
      <t>QES Hubble Constant (H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</si>
  <si>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Parsec (m)</t>
  </si>
  <si>
    <t>Kiloparsec(m)</t>
  </si>
  <si>
    <t>Megaparsec (m)</t>
  </si>
  <si>
    <t>Gigaparsec (m)</t>
  </si>
  <si>
    <t>kilometer (m)</t>
  </si>
  <si>
    <r>
      <t>Gravitational Constant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</si>
  <si>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SolarMass (kg)</t>
  </si>
  <si>
    <r>
      <t>Universe Acceleration (m 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²)</t>
    </r>
  </si>
  <si>
    <r>
      <t>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</si>
  <si>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Reduced 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</si>
  <si>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Velocity of Light (m/s)</t>
  </si>
  <si>
    <t>QES Luminous Distance (m)</t>
  </si>
  <si>
    <t>Observed Velocity
(km)</t>
  </si>
  <si>
    <t>Radius
(m)</t>
  </si>
  <si>
    <t>Hydrogen Abundance</t>
  </si>
  <si>
    <t>Helium Abundance</t>
  </si>
  <si>
    <t>ζ(3)</t>
  </si>
  <si>
    <t>Stefan–Boltzmann constant</t>
  </si>
  <si>
    <t>Radiation Density constant</t>
  </si>
  <si>
    <t>Proton Mass (kg)</t>
  </si>
  <si>
    <t>ΛCDM CMBR Redshift</t>
  </si>
  <si>
    <r>
      <t>Particle Horizon 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(Gpc)</t>
    </r>
  </si>
  <si>
    <t>Age of CMB (s) (Myr)</t>
  </si>
  <si>
    <t>ΛCDM Unverse Age (s) (Gyr)</t>
  </si>
  <si>
    <t>QES Universe Age (s) (Gyr)</t>
  </si>
  <si>
    <t>Baryon Density</t>
  </si>
  <si>
    <t>Light Year</t>
  </si>
  <si>
    <r>
      <t>Constant of Integration (c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</si>
  <si>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Sound Horizon (Mpc)</t>
  </si>
  <si>
    <t>FLRW Distance Moduli</t>
  </si>
  <si>
    <r>
      <t>FLRW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</si>
  <si>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FLRW</t>
  </si>
  <si>
    <t>t</t>
  </si>
  <si>
    <r>
      <t>a</t>
    </r>
    <r>
      <rPr>
        <vertAlign val="subscript"/>
        <sz val="14"/>
        <color theme="1"/>
        <rFont val="Calibri"/>
        <family val="2"/>
        <scheme val="minor"/>
      </rPr>
      <t>3</t>
    </r>
  </si>
  <si>
    <r>
      <t>v</t>
    </r>
    <r>
      <rPr>
        <vertAlign val="subscript"/>
        <sz val="14"/>
        <color theme="1"/>
        <rFont val="Calibri"/>
        <family val="2"/>
        <scheme val="minor"/>
      </rPr>
      <t>3</t>
    </r>
  </si>
  <si>
    <t>τ</t>
  </si>
  <si>
    <t>dt/dτ</t>
  </si>
  <si>
    <r>
      <t>d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t/dτ</t>
    </r>
    <r>
      <rPr>
        <vertAlign val="superscript"/>
        <sz val="14"/>
        <color theme="1"/>
        <rFont val="Calibri"/>
        <family val="2"/>
        <scheme val="minor"/>
      </rPr>
      <t>2</t>
    </r>
  </si>
  <si>
    <t>dt</t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</si>
  <si>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(Gpc)</t>
    </r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</si>
  <si>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(m) (Gpc)</t>
    </r>
  </si>
  <si>
    <r>
      <t>Proper 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(Mpc)</t>
    </r>
  </si>
  <si>
    <r>
      <t>Particle Horizon 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(Mpc)</t>
    </r>
  </si>
  <si>
    <t>Error</t>
  </si>
  <si>
    <t>ref</t>
  </si>
  <si>
    <t>Distance
 (Mpc)</t>
  </si>
  <si>
    <r>
      <t>Velocity
(km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</si>
  <si>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</si>
  <si>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</si>
  <si>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t>Error
(kg)</t>
  </si>
  <si>
    <t>Predicted Mass
(kg)</t>
  </si>
  <si>
    <t>Observed
Mass
(kg)</t>
  </si>
  <si>
    <t>Log
(velocity)</t>
  </si>
  <si>
    <t>Log
(observed
Mass)</t>
  </si>
  <si>
    <t>Log
(predicted
Mass)</t>
  </si>
  <si>
    <t>Residual
Mass
(kg)</t>
  </si>
  <si>
    <r>
      <t>QES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</si>
  <si>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ΛCDM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</si>
  <si>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χ</t>
    </r>
    <r>
      <rPr>
        <vertAlign val="superscript"/>
        <sz val="11"/>
        <color theme="1"/>
        <rFont val="Calibri"/>
        <family val="2"/>
        <scheme val="minor"/>
      </rPr>
      <t>2</t>
    </r>
  </si>
  <si>
    <t>Initial Tangent Velocity</t>
  </si>
  <si>
    <r>
      <t>f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(τ)</t>
    </r>
  </si>
  <si>
    <t>Univesre Size (m) (Gpc)</t>
  </si>
  <si>
    <t>QES Error</t>
  </si>
  <si>
    <t>ΛCDM Error</t>
  </si>
  <si>
    <t>Time
(s)</t>
  </si>
  <si>
    <t>Time
(Gyr)</t>
  </si>
  <si>
    <t>Redshift (z)</t>
  </si>
  <si>
    <t>a</t>
  </si>
  <si>
    <t>ȧ</t>
  </si>
  <si>
    <r>
      <t>H(t)
(s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</si>
  <si>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H(t)
(km s</t>
    </r>
    <r>
      <rPr>
        <vertAlign val="superscript"/>
        <sz val="11"/>
        <color theme="1"/>
        <rFont val="Calibri"/>
        <family val="2"/>
        <scheme val="minor"/>
      </rPr>
      <t xml:space="preserve">-1
</t>
    </r>
    <r>
      <rPr>
        <sz val="11"/>
        <color theme="1"/>
        <rFont val="Calibri"/>
        <family val="2"/>
        <scheme val="minor"/>
      </rPr>
      <t xml:space="preserve"> Mpc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</si>
  <si>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Pos Hubble Sphere
(Gpc)</t>
  </si>
  <si>
    <t>Neg Hubble Sphere
(Gpc)</t>
  </si>
  <si>
    <t>Pos Particle Horizon
(Gpc)</t>
  </si>
  <si>
    <t>Neg Particle Horizon
(Gpc)</t>
  </si>
  <si>
    <t>Pos
 Light Cone (Gpc)</t>
  </si>
  <si>
    <t>Neg Light Cone (Gpc)</t>
  </si>
  <si>
    <t>Pos World Line (Gpc)</t>
  </si>
  <si>
    <t>Neg World Line (Gpc)</t>
  </si>
  <si>
    <t>Core Radius (kpc)</t>
  </si>
  <si>
    <r>
      <t>Core Mass (M</t>
    </r>
    <r>
      <rPr>
        <vertAlign val="subscript"/>
        <sz val="11"/>
        <color theme="1"/>
        <rFont val="Calibri"/>
        <family val="2"/>
        <scheme val="minor"/>
      </rPr>
      <t>☉</t>
    </r>
    <r>
      <rPr>
        <sz val="11"/>
        <color theme="1"/>
        <rFont val="Calibri"/>
        <family val="2"/>
        <scheme val="minor"/>
      </rPr>
      <t>)</t>
    </r>
  </si>
  <si>
    <t>Mass
(kg)</t>
  </si>
  <si>
    <t>Density</t>
  </si>
  <si>
    <t>QES Inflection Point (Gyr)</t>
  </si>
  <si>
    <t>End of the Universe (Gyr)</t>
  </si>
  <si>
    <t>Acceleration of the Sun</t>
  </si>
  <si>
    <t>Distance</t>
  </si>
  <si>
    <t>Acceleration of the Earth</t>
  </si>
  <si>
    <t>Mass</t>
  </si>
  <si>
    <t>acceleration</t>
  </si>
  <si>
    <t>Newton</t>
  </si>
  <si>
    <t>Rotation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</si>
</sst>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"/>
    <numFmt numFmtId="168" formatCode="0.000E+00"/>
    <numFmt numFmtId="169" formatCode="0.000000000000"/>
    <numFmt numFmtId="170" formatCode="0.0000E+00"/>
    <numFmt numFmtId="171" formatCode="#,##0.00000"/>
    <numFmt numFmtId="172" formatCode="#,##0.0000"/>
  </numFmts>
  <fonts count="30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0" borderId="0"/>
    <xf numFmtId="0" fontId="7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57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vertical="top" wrapText="1"/>
    </xf>
    <xf numFmtId="11" fontId="0" fillId="0" borderId="0" xfId="0" applyNumberFormat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1" fontId="0" fillId="0" borderId="0" xfId="0" applyNumberFormat="1"/>
    <xf numFmtId="2" fontId="0" fillId="0" borderId="0" xfId="0" applyNumberFormat="1" applyAlignment="1">
      <alignment horizontal="right" vertical="top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7" fontId="0" fillId="0" borderId="0" xfId="0" applyNumberFormat="1"/>
    <xf numFmtId="3" fontId="0" fillId="0" borderId="0" xfId="0" applyNumberFormat="1"/>
    <xf numFmtId="0" fontId="3" fillId="0" borderId="0" xfId="0" applyFont="1"/>
    <xf numFmtId="167" fontId="0" fillId="0" borderId="0" xfId="0" applyNumberFormat="1" applyAlignment="1">
      <alignment horizontal="right" vertical="top" wrapText="1"/>
    </xf>
    <xf numFmtId="2" fontId="2" fillId="0" borderId="0" xfId="0" applyNumberFormat="1" applyFont="1"/>
    <xf numFmtId="0" fontId="0" fillId="0" borderId="0" xfId="0" applyAlignment="1">
      <alignment horizontal="right" vertical="top"/>
    </xf>
    <xf numFmtId="2" fontId="1" fillId="0" borderId="0" xfId="0" applyNumberFormat="1" applyFont="1"/>
    <xf numFmtId="2" fontId="0" fillId="0" borderId="0" xfId="0" applyNumberFormat="1" applyAlignment="1">
      <alignment horizontal="left" vertical="top" wrapText="1"/>
    </xf>
    <xf numFmtId="169" fontId="0" fillId="0" borderId="0" xfId="0" applyNumberFormat="1"/>
    <xf numFmtId="2" fontId="3" fillId="0" borderId="0" xfId="0" applyNumberFormat="1" applyFont="1"/>
    <xf numFmtId="2" fontId="0" fillId="0" borderId="0" xfId="0" applyNumberFormat="1" applyAlignment="1">
      <alignment horizontal="right" vertical="top"/>
    </xf>
    <xf numFmtId="170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left" vertical="center" wrapText="1"/>
    </xf>
    <xf numFmtId="4" fontId="0" fillId="0" borderId="0" xfId="4" applyNumberFormat="1" applyFont="1"/>
    <xf numFmtId="9" fontId="0" fillId="0" borderId="0" xfId="3" applyFont="1"/>
    <xf numFmtId="0" fontId="26" fillId="0" borderId="0" xfId="0" applyFont="1"/>
    <xf numFmtId="2" fontId="26" fillId="0" borderId="0" xfId="0" applyNumberFormat="1" applyFont="1" applyAlignment="1">
      <alignment horizontal="right"/>
    </xf>
    <xf numFmtId="167" fontId="26" fillId="0" borderId="0" xfId="0" applyNumberFormat="1" applyFont="1"/>
    <xf numFmtId="167" fontId="26" fillId="0" borderId="0" xfId="0" applyNumberFormat="1" applyFont="1" applyAlignment="1">
      <alignment horizontal="right"/>
    </xf>
    <xf numFmtId="171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4" applyNumberFormat="1" applyFont="1"/>
    <xf numFmtId="172" fontId="0" fillId="0" borderId="0" xfId="0" applyNumberFormat="1"/>
    <xf numFmtId="4" fontId="0" fillId="0" borderId="0" xfId="0" applyNumberFormat="1"/>
    <xf numFmtId="3" fontId="0" fillId="0" borderId="0" xfId="3" applyNumberFormat="1" applyFont="1"/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top"/>
    </xf>
    <xf numFmtId="11" fontId="0" fillId="0" borderId="0" xfId="0" applyNumberFormat="1" applyAlignment="1">
      <alignment horizontal="right" vertical="top"/>
    </xf>
    <xf numFmtId="11" fontId="2" fillId="33" borderId="0" xfId="0" applyNumberFormat="1" applyFont="1" applyFill="1"/>
    <xf numFmtId="1" fontId="2" fillId="33" borderId="0" xfId="0" applyNumberFormat="1" applyFont="1" applyFill="1"/>
    <xf numFmtId="11" fontId="0" fillId="33" borderId="0" xfId="0" applyNumberFormat="1" applyFill="1"/>
    <xf numFmtId="2" fontId="2" fillId="33" borderId="0" xfId="0" applyNumberFormat="1" applyFont="1" applyFill="1"/>
    <xf numFmtId="2" fontId="0" fillId="33" borderId="0" xfId="0" applyNumberFormat="1" applyFill="1"/>
    <xf numFmtId="1" fontId="0" fillId="0" borderId="0" xfId="0" applyNumberFormat="1" applyAlignment="1">
      <alignment vertical="center" wrapText="1"/>
    </xf>
    <xf numFmtId="1" fontId="25" fillId="0" borderId="0" xfId="0" applyNumberFormat="1" applyFont="1"/>
    <xf numFmtId="1" fontId="3" fillId="0" borderId="0" xfId="0" applyNumberFormat="1" applyFont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4" builtinId="3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 xr:uid="{00000000-0005-0000-0000-000026000000}"/>
    <cellStyle name="Normal 3" xfId="2" xr:uid="{00000000-0005-0000-0000-000027000000}"/>
    <cellStyle name="Normal 4" xfId="5" xr:uid="{00000000-0005-0000-0000-000028000000}"/>
    <cellStyle name="Note" xfId="20" builtinId="10" customBuiltin="1"/>
    <cellStyle name="Output" xfId="15" builtinId="21" customBuiltin="1"/>
    <cellStyle name="Percent" xfId="3" builtinId="5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FF49FF"/>
      <color rgb="FF7E75EF"/>
      <color rgb="FF000000"/>
      <color rgb="FFE7C6C6"/>
      <color rgb="FFFF00FF"/>
      <color rgb="FFFF0000"/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4273840769904"/>
          <c:y val="2.2933193792821844E-2"/>
          <c:w val="0.85367125984251968"/>
          <c:h val="0.86898551306557059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7-43DC-BFD6-5ECB1D69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6-4D58-B637-E6B206DDF043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6-4D58-B637-E6B206DD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Shift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(Mpc)</a:t>
                </a:r>
              </a:p>
            </c:rich>
          </c:tx>
          <c:layout>
            <c:manualLayout>
              <c:xMode val="edge"/>
              <c:yMode val="edge"/>
              <c:x val="4.034291477559254E-3"/>
              <c:y val="0.3823904041522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92523661815"/>
          <c:y val="4.6146106736657914E-2"/>
          <c:w val="0.84291656724727593"/>
          <c:h val="0.70440944881889767"/>
        </c:manualLayout>
      </c:layout>
      <c:scatterChart>
        <c:scatterStyle val="lineMarker"/>
        <c:varyColors val="0"/>
        <c:ser>
          <c:idx val="0"/>
          <c:order val="0"/>
          <c:tx>
            <c:v>QESError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Data'!$Q$7:$Q$482</c:f>
              <c:numCache>
                <c:formatCode>0.00</c:formatCode>
                <c:ptCount val="476"/>
                <c:pt idx="0">
                  <c:v>-7.5759450155388208E-2</c:v>
                </c:pt>
                <c:pt idx="1">
                  <c:v>-0.19243145015538943</c:v>
                </c:pt>
                <c:pt idx="2">
                  <c:v>-0.21405171910704723</c:v>
                </c:pt>
                <c:pt idx="3">
                  <c:v>0.10723528089295797</c:v>
                </c:pt>
                <c:pt idx="4">
                  <c:v>-0.11393171910704325</c:v>
                </c:pt>
                <c:pt idx="5">
                  <c:v>0.50924422081780563</c:v>
                </c:pt>
                <c:pt idx="6">
                  <c:v>-0.10385798223693143</c:v>
                </c:pt>
                <c:pt idx="7">
                  <c:v>9.8566509365603849E-2</c:v>
                </c:pt>
                <c:pt idx="8">
                  <c:v>-0.3284461224835411</c:v>
                </c:pt>
                <c:pt idx="9">
                  <c:v>7.6225093656034915E-3</c:v>
                </c:pt>
                <c:pt idx="10">
                  <c:v>-2.1417490634398462E-2</c:v>
                </c:pt>
                <c:pt idx="11">
                  <c:v>9.9653877516452383E-2</c:v>
                </c:pt>
                <c:pt idx="12">
                  <c:v>-0.69075549063439468</c:v>
                </c:pt>
                <c:pt idx="13">
                  <c:v>-0.26382968249630778</c:v>
                </c:pt>
                <c:pt idx="14">
                  <c:v>-0.1148634906343986</c:v>
                </c:pt>
                <c:pt idx="15">
                  <c:v>-0.14139349063439965</c:v>
                </c:pt>
                <c:pt idx="16">
                  <c:v>3.7560877516455093E-2</c:v>
                </c:pt>
                <c:pt idx="17">
                  <c:v>-0.26964949063440002</c:v>
                </c:pt>
                <c:pt idx="18">
                  <c:v>-0.63816268249631491</c:v>
                </c:pt>
                <c:pt idx="19">
                  <c:v>-8.9754122483540755E-2</c:v>
                </c:pt>
                <c:pt idx="20">
                  <c:v>-0.10965812248354467</c:v>
                </c:pt>
                <c:pt idx="21">
                  <c:v>-0.31043068249631034</c:v>
                </c:pt>
                <c:pt idx="22">
                  <c:v>-0.18872412248354209</c:v>
                </c:pt>
                <c:pt idx="23">
                  <c:v>-0.29732512248354226</c:v>
                </c:pt>
                <c:pt idx="24">
                  <c:v>-0.12620512248354743</c:v>
                </c:pt>
                <c:pt idx="25">
                  <c:v>-0.16117268249631422</c:v>
                </c:pt>
                <c:pt idx="26">
                  <c:v>-7.3046122483546583E-2</c:v>
                </c:pt>
                <c:pt idx="27">
                  <c:v>0.15440731750368997</c:v>
                </c:pt>
                <c:pt idx="28">
                  <c:v>-0.44958574878588564</c:v>
                </c:pt>
                <c:pt idx="29">
                  <c:v>-3.5956748785892501E-2</c:v>
                </c:pt>
                <c:pt idx="30">
                  <c:v>-0.11770774878588952</c:v>
                </c:pt>
                <c:pt idx="31">
                  <c:v>-0.100083474360396</c:v>
                </c:pt>
                <c:pt idx="32">
                  <c:v>-0.21495274878589044</c:v>
                </c:pt>
                <c:pt idx="33">
                  <c:v>-0.40114547436039771</c:v>
                </c:pt>
                <c:pt idx="34">
                  <c:v>0.1140118015773055</c:v>
                </c:pt>
                <c:pt idx="35">
                  <c:v>0.30166580157730039</c:v>
                </c:pt>
                <c:pt idx="36">
                  <c:v>8.2866141759005529E-2</c:v>
                </c:pt>
                <c:pt idx="37">
                  <c:v>6.177014175899842E-2</c:v>
                </c:pt>
                <c:pt idx="38">
                  <c:v>-0.29845648487224707</c:v>
                </c:pt>
                <c:pt idx="39">
                  <c:v>-0.34192048487224724</c:v>
                </c:pt>
                <c:pt idx="40">
                  <c:v>1.5003141759002858E-2</c:v>
                </c:pt>
                <c:pt idx="41">
                  <c:v>-1.4261995174209119E-2</c:v>
                </c:pt>
                <c:pt idx="42">
                  <c:v>-7.101299517420756E-2</c:v>
                </c:pt>
                <c:pt idx="43">
                  <c:v>-0.16676799517420449</c:v>
                </c:pt>
                <c:pt idx="44">
                  <c:v>5.1310004825793953E-2</c:v>
                </c:pt>
                <c:pt idx="45">
                  <c:v>-0.37048599517420655</c:v>
                </c:pt>
                <c:pt idx="46">
                  <c:v>-0.25487780313936526</c:v>
                </c:pt>
                <c:pt idx="47">
                  <c:v>0.10344919686063747</c:v>
                </c:pt>
                <c:pt idx="48">
                  <c:v>5.5444004825787374E-2</c:v>
                </c:pt>
                <c:pt idx="49">
                  <c:v>-5.7807803139361624E-2</c:v>
                </c:pt>
                <c:pt idx="50">
                  <c:v>-0.30195010091023988</c:v>
                </c:pt>
                <c:pt idx="51">
                  <c:v>-4.0486803139366145E-2</c:v>
                </c:pt>
                <c:pt idx="52">
                  <c:v>-3.2388100910232254E-2</c:v>
                </c:pt>
                <c:pt idx="53">
                  <c:v>9.6917680737099943E-2</c:v>
                </c:pt>
                <c:pt idx="54">
                  <c:v>-7.5844319262905913E-2</c:v>
                </c:pt>
                <c:pt idx="55">
                  <c:v>-0.12404780313936214</c:v>
                </c:pt>
                <c:pt idx="56">
                  <c:v>-0.18815431926289961</c:v>
                </c:pt>
                <c:pt idx="57">
                  <c:v>3.9696680737101531E-2</c:v>
                </c:pt>
                <c:pt idx="58">
                  <c:v>0.10433468073709662</c:v>
                </c:pt>
                <c:pt idx="59">
                  <c:v>-0.33118610091023726</c:v>
                </c:pt>
                <c:pt idx="60">
                  <c:v>0.13129189908976713</c:v>
                </c:pt>
                <c:pt idx="61">
                  <c:v>-0.36655810091023255</c:v>
                </c:pt>
                <c:pt idx="62">
                  <c:v>-0.1021011636609046</c:v>
                </c:pt>
                <c:pt idx="63">
                  <c:v>-9.4226845045511709E-2</c:v>
                </c:pt>
                <c:pt idx="64">
                  <c:v>-0.31931210091023843</c:v>
                </c:pt>
                <c:pt idx="65">
                  <c:v>-0.1492261636609058</c:v>
                </c:pt>
                <c:pt idx="66">
                  <c:v>0.26916983633909553</c:v>
                </c:pt>
                <c:pt idx="67">
                  <c:v>-0.34003216366090072</c:v>
                </c:pt>
                <c:pt idx="68">
                  <c:v>-0.14104816366090489</c:v>
                </c:pt>
                <c:pt idx="69">
                  <c:v>-0.52025584504551148</c:v>
                </c:pt>
                <c:pt idx="70">
                  <c:v>-0.12698584504551036</c:v>
                </c:pt>
                <c:pt idx="71">
                  <c:v>3.6165035151611846E-3</c:v>
                </c:pt>
                <c:pt idx="72">
                  <c:v>-0.21327749648483518</c:v>
                </c:pt>
                <c:pt idx="73">
                  <c:v>-9.4000759027323966E-3</c:v>
                </c:pt>
                <c:pt idx="74">
                  <c:v>-0.23174504690953057</c:v>
                </c:pt>
                <c:pt idx="75">
                  <c:v>-0.28083007590273468</c:v>
                </c:pt>
                <c:pt idx="76">
                  <c:v>0.15297792409727151</c:v>
                </c:pt>
                <c:pt idx="77">
                  <c:v>-0.22167707590273267</c:v>
                </c:pt>
                <c:pt idx="78">
                  <c:v>0.28228095309046353</c:v>
                </c:pt>
                <c:pt idx="79">
                  <c:v>7.2279953090465199E-2</c:v>
                </c:pt>
                <c:pt idx="80">
                  <c:v>1.5194717858037166E-2</c:v>
                </c:pt>
                <c:pt idx="81">
                  <c:v>-3.7345728340703488E-2</c:v>
                </c:pt>
                <c:pt idx="82">
                  <c:v>1.4270271659299283E-2</c:v>
                </c:pt>
                <c:pt idx="83">
                  <c:v>-7.9154282141963961E-2</c:v>
                </c:pt>
                <c:pt idx="84">
                  <c:v>-5.8449046909537117E-2</c:v>
                </c:pt>
                <c:pt idx="85">
                  <c:v>1.1016717858041147E-2</c:v>
                </c:pt>
                <c:pt idx="86">
                  <c:v>0.18025959558811877</c:v>
                </c:pt>
                <c:pt idx="87">
                  <c:v>0.22529322874551383</c:v>
                </c:pt>
                <c:pt idx="88">
                  <c:v>-0.11671540441188455</c:v>
                </c:pt>
                <c:pt idx="89">
                  <c:v>-0.27147677125448411</c:v>
                </c:pt>
                <c:pt idx="90">
                  <c:v>-0.36144028090351554</c:v>
                </c:pt>
                <c:pt idx="91">
                  <c:v>-3.3491771254489322E-2</c:v>
                </c:pt>
                <c:pt idx="92">
                  <c:v>-0.23670077125449041</c:v>
                </c:pt>
                <c:pt idx="93">
                  <c:v>9.5080874376016311E-2</c:v>
                </c:pt>
                <c:pt idx="94">
                  <c:v>0.23256187437602449</c:v>
                </c:pt>
                <c:pt idx="95">
                  <c:v>-0.30784612562398195</c:v>
                </c:pt>
                <c:pt idx="96">
                  <c:v>-0.20537051237230486</c:v>
                </c:pt>
                <c:pt idx="97">
                  <c:v>-0.19534272063883407</c:v>
                </c:pt>
                <c:pt idx="98">
                  <c:v>-0.31428451237230348</c:v>
                </c:pt>
                <c:pt idx="99">
                  <c:v>-3.1683684348848828E-2</c:v>
                </c:pt>
                <c:pt idx="100">
                  <c:v>0.1184062240843744</c:v>
                </c:pt>
                <c:pt idx="101">
                  <c:v>0.13243477360280309</c:v>
                </c:pt>
                <c:pt idx="102">
                  <c:v>0.14915977360281119</c:v>
                </c:pt>
                <c:pt idx="103">
                  <c:v>-0.40065035310488639</c:v>
                </c:pt>
                <c:pt idx="104">
                  <c:v>-0.11554532773989479</c:v>
                </c:pt>
                <c:pt idx="105">
                  <c:v>-5.4863917449004873E-2</c:v>
                </c:pt>
                <c:pt idx="106">
                  <c:v>-0.49570691744900586</c:v>
                </c:pt>
                <c:pt idx="107">
                  <c:v>9.5065919904364193E-2</c:v>
                </c:pt>
                <c:pt idx="108">
                  <c:v>5.9481674576964849E-2</c:v>
                </c:pt>
                <c:pt idx="109">
                  <c:v>5.822951707604318E-2</c:v>
                </c:pt>
                <c:pt idx="110">
                  <c:v>-5.4275525535800284E-2</c:v>
                </c:pt>
                <c:pt idx="111">
                  <c:v>0.14499500599738724</c:v>
                </c:pt>
                <c:pt idx="112">
                  <c:v>-0.10968832252306981</c:v>
                </c:pt>
                <c:pt idx="113">
                  <c:v>-0.32391779836325441</c:v>
                </c:pt>
                <c:pt idx="114">
                  <c:v>0.17185520163674539</c:v>
                </c:pt>
                <c:pt idx="115">
                  <c:v>-0.11244141047058065</c:v>
                </c:pt>
                <c:pt idx="116">
                  <c:v>-0.34164079836325811</c:v>
                </c:pt>
                <c:pt idx="117">
                  <c:v>-7.8371410470580827E-2</c:v>
                </c:pt>
                <c:pt idx="118">
                  <c:v>-0.10510959583466928</c:v>
                </c:pt>
                <c:pt idx="119">
                  <c:v>0.25416760525388327</c:v>
                </c:pt>
                <c:pt idx="120">
                  <c:v>-0.12622322955736109</c:v>
                </c:pt>
                <c:pt idx="121">
                  <c:v>-0.19319602322896401</c:v>
                </c:pt>
                <c:pt idx="122">
                  <c:v>-6.2594001320682935E-2</c:v>
                </c:pt>
                <c:pt idx="123">
                  <c:v>-0.22437100132068366</c:v>
                </c:pt>
                <c:pt idx="124">
                  <c:v>-0.1275879699448268</c:v>
                </c:pt>
                <c:pt idx="125">
                  <c:v>-0.15191510155403165</c:v>
                </c:pt>
                <c:pt idx="126">
                  <c:v>-0.24378290592527208</c:v>
                </c:pt>
                <c:pt idx="127">
                  <c:v>-5.3542606541910231E-2</c:v>
                </c:pt>
                <c:pt idx="128">
                  <c:v>-4.8220606541917732E-2</c:v>
                </c:pt>
                <c:pt idx="129">
                  <c:v>-0.30288447468909396</c:v>
                </c:pt>
                <c:pt idx="130">
                  <c:v>-0.17161135415797446</c:v>
                </c:pt>
                <c:pt idx="131">
                  <c:v>2.7962745604085626E-2</c:v>
                </c:pt>
                <c:pt idx="132">
                  <c:v>0.16716558496111844</c:v>
                </c:pt>
                <c:pt idx="133">
                  <c:v>0.14065208841942933</c:v>
                </c:pt>
                <c:pt idx="134">
                  <c:v>2.8475293287186787E-3</c:v>
                </c:pt>
                <c:pt idx="135">
                  <c:v>-0.12329475255641853</c:v>
                </c:pt>
                <c:pt idx="136">
                  <c:v>-6.8812143769939382E-2</c:v>
                </c:pt>
                <c:pt idx="137">
                  <c:v>-0.30938032439505037</c:v>
                </c:pt>
                <c:pt idx="138">
                  <c:v>-0.11521544031893427</c:v>
                </c:pt>
                <c:pt idx="139">
                  <c:v>-1.2736288273842433E-2</c:v>
                </c:pt>
                <c:pt idx="140">
                  <c:v>5.4446711726143349E-2</c:v>
                </c:pt>
                <c:pt idx="141">
                  <c:v>-0.20851187369015634</c:v>
                </c:pt>
                <c:pt idx="142">
                  <c:v>-0.15924160384129493</c:v>
                </c:pt>
                <c:pt idx="143">
                  <c:v>-0.2328480967055313</c:v>
                </c:pt>
                <c:pt idx="144">
                  <c:v>-0.2846588301022166</c:v>
                </c:pt>
                <c:pt idx="145">
                  <c:v>0.17613416989778585</c:v>
                </c:pt>
                <c:pt idx="146">
                  <c:v>-0.16094035243719418</c:v>
                </c:pt>
                <c:pt idx="147">
                  <c:v>-2.9762352437195716E-2</c:v>
                </c:pt>
                <c:pt idx="148">
                  <c:v>-0.12896683029531175</c:v>
                </c:pt>
                <c:pt idx="149">
                  <c:v>0.10025835272600148</c:v>
                </c:pt>
                <c:pt idx="150">
                  <c:v>-0.17044340941059488</c:v>
                </c:pt>
                <c:pt idx="151">
                  <c:v>0.20567259058940124</c:v>
                </c:pt>
                <c:pt idx="152">
                  <c:v>-1.9997500491591325E-2</c:v>
                </c:pt>
                <c:pt idx="153">
                  <c:v>-0.2119644097886777</c:v>
                </c:pt>
                <c:pt idx="154">
                  <c:v>-0.2059382479659746</c:v>
                </c:pt>
                <c:pt idx="155">
                  <c:v>-0.35803613324288364</c:v>
                </c:pt>
                <c:pt idx="156">
                  <c:v>-0.18539171277742383</c:v>
                </c:pt>
                <c:pt idx="157">
                  <c:v>0.24621081284877278</c:v>
                </c:pt>
                <c:pt idx="158">
                  <c:v>-9.3881056708674748E-2</c:v>
                </c:pt>
                <c:pt idx="159">
                  <c:v>-0.14960989556421112</c:v>
                </c:pt>
                <c:pt idx="160">
                  <c:v>-2.9076138361588733E-2</c:v>
                </c:pt>
                <c:pt idx="161">
                  <c:v>0.34819510251174535</c:v>
                </c:pt>
                <c:pt idx="162">
                  <c:v>-0.15212390286461641</c:v>
                </c:pt>
                <c:pt idx="163">
                  <c:v>1.3730971353780319E-3</c:v>
                </c:pt>
                <c:pt idx="164">
                  <c:v>-0.27215136159071562</c:v>
                </c:pt>
                <c:pt idx="165">
                  <c:v>7.0008674836692819E-2</c:v>
                </c:pt>
                <c:pt idx="166">
                  <c:v>-4.4828325163308591E-2</c:v>
                </c:pt>
                <c:pt idx="167">
                  <c:v>-8.5396055558106809E-2</c:v>
                </c:pt>
                <c:pt idx="168">
                  <c:v>-5.6623580611883995E-2</c:v>
                </c:pt>
                <c:pt idx="169">
                  <c:v>-6.4977105870823948E-2</c:v>
                </c:pt>
                <c:pt idx="170">
                  <c:v>-7.7303624193618248E-2</c:v>
                </c:pt>
                <c:pt idx="171">
                  <c:v>0.10914752665242133</c:v>
                </c:pt>
                <c:pt idx="172">
                  <c:v>0.21801153051861633</c:v>
                </c:pt>
                <c:pt idx="173">
                  <c:v>7.6696519267315466E-2</c:v>
                </c:pt>
                <c:pt idx="174">
                  <c:v>-8.0486189184398427E-2</c:v>
                </c:pt>
                <c:pt idx="175">
                  <c:v>-5.3888968690195327E-2</c:v>
                </c:pt>
                <c:pt idx="176">
                  <c:v>3.7038852345233408E-2</c:v>
                </c:pt>
                <c:pt idx="177">
                  <c:v>-0.2225316589764148</c:v>
                </c:pt>
                <c:pt idx="178">
                  <c:v>-0.15090382023488047</c:v>
                </c:pt>
                <c:pt idx="179">
                  <c:v>-0.15835208607324347</c:v>
                </c:pt>
                <c:pt idx="180">
                  <c:v>0.12447903683484185</c:v>
                </c:pt>
                <c:pt idx="181">
                  <c:v>0.37102493121377478</c:v>
                </c:pt>
                <c:pt idx="182">
                  <c:v>-0.11384345947708141</c:v>
                </c:pt>
                <c:pt idx="183">
                  <c:v>-1.3491459477080525E-2</c:v>
                </c:pt>
                <c:pt idx="184">
                  <c:v>-2.6269553576199201E-2</c:v>
                </c:pt>
                <c:pt idx="185">
                  <c:v>-0.13089029038876987</c:v>
                </c:pt>
                <c:pt idx="186">
                  <c:v>-0.4065976388916468</c:v>
                </c:pt>
                <c:pt idx="187">
                  <c:v>-0.30876932062935225</c:v>
                </c:pt>
                <c:pt idx="188">
                  <c:v>8.6813144149921584E-2</c:v>
                </c:pt>
                <c:pt idx="189">
                  <c:v>-0.2679263861882788</c:v>
                </c:pt>
                <c:pt idx="190">
                  <c:v>3.0751613811723644E-2</c:v>
                </c:pt>
                <c:pt idx="191">
                  <c:v>0.10681645078568636</c:v>
                </c:pt>
                <c:pt idx="192">
                  <c:v>4.6488714272143739E-2</c:v>
                </c:pt>
                <c:pt idx="193">
                  <c:v>-2.0928705753107124E-3</c:v>
                </c:pt>
                <c:pt idx="194">
                  <c:v>-0.16280557536735785</c:v>
                </c:pt>
                <c:pt idx="195">
                  <c:v>-3.7392078042074672E-2</c:v>
                </c:pt>
                <c:pt idx="196">
                  <c:v>5.4590084237723602E-2</c:v>
                </c:pt>
                <c:pt idx="197">
                  <c:v>-3.7467184688381394E-2</c:v>
                </c:pt>
                <c:pt idx="198">
                  <c:v>-8.7295184688386485E-2</c:v>
                </c:pt>
                <c:pt idx="199">
                  <c:v>0.10755881531162004</c:v>
                </c:pt>
                <c:pt idx="200">
                  <c:v>2.8782903463259402E-2</c:v>
                </c:pt>
                <c:pt idx="201">
                  <c:v>0.10985190346325879</c:v>
                </c:pt>
                <c:pt idx="202">
                  <c:v>-7.0579593796423978E-2</c:v>
                </c:pt>
                <c:pt idx="203">
                  <c:v>-0.24551059379642481</c:v>
                </c:pt>
                <c:pt idx="204">
                  <c:v>0.15778916615640526</c:v>
                </c:pt>
                <c:pt idx="205">
                  <c:v>-0.13277983384358549</c:v>
                </c:pt>
                <c:pt idx="206">
                  <c:v>-7.4478648952123194E-2</c:v>
                </c:pt>
                <c:pt idx="207">
                  <c:v>-9.5335855112793411E-2</c:v>
                </c:pt>
                <c:pt idx="208">
                  <c:v>-0.26790400795373159</c:v>
                </c:pt>
                <c:pt idx="209">
                  <c:v>0.17590969011731517</c:v>
                </c:pt>
                <c:pt idx="210">
                  <c:v>0.10729136170720466</c:v>
                </c:pt>
                <c:pt idx="211">
                  <c:v>0.16101066455555468</c:v>
                </c:pt>
                <c:pt idx="212">
                  <c:v>-0.23601578469439488</c:v>
                </c:pt>
                <c:pt idx="213">
                  <c:v>0.22486547834518689</c:v>
                </c:pt>
                <c:pt idx="214">
                  <c:v>9.7082002363798381E-2</c:v>
                </c:pt>
                <c:pt idx="215">
                  <c:v>-0.17421657865926932</c:v>
                </c:pt>
                <c:pt idx="216">
                  <c:v>-0.10473283424257573</c:v>
                </c:pt>
                <c:pt idx="217">
                  <c:v>-7.1133723389145587E-2</c:v>
                </c:pt>
                <c:pt idx="218">
                  <c:v>4.094460040208503E-2</c:v>
                </c:pt>
                <c:pt idx="219">
                  <c:v>0.27202560040208823</c:v>
                </c:pt>
                <c:pt idx="220">
                  <c:v>-7.0038916334091539E-2</c:v>
                </c:pt>
                <c:pt idx="221">
                  <c:v>0.29913445546632289</c:v>
                </c:pt>
                <c:pt idx="222">
                  <c:v>1.0645455466324449E-2</c:v>
                </c:pt>
                <c:pt idx="223">
                  <c:v>-0.10578216175085231</c:v>
                </c:pt>
                <c:pt idx="224">
                  <c:v>-3.2074425559102338E-2</c:v>
                </c:pt>
                <c:pt idx="225">
                  <c:v>7.6599348063538741E-2</c:v>
                </c:pt>
                <c:pt idx="226">
                  <c:v>-0.22755658217376151</c:v>
                </c:pt>
                <c:pt idx="227">
                  <c:v>-0.2062066806013263</c:v>
                </c:pt>
                <c:pt idx="228">
                  <c:v>-7.6937847050103869E-2</c:v>
                </c:pt>
                <c:pt idx="229">
                  <c:v>-0.1431761583292257</c:v>
                </c:pt>
                <c:pt idx="230">
                  <c:v>3.6049841670774185E-2</c:v>
                </c:pt>
                <c:pt idx="231">
                  <c:v>0.26156622707904376</c:v>
                </c:pt>
                <c:pt idx="232">
                  <c:v>-2.9714086196150902E-2</c:v>
                </c:pt>
                <c:pt idx="233">
                  <c:v>0.24874691380384917</c:v>
                </c:pt>
                <c:pt idx="234">
                  <c:v>-0.14462162121234456</c:v>
                </c:pt>
                <c:pt idx="235">
                  <c:v>0.34816337878765324</c:v>
                </c:pt>
                <c:pt idx="236">
                  <c:v>7.2054792317899796E-2</c:v>
                </c:pt>
                <c:pt idx="237">
                  <c:v>6.4664476523574876E-3</c:v>
                </c:pt>
                <c:pt idx="238">
                  <c:v>-1.9116274582650306E-2</c:v>
                </c:pt>
                <c:pt idx="239">
                  <c:v>-2.3988847491054344E-2</c:v>
                </c:pt>
                <c:pt idx="240">
                  <c:v>8.0299363803952417E-2</c:v>
                </c:pt>
                <c:pt idx="241">
                  <c:v>0.14276636380395757</c:v>
                </c:pt>
                <c:pt idx="242">
                  <c:v>5.7630405588888323E-2</c:v>
                </c:pt>
                <c:pt idx="243">
                  <c:v>6.0265079523524889E-2</c:v>
                </c:pt>
                <c:pt idx="244">
                  <c:v>4.7744298853352518E-2</c:v>
                </c:pt>
                <c:pt idx="245">
                  <c:v>0.21066597751486427</c:v>
                </c:pt>
                <c:pt idx="246">
                  <c:v>0.18455137198979799</c:v>
                </c:pt>
                <c:pt idx="247">
                  <c:v>-0.24681216259146765</c:v>
                </c:pt>
                <c:pt idx="248">
                  <c:v>-0.40864870927438801</c:v>
                </c:pt>
                <c:pt idx="249">
                  <c:v>0.11466720422790644</c:v>
                </c:pt>
                <c:pt idx="250">
                  <c:v>2.574481341426349E-2</c:v>
                </c:pt>
                <c:pt idx="251">
                  <c:v>0.2185570837869335</c:v>
                </c:pt>
                <c:pt idx="252">
                  <c:v>0.34229104973069724</c:v>
                </c:pt>
                <c:pt idx="253">
                  <c:v>3.8058005390560368E-2</c:v>
                </c:pt>
                <c:pt idx="254">
                  <c:v>3.2507124231031526E-2</c:v>
                </c:pt>
                <c:pt idx="255">
                  <c:v>-0.14011514241246203</c:v>
                </c:pt>
                <c:pt idx="256">
                  <c:v>0.22732338134592567</c:v>
                </c:pt>
                <c:pt idx="257">
                  <c:v>-0.23719302034123046</c:v>
                </c:pt>
                <c:pt idx="258">
                  <c:v>0.17908577261670189</c:v>
                </c:pt>
                <c:pt idx="259">
                  <c:v>-4.2379830714601496E-2</c:v>
                </c:pt>
                <c:pt idx="260">
                  <c:v>-9.5397247944234209E-2</c:v>
                </c:pt>
                <c:pt idx="261">
                  <c:v>0.16613978103718097</c:v>
                </c:pt>
                <c:pt idx="262">
                  <c:v>-8.5619218962811772E-2</c:v>
                </c:pt>
                <c:pt idx="263">
                  <c:v>6.8348424906467642E-2</c:v>
                </c:pt>
                <c:pt idx="264">
                  <c:v>-6.989026573549495E-3</c:v>
                </c:pt>
                <c:pt idx="265">
                  <c:v>-0.21463508366271355</c:v>
                </c:pt>
                <c:pt idx="266">
                  <c:v>-0.23979550645032788</c:v>
                </c:pt>
                <c:pt idx="267">
                  <c:v>0.20912949354966059</c:v>
                </c:pt>
                <c:pt idx="268">
                  <c:v>0.4667683651905179</c:v>
                </c:pt>
                <c:pt idx="269">
                  <c:v>0.3235089345342459</c:v>
                </c:pt>
                <c:pt idx="270">
                  <c:v>-0.12630506546575759</c:v>
                </c:pt>
                <c:pt idx="271">
                  <c:v>0.27844393453424487</c:v>
                </c:pt>
                <c:pt idx="272">
                  <c:v>0.31807442056143742</c:v>
                </c:pt>
                <c:pt idx="273">
                  <c:v>0.12386848213530044</c:v>
                </c:pt>
                <c:pt idx="274">
                  <c:v>-0.18563867156278491</c:v>
                </c:pt>
                <c:pt idx="275">
                  <c:v>6.0874771933740135E-2</c:v>
                </c:pt>
                <c:pt idx="276">
                  <c:v>1.7829124930131002E-2</c:v>
                </c:pt>
                <c:pt idx="277">
                  <c:v>0.16957768661410455</c:v>
                </c:pt>
                <c:pt idx="278">
                  <c:v>0.12986651992928699</c:v>
                </c:pt>
                <c:pt idx="279">
                  <c:v>0.14796451992928183</c:v>
                </c:pt>
                <c:pt idx="280">
                  <c:v>-6.5905109158407527E-2</c:v>
                </c:pt>
                <c:pt idx="281">
                  <c:v>-7.6230672333309712E-2</c:v>
                </c:pt>
                <c:pt idx="282">
                  <c:v>0.16657212210503758</c:v>
                </c:pt>
                <c:pt idx="283">
                  <c:v>0.18197510894324864</c:v>
                </c:pt>
                <c:pt idx="284">
                  <c:v>0.11303076921753785</c:v>
                </c:pt>
                <c:pt idx="285">
                  <c:v>-1.0421230782469593E-2</c:v>
                </c:pt>
                <c:pt idx="286">
                  <c:v>-6.9542199094691171E-2</c:v>
                </c:pt>
                <c:pt idx="287">
                  <c:v>6.4321310589726011E-2</c:v>
                </c:pt>
                <c:pt idx="288">
                  <c:v>9.9426765656609462E-2</c:v>
                </c:pt>
                <c:pt idx="289">
                  <c:v>-4.5748701451998386E-2</c:v>
                </c:pt>
                <c:pt idx="290">
                  <c:v>3.0506504238019261E-3</c:v>
                </c:pt>
                <c:pt idx="291">
                  <c:v>-5.2122898815099461E-2</c:v>
                </c:pt>
                <c:pt idx="292">
                  <c:v>-0.1385046492374542</c:v>
                </c:pt>
                <c:pt idx="293">
                  <c:v>8.6267701767532401E-2</c:v>
                </c:pt>
                <c:pt idx="294">
                  <c:v>-0.31883990449751565</c:v>
                </c:pt>
                <c:pt idx="295">
                  <c:v>-7.6399491355836346E-2</c:v>
                </c:pt>
                <c:pt idx="296">
                  <c:v>0.19124550864415824</c:v>
                </c:pt>
                <c:pt idx="297">
                  <c:v>6.3681508644158669E-2</c:v>
                </c:pt>
                <c:pt idx="298">
                  <c:v>0.17654894571498403</c:v>
                </c:pt>
                <c:pt idx="299">
                  <c:v>-3.1393168588678577E-2</c:v>
                </c:pt>
                <c:pt idx="300">
                  <c:v>0.34672783141131447</c:v>
                </c:pt>
                <c:pt idx="301">
                  <c:v>0.1906492982239314</c:v>
                </c:pt>
                <c:pt idx="302">
                  <c:v>-5.1748552701049277E-2</c:v>
                </c:pt>
                <c:pt idx="303">
                  <c:v>-0.12624895155942539</c:v>
                </c:pt>
                <c:pt idx="304">
                  <c:v>0.15252374239211974</c:v>
                </c:pt>
                <c:pt idx="305">
                  <c:v>0.23885894221051274</c:v>
                </c:pt>
                <c:pt idx="306">
                  <c:v>-0.15154362633359142</c:v>
                </c:pt>
                <c:pt idx="307">
                  <c:v>0.29014125888473075</c:v>
                </c:pt>
                <c:pt idx="308">
                  <c:v>-7.3275741115267579E-2</c:v>
                </c:pt>
                <c:pt idx="309">
                  <c:v>8.0352588847318884E-3</c:v>
                </c:pt>
                <c:pt idx="310">
                  <c:v>0.19479600224966021</c:v>
                </c:pt>
                <c:pt idx="311">
                  <c:v>0.11439455644124052</c:v>
                </c:pt>
                <c:pt idx="312">
                  <c:v>9.9521205625428877E-2</c:v>
                </c:pt>
                <c:pt idx="313">
                  <c:v>0.27516120562543023</c:v>
                </c:pt>
                <c:pt idx="314">
                  <c:v>0.33726320562544032</c:v>
                </c:pt>
                <c:pt idx="315">
                  <c:v>0.21366513522578856</c:v>
                </c:pt>
                <c:pt idx="316">
                  <c:v>0.14477342385733039</c:v>
                </c:pt>
                <c:pt idx="317">
                  <c:v>-0.13572972775133962</c:v>
                </c:pt>
                <c:pt idx="318">
                  <c:v>0.10534927224865953</c:v>
                </c:pt>
                <c:pt idx="319">
                  <c:v>-0.15933673297468687</c:v>
                </c:pt>
                <c:pt idx="320">
                  <c:v>8.0356706311626169E-2</c:v>
                </c:pt>
                <c:pt idx="321">
                  <c:v>0.48062571286629918</c:v>
                </c:pt>
                <c:pt idx="322">
                  <c:v>0.22195394852894879</c:v>
                </c:pt>
                <c:pt idx="323">
                  <c:v>-4.2720886866298713E-2</c:v>
                </c:pt>
                <c:pt idx="324">
                  <c:v>0.34960211313369882</c:v>
                </c:pt>
                <c:pt idx="325">
                  <c:v>-4.9254303402605615E-2</c:v>
                </c:pt>
                <c:pt idx="326">
                  <c:v>0.43644797075512543</c:v>
                </c:pt>
                <c:pt idx="327">
                  <c:v>0.1820278251565739</c:v>
                </c:pt>
                <c:pt idx="328">
                  <c:v>9.7506068049682426E-2</c:v>
                </c:pt>
                <c:pt idx="329">
                  <c:v>0.13048106804967574</c:v>
                </c:pt>
                <c:pt idx="330">
                  <c:v>-3.5628973252144647E-2</c:v>
                </c:pt>
                <c:pt idx="331">
                  <c:v>-0.10691458658169495</c:v>
                </c:pt>
                <c:pt idx="332">
                  <c:v>-0.14087889518352625</c:v>
                </c:pt>
                <c:pt idx="333">
                  <c:v>0.10790839286383402</c:v>
                </c:pt>
                <c:pt idx="334">
                  <c:v>0.14759143439356137</c:v>
                </c:pt>
                <c:pt idx="335">
                  <c:v>7.3885024111135067E-2</c:v>
                </c:pt>
                <c:pt idx="336">
                  <c:v>0.23159465584661376</c:v>
                </c:pt>
                <c:pt idx="337">
                  <c:v>5.3531655846612125E-2</c:v>
                </c:pt>
                <c:pt idx="338">
                  <c:v>8.8486265517516927E-2</c:v>
                </c:pt>
                <c:pt idx="339">
                  <c:v>0.18282526551751488</c:v>
                </c:pt>
                <c:pt idx="340">
                  <c:v>0.12849643896985441</c:v>
                </c:pt>
                <c:pt idx="341">
                  <c:v>2.8177969335239084E-2</c:v>
                </c:pt>
                <c:pt idx="342">
                  <c:v>2.4329075728630301E-2</c:v>
                </c:pt>
                <c:pt idx="343">
                  <c:v>0.22039522753308205</c:v>
                </c:pt>
                <c:pt idx="344">
                  <c:v>0.20144406923620295</c:v>
                </c:pt>
                <c:pt idx="345">
                  <c:v>0.37546534760367933</c:v>
                </c:pt>
                <c:pt idx="346">
                  <c:v>9.6508129638827711E-2</c:v>
                </c:pt>
                <c:pt idx="347">
                  <c:v>0.26123939672828556</c:v>
                </c:pt>
                <c:pt idx="348">
                  <c:v>0.32396536557784117</c:v>
                </c:pt>
                <c:pt idx="349">
                  <c:v>8.6980554912777563E-2</c:v>
                </c:pt>
                <c:pt idx="350">
                  <c:v>3.2623554912774466E-2</c:v>
                </c:pt>
                <c:pt idx="351">
                  <c:v>0.39788344362310113</c:v>
                </c:pt>
                <c:pt idx="352">
                  <c:v>0.62833131567932554</c:v>
                </c:pt>
                <c:pt idx="353">
                  <c:v>4.3984781364329706E-2</c:v>
                </c:pt>
                <c:pt idx="354">
                  <c:v>0.29122214548766578</c:v>
                </c:pt>
                <c:pt idx="355">
                  <c:v>0.16355514548766337</c:v>
                </c:pt>
                <c:pt idx="356">
                  <c:v>0.14596814548765735</c:v>
                </c:pt>
                <c:pt idx="357">
                  <c:v>5.8756394696494851E-2</c:v>
                </c:pt>
                <c:pt idx="358">
                  <c:v>5.5991394696498276E-2</c:v>
                </c:pt>
                <c:pt idx="359">
                  <c:v>7.8375156935663881E-3</c:v>
                </c:pt>
                <c:pt idx="360">
                  <c:v>0.29364149523688354</c:v>
                </c:pt>
                <c:pt idx="361">
                  <c:v>0.20889147038036526</c:v>
                </c:pt>
                <c:pt idx="362">
                  <c:v>0.11864437495014357</c:v>
                </c:pt>
                <c:pt idx="363">
                  <c:v>6.565393513227491E-2</c:v>
                </c:pt>
                <c:pt idx="364">
                  <c:v>-1.3621834680776601E-2</c:v>
                </c:pt>
                <c:pt idx="365">
                  <c:v>0.34950701255558414</c:v>
                </c:pt>
                <c:pt idx="366">
                  <c:v>0.10141513481725184</c:v>
                </c:pt>
                <c:pt idx="367">
                  <c:v>0.17076907923104301</c:v>
                </c:pt>
                <c:pt idx="368">
                  <c:v>0.50912776300425833</c:v>
                </c:pt>
                <c:pt idx="369">
                  <c:v>-7.4453236995751126E-2</c:v>
                </c:pt>
                <c:pt idx="370">
                  <c:v>0.13670960334345494</c:v>
                </c:pt>
                <c:pt idx="371">
                  <c:v>0.1207369175330868</c:v>
                </c:pt>
                <c:pt idx="372">
                  <c:v>0.19571369394719085</c:v>
                </c:pt>
                <c:pt idx="373">
                  <c:v>-9.8470789940918735E-3</c:v>
                </c:pt>
                <c:pt idx="374">
                  <c:v>0.42390158717525139</c:v>
                </c:pt>
                <c:pt idx="375">
                  <c:v>0.54514410568944527</c:v>
                </c:pt>
                <c:pt idx="376">
                  <c:v>0.19689510416948508</c:v>
                </c:pt>
                <c:pt idx="377">
                  <c:v>-7.7311413883187186E-2</c:v>
                </c:pt>
                <c:pt idx="378">
                  <c:v>1.5583355368477214E-2</c:v>
                </c:pt>
                <c:pt idx="379">
                  <c:v>-7.3521959583274565E-2</c:v>
                </c:pt>
                <c:pt idx="380">
                  <c:v>-0.29762533183427564</c:v>
                </c:pt>
                <c:pt idx="381">
                  <c:v>0.49695666247686887</c:v>
                </c:pt>
                <c:pt idx="382">
                  <c:v>8.3943757207407543E-2</c:v>
                </c:pt>
                <c:pt idx="383">
                  <c:v>4.0119241506758385E-2</c:v>
                </c:pt>
                <c:pt idx="384">
                  <c:v>0.10319124150675663</c:v>
                </c:pt>
                <c:pt idx="385">
                  <c:v>-5.2266950330732698E-3</c:v>
                </c:pt>
                <c:pt idx="386">
                  <c:v>9.4749304966924797E-2</c:v>
                </c:pt>
                <c:pt idx="387">
                  <c:v>0.1864996661510645</c:v>
                </c:pt>
                <c:pt idx="388">
                  <c:v>0.10174136008141943</c:v>
                </c:pt>
                <c:pt idx="389">
                  <c:v>0.31311615703614848</c:v>
                </c:pt>
                <c:pt idx="390">
                  <c:v>0.43960804682748744</c:v>
                </c:pt>
                <c:pt idx="391">
                  <c:v>0.23934501930617813</c:v>
                </c:pt>
                <c:pt idx="392">
                  <c:v>0.24382676946173376</c:v>
                </c:pt>
                <c:pt idx="393">
                  <c:v>0.14133057054394982</c:v>
                </c:pt>
                <c:pt idx="394">
                  <c:v>1.3781536671693573E-2</c:v>
                </c:pt>
                <c:pt idx="395">
                  <c:v>0.15052896736499122</c:v>
                </c:pt>
                <c:pt idx="396">
                  <c:v>-0.27060521130527349</c:v>
                </c:pt>
                <c:pt idx="397">
                  <c:v>-0.23545317210977856</c:v>
                </c:pt>
                <c:pt idx="398">
                  <c:v>0.43810382789022384</c:v>
                </c:pt>
                <c:pt idx="399">
                  <c:v>5.3482026568559604E-2</c:v>
                </c:pt>
                <c:pt idx="400">
                  <c:v>-0.10913097343144784</c:v>
                </c:pt>
                <c:pt idx="401">
                  <c:v>0.11688771437457035</c:v>
                </c:pt>
                <c:pt idx="402">
                  <c:v>0.64342176244160498</c:v>
                </c:pt>
                <c:pt idx="403">
                  <c:v>4.1977624416063009E-3</c:v>
                </c:pt>
                <c:pt idx="404">
                  <c:v>0.10347083706651716</c:v>
                </c:pt>
                <c:pt idx="405">
                  <c:v>0.37655104403350492</c:v>
                </c:pt>
                <c:pt idx="406">
                  <c:v>0.13372844738199774</c:v>
                </c:pt>
                <c:pt idx="407">
                  <c:v>-6.6941528591769384E-2</c:v>
                </c:pt>
                <c:pt idx="408">
                  <c:v>0.36628822786187953</c:v>
                </c:pt>
                <c:pt idx="409">
                  <c:v>0.15658639874431657</c:v>
                </c:pt>
                <c:pt idx="410">
                  <c:v>0.39327539874431494</c:v>
                </c:pt>
                <c:pt idx="411">
                  <c:v>0.12787349268931791</c:v>
                </c:pt>
                <c:pt idx="412">
                  <c:v>7.9289643950779976E-2</c:v>
                </c:pt>
                <c:pt idx="413">
                  <c:v>0.20228264395078099</c:v>
                </c:pt>
                <c:pt idx="414">
                  <c:v>4.9428653348115859E-4</c:v>
                </c:pt>
                <c:pt idx="415">
                  <c:v>-9.0404087189753568E-2</c:v>
                </c:pt>
                <c:pt idx="416">
                  <c:v>-0.26080808718975845</c:v>
                </c:pt>
                <c:pt idx="417">
                  <c:v>5.620716111139501E-2</c:v>
                </c:pt>
                <c:pt idx="418">
                  <c:v>6.6023161111395723E-2</c:v>
                </c:pt>
                <c:pt idx="419">
                  <c:v>6.6574161111397245E-2</c:v>
                </c:pt>
                <c:pt idx="420">
                  <c:v>5.6588551168523793E-2</c:v>
                </c:pt>
                <c:pt idx="421">
                  <c:v>-0.26706068000683558</c:v>
                </c:pt>
                <c:pt idx="422">
                  <c:v>0.28478431999316456</c:v>
                </c:pt>
                <c:pt idx="423">
                  <c:v>5.2273319993169309E-2</c:v>
                </c:pt>
                <c:pt idx="424">
                  <c:v>0.47789054512481499</c:v>
                </c:pt>
                <c:pt idx="425">
                  <c:v>0.20311840482286669</c:v>
                </c:pt>
                <c:pt idx="426">
                  <c:v>-9.4195595177133384E-2</c:v>
                </c:pt>
                <c:pt idx="427">
                  <c:v>7.5770881281371771E-2</c:v>
                </c:pt>
                <c:pt idx="428">
                  <c:v>0.43031431954975119</c:v>
                </c:pt>
                <c:pt idx="429">
                  <c:v>0.108682963382293</c:v>
                </c:pt>
                <c:pt idx="430">
                  <c:v>0.22236629134732766</c:v>
                </c:pt>
                <c:pt idx="431">
                  <c:v>0.14522442559909621</c:v>
                </c:pt>
                <c:pt idx="432">
                  <c:v>-1.9744073920861638E-2</c:v>
                </c:pt>
                <c:pt idx="433">
                  <c:v>0.23628623644617619</c:v>
                </c:pt>
                <c:pt idx="434">
                  <c:v>0.48095727874081717</c:v>
                </c:pt>
                <c:pt idx="435">
                  <c:v>0.22033756527508785</c:v>
                </c:pt>
                <c:pt idx="436">
                  <c:v>0.19516910865195314</c:v>
                </c:pt>
                <c:pt idx="437">
                  <c:v>7.753610865195526E-2</c:v>
                </c:pt>
                <c:pt idx="438">
                  <c:v>0.17473877847498898</c:v>
                </c:pt>
                <c:pt idx="439">
                  <c:v>0.25299349982459063</c:v>
                </c:pt>
                <c:pt idx="440">
                  <c:v>0.16529494561737579</c:v>
                </c:pt>
                <c:pt idx="441">
                  <c:v>0.43063694561737975</c:v>
                </c:pt>
                <c:pt idx="442">
                  <c:v>0.36765994930632218</c:v>
                </c:pt>
                <c:pt idx="443">
                  <c:v>-2.3104241563693506E-2</c:v>
                </c:pt>
                <c:pt idx="444">
                  <c:v>0.14352737932314596</c:v>
                </c:pt>
                <c:pt idx="445">
                  <c:v>0.15719937932314565</c:v>
                </c:pt>
                <c:pt idx="446">
                  <c:v>-0.2298912633102006</c:v>
                </c:pt>
                <c:pt idx="447">
                  <c:v>4.157812828937324E-2</c:v>
                </c:pt>
                <c:pt idx="448">
                  <c:v>0.18891412828936893</c:v>
                </c:pt>
                <c:pt idx="449">
                  <c:v>-8.5911835030145767E-2</c:v>
                </c:pt>
                <c:pt idx="450">
                  <c:v>0.50543216496984655</c:v>
                </c:pt>
                <c:pt idx="451">
                  <c:v>0.71518726192022797</c:v>
                </c:pt>
                <c:pt idx="452">
                  <c:v>0.74216257610225256</c:v>
                </c:pt>
                <c:pt idx="453">
                  <c:v>0.17019840367314032</c:v>
                </c:pt>
                <c:pt idx="454">
                  <c:v>7.7918597226059205E-2</c:v>
                </c:pt>
                <c:pt idx="455">
                  <c:v>0.41794323827850377</c:v>
                </c:pt>
                <c:pt idx="456">
                  <c:v>0.255091100998591</c:v>
                </c:pt>
                <c:pt idx="457">
                  <c:v>0.12387814833000732</c:v>
                </c:pt>
                <c:pt idx="458">
                  <c:v>4.1402426933785819E-2</c:v>
                </c:pt>
                <c:pt idx="459">
                  <c:v>0.53632459781901076</c:v>
                </c:pt>
                <c:pt idx="460">
                  <c:v>0.47530645360893686</c:v>
                </c:pt>
                <c:pt idx="461">
                  <c:v>0.35209214039842607</c:v>
                </c:pt>
                <c:pt idx="462">
                  <c:v>3.9134140398431327E-2</c:v>
                </c:pt>
                <c:pt idx="463">
                  <c:v>-2.1458129948129567E-2</c:v>
                </c:pt>
                <c:pt idx="464">
                  <c:v>0.26332383589366515</c:v>
                </c:pt>
                <c:pt idx="465">
                  <c:v>0.19725568375292823</c:v>
                </c:pt>
                <c:pt idx="466">
                  <c:v>-0.1791787514068659</c:v>
                </c:pt>
                <c:pt idx="467">
                  <c:v>0.53630187087309622</c:v>
                </c:pt>
                <c:pt idx="468">
                  <c:v>0.31924840040741742</c:v>
                </c:pt>
                <c:pt idx="469">
                  <c:v>0.23343588942266535</c:v>
                </c:pt>
                <c:pt idx="470">
                  <c:v>0.11403918683845404</c:v>
                </c:pt>
                <c:pt idx="471">
                  <c:v>3.8132116659625126E-2</c:v>
                </c:pt>
                <c:pt idx="472">
                  <c:v>0.37967943634969714</c:v>
                </c:pt>
                <c:pt idx="473">
                  <c:v>-0.13645994748819135</c:v>
                </c:pt>
                <c:pt idx="474">
                  <c:v>-0.20693716610868762</c:v>
                </c:pt>
                <c:pt idx="475">
                  <c:v>-0.13667422454425093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52F-97AE-2FE788B51A0E}"/>
            </c:ext>
          </c:extLst>
        </c:ser>
        <c:ser>
          <c:idx val="1"/>
          <c:order val="1"/>
          <c:tx>
            <c:v>LCDMError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Data'!$U$7:$U$482</c:f>
              <c:numCache>
                <c:formatCode>0.00</c:formatCode>
                <c:ptCount val="476"/>
                <c:pt idx="0">
                  <c:v>0.34007855775928419</c:v>
                </c:pt>
                <c:pt idx="1">
                  <c:v>0.22340655775928298</c:v>
                </c:pt>
                <c:pt idx="2">
                  <c:v>0.20119509633283883</c:v>
                </c:pt>
                <c:pt idx="3">
                  <c:v>0.52248209633284404</c:v>
                </c:pt>
                <c:pt idx="4">
                  <c:v>0.30131509633284281</c:v>
                </c:pt>
                <c:pt idx="5">
                  <c:v>0.92390069648488549</c:v>
                </c:pt>
                <c:pt idx="6">
                  <c:v>0.31020900527171591</c:v>
                </c:pt>
                <c:pt idx="7">
                  <c:v>0.51204485924292698</c:v>
                </c:pt>
                <c:pt idx="8">
                  <c:v>8.4444439202677302E-2</c:v>
                </c:pt>
                <c:pt idx="9">
                  <c:v>0.42110085924292662</c:v>
                </c:pt>
                <c:pt idx="10">
                  <c:v>0.39206085924292466</c:v>
                </c:pt>
                <c:pt idx="11">
                  <c:v>0.51254443920267079</c:v>
                </c:pt>
                <c:pt idx="12">
                  <c:v>-0.27727714075707155</c:v>
                </c:pt>
                <c:pt idx="13">
                  <c:v>0.14847393935251318</c:v>
                </c:pt>
                <c:pt idx="14">
                  <c:v>0.29861485924292452</c:v>
                </c:pt>
                <c:pt idx="15">
                  <c:v>0.27208485924292347</c:v>
                </c:pt>
                <c:pt idx="16">
                  <c:v>0.4504514392026735</c:v>
                </c:pt>
                <c:pt idx="17">
                  <c:v>0.1438288592429231</c:v>
                </c:pt>
                <c:pt idx="18">
                  <c:v>-0.22585906064749395</c:v>
                </c:pt>
                <c:pt idx="19">
                  <c:v>0.32313643920267765</c:v>
                </c:pt>
                <c:pt idx="20">
                  <c:v>0.30323243920267373</c:v>
                </c:pt>
                <c:pt idx="21">
                  <c:v>0.10187293935251063</c:v>
                </c:pt>
                <c:pt idx="22">
                  <c:v>0.22416643920267632</c:v>
                </c:pt>
                <c:pt idx="23">
                  <c:v>0.11556543920267615</c:v>
                </c:pt>
                <c:pt idx="24">
                  <c:v>0.28668543920267098</c:v>
                </c:pt>
                <c:pt idx="25">
                  <c:v>0.25113093935250674</c:v>
                </c:pt>
                <c:pt idx="26">
                  <c:v>0.33984443920267182</c:v>
                </c:pt>
                <c:pt idx="27">
                  <c:v>0.56671093935251093</c:v>
                </c:pt>
                <c:pt idx="28">
                  <c:v>-3.786821950689756E-2</c:v>
                </c:pt>
                <c:pt idx="29">
                  <c:v>0.37576078049309558</c:v>
                </c:pt>
                <c:pt idx="30">
                  <c:v>0.29400978049309856</c:v>
                </c:pt>
                <c:pt idx="31">
                  <c:v>0.31104880853056471</c:v>
                </c:pt>
                <c:pt idx="32">
                  <c:v>0.19676478049309765</c:v>
                </c:pt>
                <c:pt idx="33">
                  <c:v>9.9868085305629961E-3</c:v>
                </c:pt>
                <c:pt idx="34">
                  <c:v>0.52455968317666191</c:v>
                </c:pt>
                <c:pt idx="35">
                  <c:v>0.71221368317665679</c:v>
                </c:pt>
                <c:pt idx="36">
                  <c:v>0.49283046607821035</c:v>
                </c:pt>
                <c:pt idx="37">
                  <c:v>0.47173446607820324</c:v>
                </c:pt>
                <c:pt idx="38">
                  <c:v>0.11092512509363672</c:v>
                </c:pt>
                <c:pt idx="39">
                  <c:v>6.7461125093636554E-2</c:v>
                </c:pt>
                <c:pt idx="40">
                  <c:v>0.42496746607820768</c:v>
                </c:pt>
                <c:pt idx="41">
                  <c:v>0.39453774228097416</c:v>
                </c:pt>
                <c:pt idx="42">
                  <c:v>0.33778674228097572</c:v>
                </c:pt>
                <c:pt idx="43">
                  <c:v>0.24203174228097879</c:v>
                </c:pt>
                <c:pt idx="44">
                  <c:v>0.46010974228097723</c:v>
                </c:pt>
                <c:pt idx="45">
                  <c:v>3.8313742280976726E-2</c:v>
                </c:pt>
                <c:pt idx="46">
                  <c:v>0.15334090256392585</c:v>
                </c:pt>
                <c:pt idx="47">
                  <c:v>0.51166790256392858</c:v>
                </c:pt>
                <c:pt idx="48">
                  <c:v>0.46424374228097065</c:v>
                </c:pt>
                <c:pt idx="49">
                  <c:v>0.35041090256392948</c:v>
                </c:pt>
                <c:pt idx="50">
                  <c:v>0.10510905923237601</c:v>
                </c:pt>
                <c:pt idx="51">
                  <c:v>0.36773190256392496</c:v>
                </c:pt>
                <c:pt idx="52">
                  <c:v>0.37467105923238364</c:v>
                </c:pt>
                <c:pt idx="53">
                  <c:v>0.50455619436387167</c:v>
                </c:pt>
                <c:pt idx="54">
                  <c:v>0.33179419436386581</c:v>
                </c:pt>
                <c:pt idx="55">
                  <c:v>0.28417090256392896</c:v>
                </c:pt>
                <c:pt idx="56">
                  <c:v>0.21948419436387212</c:v>
                </c:pt>
                <c:pt idx="57">
                  <c:v>0.44733519436387326</c:v>
                </c:pt>
                <c:pt idx="58">
                  <c:v>0.51197319436386834</c:v>
                </c:pt>
                <c:pt idx="59">
                  <c:v>7.5873059232378637E-2</c:v>
                </c:pt>
                <c:pt idx="60">
                  <c:v>0.53835105923238302</c:v>
                </c:pt>
                <c:pt idx="61">
                  <c:v>4.0501059232383341E-2</c:v>
                </c:pt>
                <c:pt idx="62">
                  <c:v>0.30380180096042864</c:v>
                </c:pt>
                <c:pt idx="63">
                  <c:v>0.31109927537467996</c:v>
                </c:pt>
                <c:pt idx="64">
                  <c:v>8.7747059232377467E-2</c:v>
                </c:pt>
                <c:pt idx="65">
                  <c:v>0.25667680096042744</c:v>
                </c:pt>
                <c:pt idx="66">
                  <c:v>0.67507280096042876</c:v>
                </c:pt>
                <c:pt idx="67">
                  <c:v>6.5870800960432518E-2</c:v>
                </c:pt>
                <c:pt idx="68">
                  <c:v>0.26485480096042835</c:v>
                </c:pt>
                <c:pt idx="69">
                  <c:v>-0.11492972462531981</c:v>
                </c:pt>
                <c:pt idx="70">
                  <c:v>0.27834027537468131</c:v>
                </c:pt>
                <c:pt idx="71">
                  <c:v>0.40836661399854535</c:v>
                </c:pt>
                <c:pt idx="72">
                  <c:v>0.19147261399854898</c:v>
                </c:pt>
                <c:pt idx="73">
                  <c:v>0.39477485782721544</c:v>
                </c:pt>
                <c:pt idx="74">
                  <c:v>0.17185554216979426</c:v>
                </c:pt>
                <c:pt idx="75">
                  <c:v>0.12334485782721316</c:v>
                </c:pt>
                <c:pt idx="76">
                  <c:v>0.55715285782721935</c:v>
                </c:pt>
                <c:pt idx="77">
                  <c:v>0.18249785782721517</c:v>
                </c:pt>
                <c:pt idx="78">
                  <c:v>0.68588154216978836</c:v>
                </c:pt>
                <c:pt idx="79">
                  <c:v>0.47588054216979003</c:v>
                </c:pt>
                <c:pt idx="80">
                  <c:v>0.41764910962442059</c:v>
                </c:pt>
                <c:pt idx="81">
                  <c:v>0.36568134711066591</c:v>
                </c:pt>
                <c:pt idx="82">
                  <c:v>0.41729734711066868</c:v>
                </c:pt>
                <c:pt idx="83">
                  <c:v>0.32330010962441946</c:v>
                </c:pt>
                <c:pt idx="84">
                  <c:v>0.34515154216978772</c:v>
                </c:pt>
                <c:pt idx="85">
                  <c:v>0.41347110962442457</c:v>
                </c:pt>
                <c:pt idx="86">
                  <c:v>0.58214213253320679</c:v>
                </c:pt>
                <c:pt idx="87">
                  <c:v>0.62660473865413024</c:v>
                </c:pt>
                <c:pt idx="88">
                  <c:v>0.28516713253320347</c:v>
                </c:pt>
                <c:pt idx="89">
                  <c:v>0.12983473865413231</c:v>
                </c:pt>
                <c:pt idx="90">
                  <c:v>3.9301028675041039E-2</c:v>
                </c:pt>
                <c:pt idx="91">
                  <c:v>0.36781973865412709</c:v>
                </c:pt>
                <c:pt idx="92">
                  <c:v>0.16461073865412601</c:v>
                </c:pt>
                <c:pt idx="93">
                  <c:v>0.49525280925293913</c:v>
                </c:pt>
                <c:pt idx="94">
                  <c:v>0.63273380925294731</c:v>
                </c:pt>
                <c:pt idx="95">
                  <c:v>9.2325809252940871E-2</c:v>
                </c:pt>
                <c:pt idx="96">
                  <c:v>0.19366514567688142</c:v>
                </c:pt>
                <c:pt idx="97">
                  <c:v>0.20426066408732879</c:v>
                </c:pt>
                <c:pt idx="98">
                  <c:v>8.47511456768828E-2</c:v>
                </c:pt>
                <c:pt idx="99">
                  <c:v>0.36678506942048728</c:v>
                </c:pt>
                <c:pt idx="100">
                  <c:v>0.51630889489476317</c:v>
                </c:pt>
                <c:pt idx="101">
                  <c:v>0.52977218169939277</c:v>
                </c:pt>
                <c:pt idx="102">
                  <c:v>0.54649718169940087</c:v>
                </c:pt>
                <c:pt idx="103">
                  <c:v>-6.1269925195688302E-3</c:v>
                </c:pt>
                <c:pt idx="104">
                  <c:v>0.28010120293547658</c:v>
                </c:pt>
                <c:pt idx="105">
                  <c:v>0.3385395282476793</c:v>
                </c:pt>
                <c:pt idx="106">
                  <c:v>-0.10230347175232168</c:v>
                </c:pt>
                <c:pt idx="107">
                  <c:v>0.48791062617625158</c:v>
                </c:pt>
                <c:pt idx="108">
                  <c:v>0.45065502179525652</c:v>
                </c:pt>
                <c:pt idx="109">
                  <c:v>0.44829266357109532</c:v>
                </c:pt>
                <c:pt idx="110">
                  <c:v>0.33634231816954241</c:v>
                </c:pt>
                <c:pt idx="111">
                  <c:v>0.53284740530267527</c:v>
                </c:pt>
                <c:pt idx="112">
                  <c:v>0.27871555946823889</c:v>
                </c:pt>
                <c:pt idx="113">
                  <c:v>6.1736669153752644E-2</c:v>
                </c:pt>
                <c:pt idx="114">
                  <c:v>0.55750966915375244</c:v>
                </c:pt>
                <c:pt idx="115">
                  <c:v>0.27211887560542891</c:v>
                </c:pt>
                <c:pt idx="116">
                  <c:v>4.4013669153748936E-2</c:v>
                </c:pt>
                <c:pt idx="117">
                  <c:v>0.30618887560542873</c:v>
                </c:pt>
                <c:pt idx="118">
                  <c:v>0.27835968708026826</c:v>
                </c:pt>
                <c:pt idx="119">
                  <c:v>0.63654905478149715</c:v>
                </c:pt>
                <c:pt idx="120">
                  <c:v>0.25561548928588707</c:v>
                </c:pt>
                <c:pt idx="121">
                  <c:v>0.18972894730189438</c:v>
                </c:pt>
                <c:pt idx="122">
                  <c:v>0.31654288175326428</c:v>
                </c:pt>
                <c:pt idx="123">
                  <c:v>0.15476588175326356</c:v>
                </c:pt>
                <c:pt idx="124">
                  <c:v>0.24993722764700266</c:v>
                </c:pt>
                <c:pt idx="125">
                  <c:v>0.22507443052480625</c:v>
                </c:pt>
                <c:pt idx="126">
                  <c:v>0.13267174036985097</c:v>
                </c:pt>
                <c:pt idx="127">
                  <c:v>0.31918958306176393</c:v>
                </c:pt>
                <c:pt idx="128">
                  <c:v>0.32451158306175643</c:v>
                </c:pt>
                <c:pt idx="129">
                  <c:v>6.8263966860207859E-2</c:v>
                </c:pt>
                <c:pt idx="130">
                  <c:v>0.19691285623662935</c:v>
                </c:pt>
                <c:pt idx="131">
                  <c:v>0.39181131513420553</c:v>
                </c:pt>
                <c:pt idx="132">
                  <c:v>0.52895572827996773</c:v>
                </c:pt>
                <c:pt idx="133">
                  <c:v>0.50141751887507979</c:v>
                </c:pt>
                <c:pt idx="134">
                  <c:v>0.36055672253847604</c:v>
                </c:pt>
                <c:pt idx="135">
                  <c:v>0.2339076675171512</c:v>
                </c:pt>
                <c:pt idx="136">
                  <c:v>0.28788424319235872</c:v>
                </c:pt>
                <c:pt idx="137">
                  <c:v>4.6810768448352746E-2</c:v>
                </c:pt>
                <c:pt idx="138">
                  <c:v>0.2399672771369552</c:v>
                </c:pt>
                <c:pt idx="139">
                  <c:v>0.34093938276841129</c:v>
                </c:pt>
                <c:pt idx="140">
                  <c:v>0.40812238276839707</c:v>
                </c:pt>
                <c:pt idx="141">
                  <c:v>0.14466291554148114</c:v>
                </c:pt>
                <c:pt idx="142">
                  <c:v>0.19293361609202009</c:v>
                </c:pt>
                <c:pt idx="143">
                  <c:v>0.11882843368645268</c:v>
                </c:pt>
                <c:pt idx="144">
                  <c:v>6.6022506293883509E-2</c:v>
                </c:pt>
                <c:pt idx="145">
                  <c:v>0.52681550629388596</c:v>
                </c:pt>
                <c:pt idx="146">
                  <c:v>0.18334270653176077</c:v>
                </c:pt>
                <c:pt idx="147">
                  <c:v>0.31452070653175923</c:v>
                </c:pt>
                <c:pt idx="148">
                  <c:v>0.21434263526800379</c:v>
                </c:pt>
                <c:pt idx="149">
                  <c:v>0.44308208915325764</c:v>
                </c:pt>
                <c:pt idx="150">
                  <c:v>0.1718953082408845</c:v>
                </c:pt>
                <c:pt idx="151">
                  <c:v>0.54801130824088062</c:v>
                </c:pt>
                <c:pt idx="152">
                  <c:v>0.32185690773213338</c:v>
                </c:pt>
                <c:pt idx="153">
                  <c:v>0.1274790561388599</c:v>
                </c:pt>
                <c:pt idx="154">
                  <c:v>0.13206710013624701</c:v>
                </c:pt>
                <c:pt idx="155">
                  <c:v>-2.2888140570749727E-2</c:v>
                </c:pt>
                <c:pt idx="156">
                  <c:v>0.14833698813246343</c:v>
                </c:pt>
                <c:pt idx="157">
                  <c:v>0.57805679766514828</c:v>
                </c:pt>
                <c:pt idx="158">
                  <c:v>0.23656011084300133</c:v>
                </c:pt>
                <c:pt idx="159">
                  <c:v>0.17989815023064182</c:v>
                </c:pt>
                <c:pt idx="160">
                  <c:v>0.29996637050338393</c:v>
                </c:pt>
                <c:pt idx="161">
                  <c:v>0.6753822668696543</c:v>
                </c:pt>
                <c:pt idx="162">
                  <c:v>0.17413965732571768</c:v>
                </c:pt>
                <c:pt idx="163">
                  <c:v>0.32763665732571212</c:v>
                </c:pt>
                <c:pt idx="164">
                  <c:v>5.3191295962619733E-2</c:v>
                </c:pt>
                <c:pt idx="165">
                  <c:v>0.39489189168284611</c:v>
                </c:pt>
                <c:pt idx="166">
                  <c:v>0.2800548916828447</c:v>
                </c:pt>
                <c:pt idx="167">
                  <c:v>0.23902839300991729</c:v>
                </c:pt>
                <c:pt idx="168">
                  <c:v>0.26688534475653825</c:v>
                </c:pt>
                <c:pt idx="169">
                  <c:v>0.25716355337169716</c:v>
                </c:pt>
                <c:pt idx="170">
                  <c:v>0.24438228073410073</c:v>
                </c:pt>
                <c:pt idx="171">
                  <c:v>0.42992591867248819</c:v>
                </c:pt>
                <c:pt idx="172">
                  <c:v>0.53653273644093957</c:v>
                </c:pt>
                <c:pt idx="173">
                  <c:v>0.39342383956021365</c:v>
                </c:pt>
                <c:pt idx="174">
                  <c:v>0.23534812135598315</c:v>
                </c:pt>
                <c:pt idx="175">
                  <c:v>0.2610549438148837</c:v>
                </c:pt>
                <c:pt idx="176">
                  <c:v>0.34976814535504985</c:v>
                </c:pt>
                <c:pt idx="177">
                  <c:v>8.9756652531981729E-2</c:v>
                </c:pt>
                <c:pt idx="178">
                  <c:v>0.16094415499544823</c:v>
                </c:pt>
                <c:pt idx="179">
                  <c:v>0.15305619714304441</c:v>
                </c:pt>
                <c:pt idx="180">
                  <c:v>0.4345721000125593</c:v>
                </c:pt>
                <c:pt idx="181">
                  <c:v>0.68068086985731213</c:v>
                </c:pt>
                <c:pt idx="182">
                  <c:v>0.19537599411253836</c:v>
                </c:pt>
                <c:pt idx="183">
                  <c:v>0.29572799411253925</c:v>
                </c:pt>
                <c:pt idx="184">
                  <c:v>0.2825140534856061</c:v>
                </c:pt>
                <c:pt idx="185">
                  <c:v>0.17356976104711919</c:v>
                </c:pt>
                <c:pt idx="186">
                  <c:v>-0.10808525596474539</c:v>
                </c:pt>
                <c:pt idx="187">
                  <c:v>-1.0677128589470897E-2</c:v>
                </c:pt>
                <c:pt idx="188">
                  <c:v>0.38448575933253437</c:v>
                </c:pt>
                <c:pt idx="189">
                  <c:v>2.8074043276198779E-2</c:v>
                </c:pt>
                <c:pt idx="190">
                  <c:v>0.32675204327620122</c:v>
                </c:pt>
                <c:pt idx="191">
                  <c:v>0.40240035960977139</c:v>
                </c:pt>
                <c:pt idx="192">
                  <c:v>0.34165671091926697</c:v>
                </c:pt>
                <c:pt idx="193">
                  <c:v>0.2926598214337659</c:v>
                </c:pt>
                <c:pt idx="194">
                  <c:v>0.13153241861901677</c:v>
                </c:pt>
                <c:pt idx="195">
                  <c:v>0.25570545234626962</c:v>
                </c:pt>
                <c:pt idx="196">
                  <c:v>0.34727533384737796</c:v>
                </c:pt>
                <c:pt idx="197">
                  <c:v>0.25480638615389495</c:v>
                </c:pt>
                <c:pt idx="198">
                  <c:v>0.20497838615388986</c:v>
                </c:pt>
                <c:pt idx="199">
                  <c:v>0.39983238615389638</c:v>
                </c:pt>
                <c:pt idx="200">
                  <c:v>0.31982504089559427</c:v>
                </c:pt>
                <c:pt idx="201">
                  <c:v>0.40089404089559366</c:v>
                </c:pt>
                <c:pt idx="202">
                  <c:v>0.22005326374279832</c:v>
                </c:pt>
                <c:pt idx="203">
                  <c:v>4.5122263742797486E-2</c:v>
                </c:pt>
                <c:pt idx="204">
                  <c:v>0.44760525528753448</c:v>
                </c:pt>
                <c:pt idx="205">
                  <c:v>0.15703625528754372</c:v>
                </c:pt>
                <c:pt idx="206">
                  <c:v>0.21452305419071394</c:v>
                </c:pt>
                <c:pt idx="207">
                  <c:v>0.19325954616519425</c:v>
                </c:pt>
                <c:pt idx="208">
                  <c:v>1.9880567305150976E-2</c:v>
                </c:pt>
                <c:pt idx="209">
                  <c:v>0.46288580358483244</c:v>
                </c:pt>
                <c:pt idx="210">
                  <c:v>0.39105712550509963</c:v>
                </c:pt>
                <c:pt idx="211">
                  <c:v>0.44397967924743398</c:v>
                </c:pt>
                <c:pt idx="212">
                  <c:v>4.5762455887199849E-2</c:v>
                </c:pt>
                <c:pt idx="213">
                  <c:v>0.50545814281490919</c:v>
                </c:pt>
                <c:pt idx="214">
                  <c:v>0.37688715864553757</c:v>
                </c:pt>
                <c:pt idx="215">
                  <c:v>0.10519568362564513</c:v>
                </c:pt>
                <c:pt idx="216">
                  <c:v>0.17350417579125121</c:v>
                </c:pt>
                <c:pt idx="217">
                  <c:v>0.20476813636130231</c:v>
                </c:pt>
                <c:pt idx="218">
                  <c:v>0.31568651452535335</c:v>
                </c:pt>
                <c:pt idx="219">
                  <c:v>0.54676751452535655</c:v>
                </c:pt>
                <c:pt idx="220">
                  <c:v>0.20201607455243931</c:v>
                </c:pt>
                <c:pt idx="221">
                  <c:v>0.57080782927037177</c:v>
                </c:pt>
                <c:pt idx="222">
                  <c:v>0.28231882927037333</c:v>
                </c:pt>
                <c:pt idx="223">
                  <c:v>0.16474968532502032</c:v>
                </c:pt>
                <c:pt idx="224">
                  <c:v>0.23543757789411757</c:v>
                </c:pt>
                <c:pt idx="225">
                  <c:v>0.34373633338839227</c:v>
                </c:pt>
                <c:pt idx="226">
                  <c:v>3.7713460259617193E-2</c:v>
                </c:pt>
                <c:pt idx="227">
                  <c:v>5.7579533660238269E-2</c:v>
                </c:pt>
                <c:pt idx="228">
                  <c:v>0.18500565053646767</c:v>
                </c:pt>
                <c:pt idx="229">
                  <c:v>0.1176681052618278</c:v>
                </c:pt>
                <c:pt idx="230">
                  <c:v>0.29689410526182769</c:v>
                </c:pt>
                <c:pt idx="231">
                  <c:v>0.51986411938470667</c:v>
                </c:pt>
                <c:pt idx="232">
                  <c:v>0.22822214172687438</c:v>
                </c:pt>
                <c:pt idx="233">
                  <c:v>0.50668314172687445</c:v>
                </c:pt>
                <c:pt idx="234">
                  <c:v>0.11259284682647319</c:v>
                </c:pt>
                <c:pt idx="235">
                  <c:v>0.605377846826471</c:v>
                </c:pt>
                <c:pt idx="236">
                  <c:v>0.32783199289603715</c:v>
                </c:pt>
                <c:pt idx="237">
                  <c:v>0.26188562910438407</c:v>
                </c:pt>
                <c:pt idx="238">
                  <c:v>0.23558842012978687</c:v>
                </c:pt>
                <c:pt idx="239">
                  <c:v>0.23035937796215933</c:v>
                </c:pt>
                <c:pt idx="240">
                  <c:v>0.33076023599146964</c:v>
                </c:pt>
                <c:pt idx="241">
                  <c:v>0.3932272359914748</c:v>
                </c:pt>
                <c:pt idx="242">
                  <c:v>0.30774093433490179</c:v>
                </c:pt>
                <c:pt idx="243">
                  <c:v>0.3100257700287159</c:v>
                </c:pt>
                <c:pt idx="244">
                  <c:v>0.2971556555101742</c:v>
                </c:pt>
                <c:pt idx="245">
                  <c:v>0.45972850390855768</c:v>
                </c:pt>
                <c:pt idx="246">
                  <c:v>0.43291774538921857</c:v>
                </c:pt>
                <c:pt idx="247">
                  <c:v>-5.2224576458570482E-4</c:v>
                </c:pt>
                <c:pt idx="248">
                  <c:v>-0.16645826936509422</c:v>
                </c:pt>
                <c:pt idx="249">
                  <c:v>0.35618125093630226</c:v>
                </c:pt>
                <c:pt idx="250">
                  <c:v>0.26490672982898644</c:v>
                </c:pt>
                <c:pt idx="251">
                  <c:v>0.45705129321603977</c:v>
                </c:pt>
                <c:pt idx="252">
                  <c:v>0.57978728392891554</c:v>
                </c:pt>
                <c:pt idx="253">
                  <c:v>0.2742302659791207</c:v>
                </c:pt>
                <c:pt idx="254">
                  <c:v>0.26736297756883687</c:v>
                </c:pt>
                <c:pt idx="255">
                  <c:v>9.4085329373790216E-2</c:v>
                </c:pt>
                <c:pt idx="256">
                  <c:v>0.46087034482995648</c:v>
                </c:pt>
                <c:pt idx="257">
                  <c:v>-5.2716720037437881E-3</c:v>
                </c:pt>
                <c:pt idx="258">
                  <c:v>0.41003731403878163</c:v>
                </c:pt>
                <c:pt idx="259">
                  <c:v>0.18600577720174982</c:v>
                </c:pt>
                <c:pt idx="260">
                  <c:v>0.13235143928777404</c:v>
                </c:pt>
                <c:pt idx="261">
                  <c:v>0.39230408630908897</c:v>
                </c:pt>
                <c:pt idx="262">
                  <c:v>0.14054508630909623</c:v>
                </c:pt>
                <c:pt idx="263">
                  <c:v>0.29231345841888157</c:v>
                </c:pt>
                <c:pt idx="264">
                  <c:v>0.21666360902799653</c:v>
                </c:pt>
                <c:pt idx="265">
                  <c:v>8.7055977818124575E-3</c:v>
                </c:pt>
                <c:pt idx="266">
                  <c:v>-1.9550119540390654E-2</c:v>
                </c:pt>
                <c:pt idx="267">
                  <c:v>0.42937488045959782</c:v>
                </c:pt>
                <c:pt idx="268">
                  <c:v>0.68487301981914328</c:v>
                </c:pt>
                <c:pt idx="269">
                  <c:v>0.54100583944787672</c:v>
                </c:pt>
                <c:pt idx="270">
                  <c:v>9.1191839447873235E-2</c:v>
                </c:pt>
                <c:pt idx="271">
                  <c:v>0.4959408394478757</c:v>
                </c:pt>
                <c:pt idx="272">
                  <c:v>0.53496529338914911</c:v>
                </c:pt>
                <c:pt idx="273">
                  <c:v>0.34015503485617415</c:v>
                </c:pt>
                <c:pt idx="274">
                  <c:v>2.9144533866315214E-2</c:v>
                </c:pt>
                <c:pt idx="275">
                  <c:v>0.27535857994959656</c:v>
                </c:pt>
                <c:pt idx="276">
                  <c:v>0.229342075344249</c:v>
                </c:pt>
                <c:pt idx="277">
                  <c:v>0.37932810895264879</c:v>
                </c:pt>
                <c:pt idx="278">
                  <c:v>0.33874124077872381</c:v>
                </c:pt>
                <c:pt idx="279">
                  <c:v>0.35683924077871865</c:v>
                </c:pt>
                <c:pt idx="280">
                  <c:v>0.14151828655604959</c:v>
                </c:pt>
                <c:pt idx="281">
                  <c:v>0.12975154677491219</c:v>
                </c:pt>
                <c:pt idx="282">
                  <c:v>0.37226731632559051</c:v>
                </c:pt>
                <c:pt idx="283">
                  <c:v>0.38681163733776458</c:v>
                </c:pt>
                <c:pt idx="284">
                  <c:v>0.31729685443586675</c:v>
                </c:pt>
                <c:pt idx="285">
                  <c:v>0.1938448544358593</c:v>
                </c:pt>
                <c:pt idx="286">
                  <c:v>0.13443926275618878</c:v>
                </c:pt>
                <c:pt idx="287">
                  <c:v>0.26745128728061474</c:v>
                </c:pt>
                <c:pt idx="288">
                  <c:v>0.30170882075208993</c:v>
                </c:pt>
                <c:pt idx="289">
                  <c:v>0.15401079324690414</c:v>
                </c:pt>
                <c:pt idx="290">
                  <c:v>0.20253180988495956</c:v>
                </c:pt>
                <c:pt idx="291">
                  <c:v>0.146802751945458</c:v>
                </c:pt>
                <c:pt idx="292">
                  <c:v>5.9867037558632319E-2</c:v>
                </c:pt>
                <c:pt idx="293">
                  <c:v>0.28436298424972506</c:v>
                </c:pt>
                <c:pt idx="294">
                  <c:v>-0.12430314287949074</c:v>
                </c:pt>
                <c:pt idx="295">
                  <c:v>0.1175954803493795</c:v>
                </c:pt>
                <c:pt idx="296">
                  <c:v>0.38524048034937408</c:v>
                </c:pt>
                <c:pt idx="297">
                  <c:v>0.25767648034937451</c:v>
                </c:pt>
                <c:pt idx="298">
                  <c:v>0.36865942462135592</c:v>
                </c:pt>
                <c:pt idx="299">
                  <c:v>0.1604495835939872</c:v>
                </c:pt>
                <c:pt idx="300">
                  <c:v>0.53857058359398025</c:v>
                </c:pt>
                <c:pt idx="301">
                  <c:v>0.38169108639125682</c:v>
                </c:pt>
                <c:pt idx="302">
                  <c:v>0.13849558273079765</c:v>
                </c:pt>
                <c:pt idx="303">
                  <c:v>6.2673076020374197E-2</c:v>
                </c:pt>
                <c:pt idx="304">
                  <c:v>0.3406568664156282</c:v>
                </c:pt>
                <c:pt idx="305">
                  <c:v>0.42646793755123724</c:v>
                </c:pt>
                <c:pt idx="306">
                  <c:v>3.5281874424775594E-2</c:v>
                </c:pt>
                <c:pt idx="307">
                  <c:v>0.47670631195719437</c:v>
                </c:pt>
                <c:pt idx="308">
                  <c:v>0.11328931195719605</c:v>
                </c:pt>
                <c:pt idx="309">
                  <c:v>0.19460031195719552</c:v>
                </c:pt>
                <c:pt idx="310">
                  <c:v>0.38084123210958154</c:v>
                </c:pt>
                <c:pt idx="311">
                  <c:v>0.29992138864337647</c:v>
                </c:pt>
                <c:pt idx="312">
                  <c:v>0.28478937208863186</c:v>
                </c:pt>
                <c:pt idx="313">
                  <c:v>0.46042937208863322</c:v>
                </c:pt>
                <c:pt idx="314">
                  <c:v>0.52253137208864331</c:v>
                </c:pt>
                <c:pt idx="315">
                  <c:v>0.39841703341308232</c:v>
                </c:pt>
                <c:pt idx="316">
                  <c:v>0.32901046741164919</c:v>
                </c:pt>
                <c:pt idx="317">
                  <c:v>4.8250417121181499E-2</c:v>
                </c:pt>
                <c:pt idx="318">
                  <c:v>0.28932941712118065</c:v>
                </c:pt>
                <c:pt idx="319">
                  <c:v>2.413066884906101E-2</c:v>
                </c:pt>
                <c:pt idx="320">
                  <c:v>0.26178710724555998</c:v>
                </c:pt>
                <c:pt idx="321">
                  <c:v>0.66079424499815786</c:v>
                </c:pt>
                <c:pt idx="322">
                  <c:v>0.40136947859714667</c:v>
                </c:pt>
                <c:pt idx="323">
                  <c:v>0.13619434856848045</c:v>
                </c:pt>
                <c:pt idx="324">
                  <c:v>0.52851734856847798</c:v>
                </c:pt>
                <c:pt idx="325">
                  <c:v>0.12916199744329049</c:v>
                </c:pt>
                <c:pt idx="326">
                  <c:v>0.61461531289497628</c:v>
                </c:pt>
                <c:pt idx="327">
                  <c:v>0.35920270977874935</c:v>
                </c:pt>
                <c:pt idx="328">
                  <c:v>0.27394013982968346</c:v>
                </c:pt>
                <c:pt idx="329">
                  <c:v>0.30691513982967678</c:v>
                </c:pt>
                <c:pt idx="330">
                  <c:v>0.13908821083023781</c:v>
                </c:pt>
                <c:pt idx="331">
                  <c:v>6.7315040296847428E-2</c:v>
                </c:pt>
                <c:pt idx="332">
                  <c:v>3.3107447330927187E-2</c:v>
                </c:pt>
                <c:pt idx="333">
                  <c:v>0.28140915235402986</c:v>
                </c:pt>
                <c:pt idx="334">
                  <c:v>0.32060792144616812</c:v>
                </c:pt>
                <c:pt idx="335">
                  <c:v>0.24569653498261346</c:v>
                </c:pt>
                <c:pt idx="336">
                  <c:v>0.40316614508036253</c:v>
                </c:pt>
                <c:pt idx="337">
                  <c:v>0.22510314508036089</c:v>
                </c:pt>
                <c:pt idx="338">
                  <c:v>0.25933962720928605</c:v>
                </c:pt>
                <c:pt idx="339">
                  <c:v>0.353678627209284</c:v>
                </c:pt>
                <c:pt idx="340">
                  <c:v>0.29839679753326465</c:v>
                </c:pt>
                <c:pt idx="341">
                  <c:v>0.19784087712786658</c:v>
                </c:pt>
                <c:pt idx="342">
                  <c:v>0.19046819373771484</c:v>
                </c:pt>
                <c:pt idx="343">
                  <c:v>0.38630193358658715</c:v>
                </c:pt>
                <c:pt idx="344">
                  <c:v>0.36596280432421224</c:v>
                </c:pt>
                <c:pt idx="345">
                  <c:v>0.53792283448377276</c:v>
                </c:pt>
                <c:pt idx="346">
                  <c:v>0.25873810912289485</c:v>
                </c:pt>
                <c:pt idx="347">
                  <c:v>0.42278866493163747</c:v>
                </c:pt>
                <c:pt idx="348">
                  <c:v>0.48461122521094069</c:v>
                </c:pt>
                <c:pt idx="349">
                  <c:v>0.24695199525888967</c:v>
                </c:pt>
                <c:pt idx="350">
                  <c:v>0.19259499525888657</c:v>
                </c:pt>
                <c:pt idx="351">
                  <c:v>0.55673678709720775</c:v>
                </c:pt>
                <c:pt idx="352">
                  <c:v>0.78651734020393604</c:v>
                </c:pt>
                <c:pt idx="353">
                  <c:v>0.20194895311774985</c:v>
                </c:pt>
                <c:pt idx="354">
                  <c:v>0.44896475708389261</c:v>
                </c:pt>
                <c:pt idx="355">
                  <c:v>0.32129775708389019</c:v>
                </c:pt>
                <c:pt idx="356">
                  <c:v>0.30371075708388418</c:v>
                </c:pt>
                <c:pt idx="357">
                  <c:v>0.21627773825557739</c:v>
                </c:pt>
                <c:pt idx="358">
                  <c:v>0.21351273825558081</c:v>
                </c:pt>
                <c:pt idx="359">
                  <c:v>0.16513788284242992</c:v>
                </c:pt>
                <c:pt idx="360">
                  <c:v>0.45072117711013959</c:v>
                </c:pt>
                <c:pt idx="361">
                  <c:v>0.36334545937496898</c:v>
                </c:pt>
                <c:pt idx="362">
                  <c:v>0.2724483816000145</c:v>
                </c:pt>
                <c:pt idx="363">
                  <c:v>0.21902603786629982</c:v>
                </c:pt>
                <c:pt idx="364">
                  <c:v>0.13953473995429988</c:v>
                </c:pt>
                <c:pt idx="365">
                  <c:v>0.50244834102839775</c:v>
                </c:pt>
                <c:pt idx="366">
                  <c:v>0.25371241166749314</c:v>
                </c:pt>
                <c:pt idx="367">
                  <c:v>0.32263838931141464</c:v>
                </c:pt>
                <c:pt idx="368">
                  <c:v>0.65993203205324846</c:v>
                </c:pt>
                <c:pt idx="369">
                  <c:v>7.635103205323901E-2</c:v>
                </c:pt>
                <c:pt idx="370">
                  <c:v>0.28730169629545088</c:v>
                </c:pt>
                <c:pt idx="371">
                  <c:v>0.27111711066587674</c:v>
                </c:pt>
                <c:pt idx="372">
                  <c:v>0.34588226307220538</c:v>
                </c:pt>
                <c:pt idx="373">
                  <c:v>0.14011014146896628</c:v>
                </c:pt>
                <c:pt idx="374">
                  <c:v>0.57364773385737067</c:v>
                </c:pt>
                <c:pt idx="375">
                  <c:v>0.69425867567866817</c:v>
                </c:pt>
                <c:pt idx="376">
                  <c:v>0.34558998894932103</c:v>
                </c:pt>
                <c:pt idx="377">
                  <c:v>7.0964874123049526E-2</c:v>
                </c:pt>
                <c:pt idx="378">
                  <c:v>0.16365075200359769</c:v>
                </c:pt>
                <c:pt idx="379">
                  <c:v>7.3505032067352261E-2</c:v>
                </c:pt>
                <c:pt idx="380">
                  <c:v>-0.15080561399404502</c:v>
                </c:pt>
                <c:pt idx="381">
                  <c:v>0.64274402227938054</c:v>
                </c:pt>
                <c:pt idx="382">
                  <c:v>0.22952544445007561</c:v>
                </c:pt>
                <c:pt idx="383">
                  <c:v>0.18508550108671074</c:v>
                </c:pt>
                <c:pt idx="384">
                  <c:v>0.24815750108670898</c:v>
                </c:pt>
                <c:pt idx="385">
                  <c:v>0.13912651253279051</c:v>
                </c:pt>
                <c:pt idx="386">
                  <c:v>0.23910251253278858</c:v>
                </c:pt>
                <c:pt idx="387">
                  <c:v>0.33024218534747263</c:v>
                </c:pt>
                <c:pt idx="388">
                  <c:v>0.24528083967648939</c:v>
                </c:pt>
                <c:pt idx="389">
                  <c:v>0.4564528578888627</c:v>
                </c:pt>
                <c:pt idx="390">
                  <c:v>0.58274222935676789</c:v>
                </c:pt>
                <c:pt idx="391">
                  <c:v>0.38227694349172481</c:v>
                </c:pt>
                <c:pt idx="392">
                  <c:v>0.38575128630196787</c:v>
                </c:pt>
                <c:pt idx="393">
                  <c:v>0.28265373478411959</c:v>
                </c:pt>
                <c:pt idx="394">
                  <c:v>0.15272221989445711</c:v>
                </c:pt>
                <c:pt idx="395">
                  <c:v>0.28927275167498578</c:v>
                </c:pt>
                <c:pt idx="396">
                  <c:v>-0.13323272883105375</c:v>
                </c:pt>
                <c:pt idx="397">
                  <c:v>-9.8470255789727901E-2</c:v>
                </c:pt>
                <c:pt idx="398">
                  <c:v>0.5750867442102745</c:v>
                </c:pt>
                <c:pt idx="399">
                  <c:v>0.18949533805292162</c:v>
                </c:pt>
                <c:pt idx="400">
                  <c:v>2.6882338052914179E-2</c:v>
                </c:pt>
                <c:pt idx="401">
                  <c:v>0.2523222022038567</c:v>
                </c:pt>
                <c:pt idx="402">
                  <c:v>0.77847158565644747</c:v>
                </c:pt>
                <c:pt idx="403">
                  <c:v>0.13924758565644879</c:v>
                </c:pt>
                <c:pt idx="404">
                  <c:v>0.23832869209125107</c:v>
                </c:pt>
                <c:pt idx="405">
                  <c:v>0.51102568887013433</c:v>
                </c:pt>
                <c:pt idx="406">
                  <c:v>0.26743956521971057</c:v>
                </c:pt>
                <c:pt idx="407">
                  <c:v>6.6199462942670095E-2</c:v>
                </c:pt>
                <c:pt idx="408">
                  <c:v>0.49905032864548104</c:v>
                </c:pt>
                <c:pt idx="409">
                  <c:v>0.28784241477953287</c:v>
                </c:pt>
                <c:pt idx="410">
                  <c:v>0.52453141477953125</c:v>
                </c:pt>
                <c:pt idx="411">
                  <c:v>0.25800980844374521</c:v>
                </c:pt>
                <c:pt idx="412">
                  <c:v>0.20886924980008104</c:v>
                </c:pt>
                <c:pt idx="413">
                  <c:v>0.33186224980008205</c:v>
                </c:pt>
                <c:pt idx="414">
                  <c:v>0.1298887850315964</c:v>
                </c:pt>
                <c:pt idx="415">
                  <c:v>3.8620888201478465E-2</c:v>
                </c:pt>
                <c:pt idx="416">
                  <c:v>-0.13178311179852642</c:v>
                </c:pt>
                <c:pt idx="417">
                  <c:v>0.18376320873583296</c:v>
                </c:pt>
                <c:pt idx="418">
                  <c:v>0.19357920873583367</c:v>
                </c:pt>
                <c:pt idx="419">
                  <c:v>0.1941302087358352</c:v>
                </c:pt>
                <c:pt idx="420">
                  <c:v>0.1832339029408061</c:v>
                </c:pt>
                <c:pt idx="421">
                  <c:v>-0.14132040107473642</c:v>
                </c:pt>
                <c:pt idx="422">
                  <c:v>0.41052459892526372</c:v>
                </c:pt>
                <c:pt idx="423">
                  <c:v>0.17801359892526847</c:v>
                </c:pt>
                <c:pt idx="424">
                  <c:v>0.60273132721655287</c:v>
                </c:pt>
                <c:pt idx="425">
                  <c:v>0.32777995255857206</c:v>
                </c:pt>
                <c:pt idx="426">
                  <c:v>3.0465952558571985E-2</c:v>
                </c:pt>
                <c:pt idx="427">
                  <c:v>0.20007462234655549</c:v>
                </c:pt>
                <c:pt idx="428">
                  <c:v>0.55426113420201517</c:v>
                </c:pt>
                <c:pt idx="429">
                  <c:v>0.23085824700891777</c:v>
                </c:pt>
                <c:pt idx="430">
                  <c:v>0.34279161255241775</c:v>
                </c:pt>
                <c:pt idx="431">
                  <c:v>0.26547592298793887</c:v>
                </c:pt>
                <c:pt idx="432">
                  <c:v>9.9124426042465075E-2</c:v>
                </c:pt>
                <c:pt idx="433">
                  <c:v>0.35481108335054046</c:v>
                </c:pt>
                <c:pt idx="434">
                  <c:v>0.59794595424743591</c:v>
                </c:pt>
                <c:pt idx="435">
                  <c:v>0.33648000759063024</c:v>
                </c:pt>
                <c:pt idx="436">
                  <c:v>0.31047040321206509</c:v>
                </c:pt>
                <c:pt idx="437">
                  <c:v>0.19283740321206722</c:v>
                </c:pt>
                <c:pt idx="438">
                  <c:v>0.28937078793095594</c:v>
                </c:pt>
                <c:pt idx="439">
                  <c:v>0.3671256506615137</c:v>
                </c:pt>
                <c:pt idx="440">
                  <c:v>0.27892903229643196</c:v>
                </c:pt>
                <c:pt idx="441">
                  <c:v>0.54427103229643592</c:v>
                </c:pt>
                <c:pt idx="442">
                  <c:v>0.48063272636121468</c:v>
                </c:pt>
                <c:pt idx="443">
                  <c:v>8.9703701586735463E-2</c:v>
                </c:pt>
                <c:pt idx="444">
                  <c:v>0.25617068531288112</c:v>
                </c:pt>
                <c:pt idx="445">
                  <c:v>0.2698426853128808</c:v>
                </c:pt>
                <c:pt idx="446">
                  <c:v>-0.1193704848988304</c:v>
                </c:pt>
                <c:pt idx="447">
                  <c:v>0.15193698984045056</c:v>
                </c:pt>
                <c:pt idx="448">
                  <c:v>0.29927298984044626</c:v>
                </c:pt>
                <c:pt idx="449">
                  <c:v>2.2838359671055741E-2</c:v>
                </c:pt>
                <c:pt idx="450">
                  <c:v>0.61418235967104806</c:v>
                </c:pt>
                <c:pt idx="451">
                  <c:v>0.82377763315603403</c:v>
                </c:pt>
                <c:pt idx="452">
                  <c:v>0.84932297762036768</c:v>
                </c:pt>
                <c:pt idx="453">
                  <c:v>0.2765708889591707</c:v>
                </c:pt>
                <c:pt idx="454">
                  <c:v>0.18335165484559468</c:v>
                </c:pt>
                <c:pt idx="455">
                  <c:v>0.5230646147656941</c:v>
                </c:pt>
                <c:pt idx="456">
                  <c:v>0.35990152304175638</c:v>
                </c:pt>
                <c:pt idx="457">
                  <c:v>0.22668491451476314</c:v>
                </c:pt>
                <c:pt idx="458">
                  <c:v>0.14390361289903097</c:v>
                </c:pt>
                <c:pt idx="459">
                  <c:v>0.63852091011773382</c:v>
                </c:pt>
                <c:pt idx="460">
                  <c:v>0.57629029032489854</c:v>
                </c:pt>
                <c:pt idx="461">
                  <c:v>0.4515760031144751</c:v>
                </c:pt>
                <c:pt idx="462">
                  <c:v>0.13861800311448036</c:v>
                </c:pt>
                <c:pt idx="463">
                  <c:v>7.6395491178530506E-2</c:v>
                </c:pt>
                <c:pt idx="464">
                  <c:v>0.3569759540346169</c:v>
                </c:pt>
                <c:pt idx="465">
                  <c:v>0.28263544523727546</c:v>
                </c:pt>
                <c:pt idx="466">
                  <c:v>-9.6437715376481492E-2</c:v>
                </c:pt>
                <c:pt idx="467">
                  <c:v>0.60783938903906432</c:v>
                </c:pt>
                <c:pt idx="468">
                  <c:v>0.3867034655266437</c:v>
                </c:pt>
                <c:pt idx="469">
                  <c:v>0.29694970273257582</c:v>
                </c:pt>
                <c:pt idx="470">
                  <c:v>0.1732119991216905</c:v>
                </c:pt>
                <c:pt idx="471">
                  <c:v>9.2108354651273316E-2</c:v>
                </c:pt>
                <c:pt idx="472">
                  <c:v>0.4185475605517297</c:v>
                </c:pt>
                <c:pt idx="473">
                  <c:v>-0.11750994427784178</c:v>
                </c:pt>
                <c:pt idx="474">
                  <c:v>-0.19589534413968579</c:v>
                </c:pt>
                <c:pt idx="475">
                  <c:v>-0.14579664346196353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52F-97AE-2FE788B5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72080"/>
        <c:axId val="909967648"/>
      </c:scatterChart>
      <c:valAx>
        <c:axId val="10983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9967648"/>
        <c:crossesAt val="-1"/>
        <c:crossBetween val="midCat"/>
      </c:valAx>
      <c:valAx>
        <c:axId val="9099676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5.5555555555555566E-3"/>
              <c:y val="0.261840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837208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04119939553"/>
          <c:y val="3.0513998250218721E-2"/>
          <c:w val="0.84306867891513559"/>
          <c:h val="0.80797200349956244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7-455E-818E-E92B7E7189F5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(Gpc)</a:t>
                </a:r>
              </a:p>
            </c:rich>
          </c:tx>
          <c:layout>
            <c:manualLayout>
              <c:xMode val="edge"/>
              <c:yMode val="edge"/>
              <c:x val="6.5594925634295696E-3"/>
              <c:y val="0.2101679790026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1959755030622"/>
          <c:y val="2.2814204299228952E-2"/>
          <c:w val="0.79061373578302707"/>
          <c:h val="0.794898161094349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Tau!$D$5:$D$101</c:f>
              <c:numCache>
                <c:formatCode>0.0</c:formatCode>
                <c:ptCount val="97"/>
                <c:pt idx="0">
                  <c:v>0</c:v>
                </c:pt>
                <c:pt idx="1">
                  <c:v>1.3</c:v>
                </c:pt>
                <c:pt idx="2">
                  <c:v>2.6999999999999997</c:v>
                </c:pt>
                <c:pt idx="3">
                  <c:v>4.1999999999999993</c:v>
                </c:pt>
                <c:pt idx="4">
                  <c:v>5.7999999999999989</c:v>
                </c:pt>
                <c:pt idx="5">
                  <c:v>7.4999999999999991</c:v>
                </c:pt>
                <c:pt idx="6">
                  <c:v>9.3000000000000007</c:v>
                </c:pt>
                <c:pt idx="7">
                  <c:v>11.200000000000001</c:v>
                </c:pt>
                <c:pt idx="8">
                  <c:v>13.200000000000001</c:v>
                </c:pt>
                <c:pt idx="9">
                  <c:v>15.3</c:v>
                </c:pt>
                <c:pt idx="10">
                  <c:v>17.5</c:v>
                </c:pt>
                <c:pt idx="11">
                  <c:v>19.8</c:v>
                </c:pt>
                <c:pt idx="12">
                  <c:v>22.2</c:v>
                </c:pt>
                <c:pt idx="13">
                  <c:v>24.7</c:v>
                </c:pt>
                <c:pt idx="14">
                  <c:v>27.3</c:v>
                </c:pt>
                <c:pt idx="15">
                  <c:v>30</c:v>
                </c:pt>
                <c:pt idx="16">
                  <c:v>32.799999999999997</c:v>
                </c:pt>
                <c:pt idx="17">
                  <c:v>35.699999999999996</c:v>
                </c:pt>
                <c:pt idx="18">
                  <c:v>38.699999999999996</c:v>
                </c:pt>
                <c:pt idx="19">
                  <c:v>41.8</c:v>
                </c:pt>
                <c:pt idx="20">
                  <c:v>45</c:v>
                </c:pt>
                <c:pt idx="21">
                  <c:v>48.3</c:v>
                </c:pt>
                <c:pt idx="22">
                  <c:v>51.699999999999996</c:v>
                </c:pt>
                <c:pt idx="23">
                  <c:v>55.199999999999996</c:v>
                </c:pt>
                <c:pt idx="24">
                  <c:v>58.8</c:v>
                </c:pt>
                <c:pt idx="25">
                  <c:v>62.5</c:v>
                </c:pt>
                <c:pt idx="26">
                  <c:v>66.3</c:v>
                </c:pt>
                <c:pt idx="27">
                  <c:v>70.2</c:v>
                </c:pt>
                <c:pt idx="28">
                  <c:v>74.2</c:v>
                </c:pt>
                <c:pt idx="29">
                  <c:v>78.3</c:v>
                </c:pt>
                <c:pt idx="30">
                  <c:v>82.5</c:v>
                </c:pt>
                <c:pt idx="31">
                  <c:v>86.8</c:v>
                </c:pt>
                <c:pt idx="32">
                  <c:v>91.2</c:v>
                </c:pt>
                <c:pt idx="33">
                  <c:v>95.7</c:v>
                </c:pt>
                <c:pt idx="34">
                  <c:v>100.3</c:v>
                </c:pt>
                <c:pt idx="35">
                  <c:v>105</c:v>
                </c:pt>
                <c:pt idx="36">
                  <c:v>109.8</c:v>
                </c:pt>
                <c:pt idx="37">
                  <c:v>114.7</c:v>
                </c:pt>
                <c:pt idx="38">
                  <c:v>119.7</c:v>
                </c:pt>
                <c:pt idx="39">
                  <c:v>124.8</c:v>
                </c:pt>
                <c:pt idx="40">
                  <c:v>130</c:v>
                </c:pt>
                <c:pt idx="41">
                  <c:v>135.30000000000001</c:v>
                </c:pt>
                <c:pt idx="42">
                  <c:v>140.70000000000002</c:v>
                </c:pt>
                <c:pt idx="43">
                  <c:v>146.20000000000002</c:v>
                </c:pt>
                <c:pt idx="44">
                  <c:v>151.80000000000001</c:v>
                </c:pt>
                <c:pt idx="45">
                  <c:v>157.5</c:v>
                </c:pt>
                <c:pt idx="46">
                  <c:v>163.30000000000001</c:v>
                </c:pt>
                <c:pt idx="47">
                  <c:v>169.20000000000002</c:v>
                </c:pt>
                <c:pt idx="48">
                  <c:v>175.20000000000002</c:v>
                </c:pt>
                <c:pt idx="49">
                  <c:v>181.3</c:v>
                </c:pt>
                <c:pt idx="50">
                  <c:v>187.5</c:v>
                </c:pt>
                <c:pt idx="51">
                  <c:v>193.8</c:v>
                </c:pt>
                <c:pt idx="52">
                  <c:v>200.20000000000002</c:v>
                </c:pt>
                <c:pt idx="53">
                  <c:v>206.70000000000002</c:v>
                </c:pt>
                <c:pt idx="54">
                  <c:v>213.3</c:v>
                </c:pt>
                <c:pt idx="55">
                  <c:v>220</c:v>
                </c:pt>
                <c:pt idx="56">
                  <c:v>226.8</c:v>
                </c:pt>
                <c:pt idx="57">
                  <c:v>233.70000000000002</c:v>
                </c:pt>
                <c:pt idx="58">
                  <c:v>240.70000000000002</c:v>
                </c:pt>
                <c:pt idx="59">
                  <c:v>247.8</c:v>
                </c:pt>
                <c:pt idx="60">
                  <c:v>255</c:v>
                </c:pt>
                <c:pt idx="61">
                  <c:v>262.3</c:v>
                </c:pt>
                <c:pt idx="62">
                  <c:v>269.7</c:v>
                </c:pt>
                <c:pt idx="63">
                  <c:v>277.2</c:v>
                </c:pt>
                <c:pt idx="64">
                  <c:v>284.8</c:v>
                </c:pt>
                <c:pt idx="65">
                  <c:v>292.5</c:v>
                </c:pt>
                <c:pt idx="66">
                  <c:v>300.3</c:v>
                </c:pt>
                <c:pt idx="67">
                  <c:v>308.2</c:v>
                </c:pt>
                <c:pt idx="68">
                  <c:v>316.2</c:v>
                </c:pt>
                <c:pt idx="69">
                  <c:v>324.3</c:v>
                </c:pt>
                <c:pt idx="70">
                  <c:v>332.5</c:v>
                </c:pt>
                <c:pt idx="71">
                  <c:v>340.8</c:v>
                </c:pt>
                <c:pt idx="72">
                  <c:v>349.2</c:v>
                </c:pt>
                <c:pt idx="73">
                  <c:v>357.7</c:v>
                </c:pt>
                <c:pt idx="74">
                  <c:v>366.3</c:v>
                </c:pt>
                <c:pt idx="75">
                  <c:v>375</c:v>
                </c:pt>
                <c:pt idx="76">
                  <c:v>383.8</c:v>
                </c:pt>
                <c:pt idx="77">
                  <c:v>392.7</c:v>
                </c:pt>
                <c:pt idx="78">
                  <c:v>401.7</c:v>
                </c:pt>
                <c:pt idx="79">
                  <c:v>410.8</c:v>
                </c:pt>
                <c:pt idx="80">
                  <c:v>420</c:v>
                </c:pt>
                <c:pt idx="81">
                  <c:v>429.3</c:v>
                </c:pt>
                <c:pt idx="82">
                  <c:v>438.7</c:v>
                </c:pt>
                <c:pt idx="83">
                  <c:v>448.2</c:v>
                </c:pt>
                <c:pt idx="84">
                  <c:v>457.8</c:v>
                </c:pt>
                <c:pt idx="85">
                  <c:v>467.5</c:v>
                </c:pt>
                <c:pt idx="86">
                  <c:v>477.3</c:v>
                </c:pt>
                <c:pt idx="87">
                  <c:v>487.2</c:v>
                </c:pt>
                <c:pt idx="88">
                  <c:v>497.2</c:v>
                </c:pt>
                <c:pt idx="89">
                  <c:v>507.3</c:v>
                </c:pt>
                <c:pt idx="90">
                  <c:v>517.5</c:v>
                </c:pt>
                <c:pt idx="91">
                  <c:v>527.79999999999995</c:v>
                </c:pt>
                <c:pt idx="92">
                  <c:v>538.19999999999993</c:v>
                </c:pt>
                <c:pt idx="93">
                  <c:v>548.69999999999993</c:v>
                </c:pt>
                <c:pt idx="94">
                  <c:v>559.29999999999995</c:v>
                </c:pt>
                <c:pt idx="95">
                  <c:v>570</c:v>
                </c:pt>
                <c:pt idx="96">
                  <c:v>580.79999999999995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6-4314-BBCA-2B1FFB4164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Tau!$E$5:$E$101</c:f>
              <c:numCache>
                <c:formatCode>0.0</c:formatCode>
                <c:ptCount val="97"/>
                <c:pt idx="0">
                  <c:v>0</c:v>
                </c:pt>
                <c:pt idx="1">
                  <c:v>1.25</c:v>
                </c:pt>
                <c:pt idx="2">
                  <c:v>2.6</c:v>
                </c:pt>
                <c:pt idx="3">
                  <c:v>4.05</c:v>
                </c:pt>
                <c:pt idx="4">
                  <c:v>5.6</c:v>
                </c:pt>
                <c:pt idx="5">
                  <c:v>7.25</c:v>
                </c:pt>
                <c:pt idx="6">
                  <c:v>9</c:v>
                </c:pt>
                <c:pt idx="7">
                  <c:v>10.850000000000001</c:v>
                </c:pt>
                <c:pt idx="8">
                  <c:v>12.8</c:v>
                </c:pt>
                <c:pt idx="9">
                  <c:v>14.850000000000001</c:v>
                </c:pt>
                <c:pt idx="10">
                  <c:v>17</c:v>
                </c:pt>
                <c:pt idx="11">
                  <c:v>19.25</c:v>
                </c:pt>
                <c:pt idx="12">
                  <c:v>21.6</c:v>
                </c:pt>
                <c:pt idx="13">
                  <c:v>24.05</c:v>
                </c:pt>
                <c:pt idx="14">
                  <c:v>26.6</c:v>
                </c:pt>
                <c:pt idx="15">
                  <c:v>29.25</c:v>
                </c:pt>
                <c:pt idx="16">
                  <c:v>32</c:v>
                </c:pt>
                <c:pt idx="17">
                  <c:v>34.85</c:v>
                </c:pt>
                <c:pt idx="18">
                  <c:v>37.799999999999997</c:v>
                </c:pt>
                <c:pt idx="19">
                  <c:v>40.85</c:v>
                </c:pt>
                <c:pt idx="20">
                  <c:v>44</c:v>
                </c:pt>
                <c:pt idx="21">
                  <c:v>47.25</c:v>
                </c:pt>
                <c:pt idx="22">
                  <c:v>50.6</c:v>
                </c:pt>
                <c:pt idx="23">
                  <c:v>54.050000000000004</c:v>
                </c:pt>
                <c:pt idx="24">
                  <c:v>57.6</c:v>
                </c:pt>
                <c:pt idx="25">
                  <c:v>61.25</c:v>
                </c:pt>
                <c:pt idx="26">
                  <c:v>65</c:v>
                </c:pt>
                <c:pt idx="27">
                  <c:v>68.849999999999994</c:v>
                </c:pt>
                <c:pt idx="28">
                  <c:v>72.800000000000011</c:v>
                </c:pt>
                <c:pt idx="29">
                  <c:v>76.849999999999994</c:v>
                </c:pt>
                <c:pt idx="30">
                  <c:v>81</c:v>
                </c:pt>
                <c:pt idx="31">
                  <c:v>85.25</c:v>
                </c:pt>
                <c:pt idx="32">
                  <c:v>89.6</c:v>
                </c:pt>
                <c:pt idx="33">
                  <c:v>94.050000000000011</c:v>
                </c:pt>
                <c:pt idx="34">
                  <c:v>98.6</c:v>
                </c:pt>
                <c:pt idx="35">
                  <c:v>103.25</c:v>
                </c:pt>
                <c:pt idx="36">
                  <c:v>108</c:v>
                </c:pt>
                <c:pt idx="37">
                  <c:v>112.85</c:v>
                </c:pt>
                <c:pt idx="38">
                  <c:v>117.80000000000001</c:v>
                </c:pt>
                <c:pt idx="39">
                  <c:v>122.85</c:v>
                </c:pt>
                <c:pt idx="40">
                  <c:v>128</c:v>
                </c:pt>
                <c:pt idx="41">
                  <c:v>133.25</c:v>
                </c:pt>
                <c:pt idx="42">
                  <c:v>138.6</c:v>
                </c:pt>
                <c:pt idx="43">
                  <c:v>144.05000000000001</c:v>
                </c:pt>
                <c:pt idx="44">
                  <c:v>149.60000000000002</c:v>
                </c:pt>
                <c:pt idx="45">
                  <c:v>155.25</c:v>
                </c:pt>
                <c:pt idx="46">
                  <c:v>161</c:v>
                </c:pt>
                <c:pt idx="47">
                  <c:v>166.85</c:v>
                </c:pt>
                <c:pt idx="48">
                  <c:v>172.8</c:v>
                </c:pt>
                <c:pt idx="49">
                  <c:v>178.85000000000002</c:v>
                </c:pt>
                <c:pt idx="50">
                  <c:v>185</c:v>
                </c:pt>
                <c:pt idx="51">
                  <c:v>191.25</c:v>
                </c:pt>
                <c:pt idx="52">
                  <c:v>197.60000000000002</c:v>
                </c:pt>
                <c:pt idx="53">
                  <c:v>204.05</c:v>
                </c:pt>
                <c:pt idx="54">
                  <c:v>210.60000000000002</c:v>
                </c:pt>
                <c:pt idx="55">
                  <c:v>217.25</c:v>
                </c:pt>
                <c:pt idx="56">
                  <c:v>224</c:v>
                </c:pt>
                <c:pt idx="57">
                  <c:v>230.85000000000002</c:v>
                </c:pt>
                <c:pt idx="58">
                  <c:v>237.8</c:v>
                </c:pt>
                <c:pt idx="59">
                  <c:v>244.85000000000002</c:v>
                </c:pt>
                <c:pt idx="60">
                  <c:v>252</c:v>
                </c:pt>
                <c:pt idx="61">
                  <c:v>259.25</c:v>
                </c:pt>
                <c:pt idx="62">
                  <c:v>266.60000000000002</c:v>
                </c:pt>
                <c:pt idx="63">
                  <c:v>274.05</c:v>
                </c:pt>
                <c:pt idx="64">
                  <c:v>281.60000000000002</c:v>
                </c:pt>
                <c:pt idx="65">
                  <c:v>289.25</c:v>
                </c:pt>
                <c:pt idx="66">
                  <c:v>297</c:v>
                </c:pt>
                <c:pt idx="67">
                  <c:v>304.85000000000002</c:v>
                </c:pt>
                <c:pt idx="68">
                  <c:v>312.8</c:v>
                </c:pt>
                <c:pt idx="69">
                  <c:v>320.85000000000002</c:v>
                </c:pt>
                <c:pt idx="70">
                  <c:v>329</c:v>
                </c:pt>
                <c:pt idx="71">
                  <c:v>337.25</c:v>
                </c:pt>
                <c:pt idx="72">
                  <c:v>345.6</c:v>
                </c:pt>
                <c:pt idx="73">
                  <c:v>354.04999999999995</c:v>
                </c:pt>
                <c:pt idx="74">
                  <c:v>362.6</c:v>
                </c:pt>
                <c:pt idx="75">
                  <c:v>371.25</c:v>
                </c:pt>
                <c:pt idx="76">
                  <c:v>380</c:v>
                </c:pt>
                <c:pt idx="77">
                  <c:v>388.85</c:v>
                </c:pt>
                <c:pt idx="78">
                  <c:v>397.79999999999995</c:v>
                </c:pt>
                <c:pt idx="79">
                  <c:v>406.85</c:v>
                </c:pt>
                <c:pt idx="80">
                  <c:v>416</c:v>
                </c:pt>
                <c:pt idx="81">
                  <c:v>425.25</c:v>
                </c:pt>
                <c:pt idx="82">
                  <c:v>434.6</c:v>
                </c:pt>
                <c:pt idx="83">
                  <c:v>444.05000000000007</c:v>
                </c:pt>
                <c:pt idx="84">
                  <c:v>453.6</c:v>
                </c:pt>
                <c:pt idx="85">
                  <c:v>463.25</c:v>
                </c:pt>
                <c:pt idx="86">
                  <c:v>473</c:v>
                </c:pt>
                <c:pt idx="87">
                  <c:v>482.85</c:v>
                </c:pt>
                <c:pt idx="88">
                  <c:v>492.80000000000007</c:v>
                </c:pt>
                <c:pt idx="89">
                  <c:v>502.85</c:v>
                </c:pt>
                <c:pt idx="90">
                  <c:v>513</c:v>
                </c:pt>
                <c:pt idx="91">
                  <c:v>523.25</c:v>
                </c:pt>
                <c:pt idx="92">
                  <c:v>533.6</c:v>
                </c:pt>
                <c:pt idx="93">
                  <c:v>544.05000000000007</c:v>
                </c:pt>
                <c:pt idx="94">
                  <c:v>554.6</c:v>
                </c:pt>
                <c:pt idx="95">
                  <c:v>565.25</c:v>
                </c:pt>
                <c:pt idx="96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7-4517-9493-3A9A9703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83983"/>
        <c:axId val="2074184399"/>
      </c:scatterChart>
      <c:valAx>
        <c:axId val="207418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800" b="0" i="0" u="none" strike="noStrike" baseline="0">
                    <a:effectLst/>
                  </a:rPr>
                  <a:t>τ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54980424321959753"/>
              <c:y val="0.84556593977154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4399"/>
        <c:crosses val="autoZero"/>
        <c:crossBetween val="midCat"/>
      </c:valAx>
      <c:valAx>
        <c:axId val="2074184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</a:t>
                </a:r>
              </a:p>
            </c:rich>
          </c:tx>
          <c:layout>
            <c:manualLayout>
              <c:xMode val="edge"/>
              <c:yMode val="edge"/>
              <c:x val="0"/>
              <c:y val="0.37999329523061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6811648543931"/>
          <c:y val="2.3067220764071156E-2"/>
          <c:w val="0.80790807399075115"/>
          <c:h val="0.83505103528725577"/>
        </c:manualLayout>
      </c:layout>
      <c:scatterChart>
        <c:scatterStyle val="smoothMarker"/>
        <c:varyColors val="0"/>
        <c:ser>
          <c:idx val="0"/>
          <c:order val="0"/>
          <c:tx>
            <c:v>QEH Redshift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Recombination!$A$1:$A$1000</c:f>
              <c:numCache>
                <c:formatCode>0</c:formatCode>
                <c:ptCount val="1000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Recombination!$C$1:$C$1000</c:f>
              <c:numCache>
                <c:formatCode>General</c:formatCode>
                <c:ptCount val="1000"/>
                <c:pt idx="0">
                  <c:v>3.4590118319625177E-2</c:v>
                </c:pt>
                <c:pt idx="1">
                  <c:v>3.4367962232399851E-2</c:v>
                </c:pt>
                <c:pt idx="2">
                  <c:v>3.4336502998582194E-2</c:v>
                </c:pt>
                <c:pt idx="3">
                  <c:v>3.4300386272451314E-2</c:v>
                </c:pt>
                <c:pt idx="4">
                  <c:v>3.4258968729535128E-2</c:v>
                </c:pt>
                <c:pt idx="5">
                  <c:v>3.4211365783299232E-2</c:v>
                </c:pt>
                <c:pt idx="6">
                  <c:v>3.4156732363379988E-2</c:v>
                </c:pt>
                <c:pt idx="7">
                  <c:v>3.4093981756280922E-2</c:v>
                </c:pt>
                <c:pt idx="8">
                  <c:v>3.4021945889592266E-2</c:v>
                </c:pt>
                <c:pt idx="9">
                  <c:v>3.3939294709125052E-2</c:v>
                </c:pt>
                <c:pt idx="10">
                  <c:v>3.3844495564594831E-2</c:v>
                </c:pt>
                <c:pt idx="11">
                  <c:v>3.373581261272153E-2</c:v>
                </c:pt>
                <c:pt idx="12">
                  <c:v>3.3611426658112467E-2</c:v>
                </c:pt>
                <c:pt idx="13">
                  <c:v>3.3469152972471446E-2</c:v>
                </c:pt>
                <c:pt idx="14">
                  <c:v>3.3306641037171431E-2</c:v>
                </c:pt>
                <c:pt idx="15">
                  <c:v>3.3121413481480018E-2</c:v>
                </c:pt>
                <c:pt idx="16">
                  <c:v>3.2910623064641445E-2</c:v>
                </c:pt>
                <c:pt idx="17">
                  <c:v>3.2671332278986998E-2</c:v>
                </c:pt>
                <c:pt idx="18">
                  <c:v>3.2400350086833341E-2</c:v>
                </c:pt>
                <c:pt idx="19">
                  <c:v>3.2094471038634886E-2</c:v>
                </c:pt>
                <c:pt idx="20">
                  <c:v>3.1750230596343937E-2</c:v>
                </c:pt>
                <c:pt idx="21">
                  <c:v>3.1364224560524019E-2</c:v>
                </c:pt>
                <c:pt idx="22">
                  <c:v>3.0933146674678814E-2</c:v>
                </c:pt>
                <c:pt idx="23">
                  <c:v>3.0453704859442886E-2</c:v>
                </c:pt>
                <c:pt idx="24">
                  <c:v>2.9922901605977738E-2</c:v>
                </c:pt>
                <c:pt idx="25">
                  <c:v>2.9338235259186954E-2</c:v>
                </c:pt>
                <c:pt idx="26">
                  <c:v>2.869753757548452E-2</c:v>
                </c:pt>
                <c:pt idx="27">
                  <c:v>2.7999258434461941E-2</c:v>
                </c:pt>
                <c:pt idx="28">
                  <c:v>2.7242713321423518E-2</c:v>
                </c:pt>
                <c:pt idx="29">
                  <c:v>2.6427967010484679E-2</c:v>
                </c:pt>
                <c:pt idx="30">
                  <c:v>2.5556045143965596E-2</c:v>
                </c:pt>
                <c:pt idx="31">
                  <c:v>2.4629026892194546E-2</c:v>
                </c:pt>
                <c:pt idx="32">
                  <c:v>2.3650017261794054E-2</c:v>
                </c:pt>
                <c:pt idx="33">
                  <c:v>2.2623120755409724E-2</c:v>
                </c:pt>
                <c:pt idx="34">
                  <c:v>2.1553664014642062E-2</c:v>
                </c:pt>
                <c:pt idx="35">
                  <c:v>2.044775997095594E-2</c:v>
                </c:pt>
                <c:pt idx="36">
                  <c:v>1.9312489045497174E-2</c:v>
                </c:pt>
                <c:pt idx="37">
                  <c:v>1.8155624939005705E-2</c:v>
                </c:pt>
                <c:pt idx="38">
                  <c:v>1.6985564278096717E-2</c:v>
                </c:pt>
                <c:pt idx="39">
                  <c:v>1.581100270884676E-2</c:v>
                </c:pt>
                <c:pt idx="40">
                  <c:v>1.4640898092370003E-2</c:v>
                </c:pt>
                <c:pt idx="41">
                  <c:v>1.3484094483572039E-2</c:v>
                </c:pt>
                <c:pt idx="42">
                  <c:v>1.2349275936839738E-2</c:v>
                </c:pt>
                <c:pt idx="43">
                  <c:v>1.1244621689130393E-2</c:v>
                </c:pt>
                <c:pt idx="44">
                  <c:v>1.0177751713365079E-2</c:v>
                </c:pt>
                <c:pt idx="45">
                  <c:v>9.1554155636923897E-3</c:v>
                </c:pt>
                <c:pt idx="46">
                  <c:v>8.1836028523264541E-3</c:v>
                </c:pt>
                <c:pt idx="47">
                  <c:v>7.2671859021197667E-3</c:v>
                </c:pt>
                <c:pt idx="48">
                  <c:v>6.4099868316571888E-3</c:v>
                </c:pt>
                <c:pt idx="49">
                  <c:v>5.6147614694766826E-3</c:v>
                </c:pt>
                <c:pt idx="50">
                  <c:v>4.883099210513382E-3</c:v>
                </c:pt>
                <c:pt idx="51">
                  <c:v>4.2156252525342693E-3</c:v>
                </c:pt>
                <c:pt idx="52">
                  <c:v>3.6118625379256797E-3</c:v>
                </c:pt>
                <c:pt idx="53">
                  <c:v>3.070526045640396E-3</c:v>
                </c:pt>
                <c:pt idx="54">
                  <c:v>2.5894328915134959E-3</c:v>
                </c:pt>
                <c:pt idx="55">
                  <c:v>2.1657160493198501E-3</c:v>
                </c:pt>
                <c:pt idx="56">
                  <c:v>1.7959975908699848E-3</c:v>
                </c:pt>
                <c:pt idx="57">
                  <c:v>1.476433929017624E-3</c:v>
                </c:pt>
                <c:pt idx="58">
                  <c:v>1.2028917747656214E-3</c:v>
                </c:pt>
                <c:pt idx="59">
                  <c:v>9.710383871199237E-4</c:v>
                </c:pt>
                <c:pt idx="60">
                  <c:v>7.7651878286622716E-4</c:v>
                </c:pt>
                <c:pt idx="61">
                  <c:v>6.1495968474499464E-4</c:v>
                </c:pt>
                <c:pt idx="62">
                  <c:v>4.8223333835012232E-4</c:v>
                </c:pt>
                <c:pt idx="63">
                  <c:v>3.7437415425091279E-4</c:v>
                </c:pt>
                <c:pt idx="64">
                  <c:v>2.8766822974591618E-4</c:v>
                </c:pt>
                <c:pt idx="65">
                  <c:v>2.1869905580025891E-4</c:v>
                </c:pt>
                <c:pt idx="66">
                  <c:v>1.6452301227643936E-4</c:v>
                </c:pt>
                <c:pt idx="67">
                  <c:v>1.2241036151861945E-4</c:v>
                </c:pt>
                <c:pt idx="68">
                  <c:v>9.0019915856612425E-5</c:v>
                </c:pt>
                <c:pt idx="69">
                  <c:v>6.5356401580547721E-5</c:v>
                </c:pt>
                <c:pt idx="70">
                  <c:v>4.6770997128010695E-5</c:v>
                </c:pt>
                <c:pt idx="71">
                  <c:v>3.2918274141467819E-5</c:v>
                </c:pt>
                <c:pt idx="72">
                  <c:v>2.2626153100988786E-5</c:v>
                </c:pt>
                <c:pt idx="73">
                  <c:v>1.4982901172075856E-5</c:v>
                </c:pt>
                <c:pt idx="74">
                  <c:v>9.2938024694240156E-6</c:v>
                </c:pt>
                <c:pt idx="75">
                  <c:v>5.0377867709229402E-6</c:v>
                </c:pt>
                <c:pt idx="76">
                  <c:v>1.7806037255470675E-6</c:v>
                </c:pt>
                <c:pt idx="77">
                  <c:v>-8.1213144048458389E-7</c:v>
                </c:pt>
                <c:pt idx="78">
                  <c:v>-2.9966422635739816E-6</c:v>
                </c:pt>
                <c:pt idx="79">
                  <c:v>-4.9466423200836432E-6</c:v>
                </c:pt>
                <c:pt idx="80">
                  <c:v>-6.8141338780875747E-6</c:v>
                </c:pt>
                <c:pt idx="81">
                  <c:v>-8.7163777209580736E-6</c:v>
                </c:pt>
                <c:pt idx="82">
                  <c:v>-1.0761950602658021E-5</c:v>
                </c:pt>
                <c:pt idx="83">
                  <c:v>-1.3042059119058624E-5</c:v>
                </c:pt>
                <c:pt idx="84">
                  <c:v>-1.5660941385903423E-5</c:v>
                </c:pt>
                <c:pt idx="85">
                  <c:v>-1.8714152424530951E-5</c:v>
                </c:pt>
                <c:pt idx="86">
                  <c:v>-2.2318966915768314E-5</c:v>
                </c:pt>
                <c:pt idx="87">
                  <c:v>-2.6618724534992988E-5</c:v>
                </c:pt>
                <c:pt idx="88">
                  <c:v>-3.1765460083452034E-5</c:v>
                </c:pt>
                <c:pt idx="89">
                  <c:v>-3.7963339875109477E-5</c:v>
                </c:pt>
                <c:pt idx="90">
                  <c:v>-4.54512958117284E-5</c:v>
                </c:pt>
                <c:pt idx="91">
                  <c:v>-5.4529095338558201E-5</c:v>
                </c:pt>
                <c:pt idx="92">
                  <c:v>-6.5557356836691186E-5</c:v>
                </c:pt>
                <c:pt idx="93">
                  <c:v>-7.9001008277913482E-5</c:v>
                </c:pt>
                <c:pt idx="94">
                  <c:v>-9.542498049214494E-5</c:v>
                </c:pt>
                <c:pt idx="95">
                  <c:v>-1.1555073168287911E-4</c:v>
                </c:pt>
                <c:pt idx="96">
                  <c:v>-1.4027805554910256E-4</c:v>
                </c:pt>
                <c:pt idx="97">
                  <c:v>-1.7073300161367085E-4</c:v>
                </c:pt>
                <c:pt idx="98">
                  <c:v>-2.0834628692838756E-4</c:v>
                </c:pt>
                <c:pt idx="99">
                  <c:v>-2.5493183895887212E-4</c:v>
                </c:pt>
                <c:pt idx="100">
                  <c:v>-3.127829197930205E-4</c:v>
                </c:pt>
                <c:pt idx="101">
                  <c:v>-3.848250675708262E-4</c:v>
                </c:pt>
                <c:pt idx="102">
                  <c:v>-4.7479999866407096E-4</c:v>
                </c:pt>
                <c:pt idx="103">
                  <c:v>-5.8748079431147156E-4</c:v>
                </c:pt>
                <c:pt idx="104">
                  <c:v>-7.2901022405764797E-4</c:v>
                </c:pt>
                <c:pt idx="105">
                  <c:v>-9.0728488529056889E-4</c:v>
                </c:pt>
                <c:pt idx="106">
                  <c:v>-1.1324910388949142E-3</c:v>
                </c:pt>
                <c:pt idx="107">
                  <c:v>-1.4177860067748603E-3</c:v>
                </c:pt>
                <c:pt idx="108">
                  <c:v>-1.7802295246074607E-3</c:v>
                </c:pt>
                <c:pt idx="109">
                  <c:v>-2.241932984754919E-3</c:v>
                </c:pt>
                <c:pt idx="110">
                  <c:v>-2.8316083627981875E-3</c:v>
                </c:pt>
                <c:pt idx="111">
                  <c:v>-3.5865718158374915E-3</c:v>
                </c:pt>
                <c:pt idx="112">
                  <c:v>-4.5552787154286411E-3</c:v>
                </c:pt>
                <c:pt idx="113">
                  <c:v>-5.8005672084322788E-3</c:v>
                </c:pt>
                <c:pt idx="114">
                  <c:v>-7.4037086977645121E-3</c:v>
                </c:pt>
                <c:pt idx="115">
                  <c:v>-9.4693075823763205E-3</c:v>
                </c:pt>
                <c:pt idx="116">
                  <c:v>-1.2131080328878592E-2</c:v>
                </c:pt>
                <c:pt idx="117">
                  <c:v>-1.555825784953822E-2</c:v>
                </c:pt>
                <c:pt idx="118">
                  <c:v>-1.9962104514100656E-2</c:v>
                </c:pt>
                <c:pt idx="119">
                  <c:v>-2.5601597828788809E-2</c:v>
                </c:pt>
                <c:pt idx="120">
                  <c:v>-3.2786723267592258E-2</c:v>
                </c:pt>
                <c:pt idx="121">
                  <c:v>-4.1877352798504741E-2</c:v>
                </c:pt>
                <c:pt idx="122">
                  <c:v>-5.3275551064320588E-2</c:v>
                </c:pt>
                <c:pt idx="123">
                  <c:v>-6.7409625660903597E-2</c:v>
                </c:pt>
                <c:pt idx="124">
                  <c:v>-8.4709913207030627E-2</c:v>
                </c:pt>
                <c:pt idx="125">
                  <c:v>-0.10557857275185339</c:v>
                </c:pt>
                <c:pt idx="126">
                  <c:v>-0.13035834135481156</c:v>
                </c:pt>
                <c:pt idx="127">
                  <c:v>-0.1593062296971082</c:v>
                </c:pt>
                <c:pt idx="128">
                  <c:v>-0.19257758515412698</c:v>
                </c:pt>
                <c:pt idx="129">
                  <c:v>-0.23022299675618391</c:v>
                </c:pt>
                <c:pt idx="130">
                  <c:v>-0.27219713902035969</c:v>
                </c:pt>
                <c:pt idx="131">
                  <c:v>-0.31837592891530797</c:v>
                </c:pt>
                <c:pt idx="132">
                  <c:v>-0.36857756064614144</c:v>
                </c:pt>
                <c:pt idx="133">
                  <c:v>-0.42258323159006278</c:v>
                </c:pt>
                <c:pt idx="134">
                  <c:v>-0.4801551595989248</c:v>
                </c:pt>
                <c:pt idx="135">
                  <c:v>-0.54105058283046614</c:v>
                </c:pt>
                <c:pt idx="136">
                  <c:v>-0.6050316235971761</c:v>
                </c:pt>
                <c:pt idx="137">
                  <c:v>-0.67187158519073686</c:v>
                </c:pt>
                <c:pt idx="138">
                  <c:v>-0.74135838392922804</c:v>
                </c:pt>
                <c:pt idx="139">
                  <c:v>-0.81329589964916515</c:v>
                </c:pt>
                <c:pt idx="140">
                  <c:v>-0.88750368621614706</c:v>
                </c:pt>
                <c:pt idx="141">
                  <c:v>-0.96381600528564337</c:v>
                </c:pt>
                <c:pt idx="142">
                  <c:v>-1.042079788922077</c:v>
                </c:pt>
                <c:pt idx="143">
                  <c:v>-1.1221527289549669</c:v>
                </c:pt>
                <c:pt idx="144">
                  <c:v>-1.203900771390938</c:v>
                </c:pt>
                <c:pt idx="145">
                  <c:v>-1.2871957473399074</c:v>
                </c:pt>
                <c:pt idx="146">
                  <c:v>-1.3719129328572826</c:v>
                </c:pt>
                <c:pt idx="147">
                  <c:v>-1.4579288094124101</c:v>
                </c:pt>
                <c:pt idx="148">
                  <c:v>-1.5451188436326291</c:v>
                </c:pt>
                <c:pt idx="149">
                  <c:v>-1.6333556370537754</c:v>
                </c:pt>
                <c:pt idx="150">
                  <c:v>-1.7225073160061617</c:v>
                </c:pt>
                <c:pt idx="151">
                  <c:v>-1.8124363594531412</c:v>
                </c:pt>
                <c:pt idx="152">
                  <c:v>-1.9029990031432304</c:v>
                </c:pt>
                <c:pt idx="153">
                  <c:v>-1.9940451856614558</c:v>
                </c:pt>
                <c:pt idx="154">
                  <c:v>-2.0854193260138798</c:v>
                </c:pt>
                <c:pt idx="155">
                  <c:v>-2.1769618948907206</c:v>
                </c:pt>
                <c:pt idx="156">
                  <c:v>-2.268511915782375</c:v>
                </c:pt>
                <c:pt idx="157">
                  <c:v>-2.3599102506163181</c:v>
                </c:pt>
                <c:pt idx="158">
                  <c:v>-2.4510036327605476</c:v>
                </c:pt>
                <c:pt idx="159">
                  <c:v>-2.541649817148429</c:v>
                </c:pt>
                <c:pt idx="160">
                  <c:v>-2.6317217080758399</c:v>
                </c:pt>
                <c:pt idx="161">
                  <c:v>-2.7211127711948184</c:v>
                </c:pt>
                <c:pt idx="162">
                  <c:v>-2.8097407930293641</c:v>
                </c:pt>
                <c:pt idx="163">
                  <c:v>-2.8975509604950997</c:v>
                </c:pt>
                <c:pt idx="164">
                  <c:v>-2.9845168068016283</c:v>
                </c:pt>
                <c:pt idx="165">
                  <c:v>-3.0706404591746734</c:v>
                </c:pt>
                <c:pt idx="166">
                  <c:v>-3.155947777066332</c:v>
                </c:pt>
                <c:pt idx="167">
                  <c:v>-3.2404871618992193</c:v>
                </c:pt>
                <c:pt idx="168">
                  <c:v>-3.3243174518964893</c:v>
                </c:pt>
                <c:pt idx="169">
                  <c:v>-3.4075007626435712</c:v>
                </c:pt>
                <c:pt idx="170">
                  <c:v>-3.4900950536789948</c:v>
                </c:pt>
                <c:pt idx="171">
                  <c:v>-3.5721383463991736</c:v>
                </c:pt>
                <c:pt idx="172">
                  <c:v>-3.653638339746581</c:v>
                </c:pt>
                <c:pt idx="173">
                  <c:v>-3.7345598589505178</c:v>
                </c:pt>
                <c:pt idx="174">
                  <c:v>-3.814813471934007</c:v>
                </c:pt>
                <c:pt idx="175">
                  <c:v>-3.8942444996297101</c:v>
                </c:pt>
                <c:pt idx="176">
                  <c:v>-3.9726300440684694</c:v>
                </c:pt>
                <c:pt idx="177">
                  <c:v>-4.0496733720368523</c:v>
                </c:pt>
                <c:pt idx="178">
                  <c:v>-4.1250182718962991</c:v>
                </c:pt>
                <c:pt idx="179">
                  <c:v>-4.1982558967479671</c:v>
                </c:pt>
                <c:pt idx="180">
                  <c:v>-4.2689674636248087</c:v>
                </c:pt>
                <c:pt idx="181">
                  <c:v>-4.3367390841877169</c:v>
                </c:pt>
                <c:pt idx="182">
                  <c:v>-4.4012185949193849</c:v>
                </c:pt>
                <c:pt idx="183">
                  <c:v>-4.4621300891512536</c:v>
                </c:pt>
                <c:pt idx="184">
                  <c:v>-4.5193075712147124</c:v>
                </c:pt>
                <c:pt idx="185">
                  <c:v>-4.5727097246107684</c:v>
                </c:pt>
                <c:pt idx="186">
                  <c:v>-4.6223817118978134</c:v>
                </c:pt>
                <c:pt idx="187">
                  <c:v>-4.668473728011393</c:v>
                </c:pt>
                <c:pt idx="188">
                  <c:v>-4.7111920971855374</c:v>
                </c:pt>
                <c:pt idx="189">
                  <c:v>-4.7507829255317366</c:v>
                </c:pt>
                <c:pt idx="190">
                  <c:v>-4.787511557719518</c:v>
                </c:pt>
                <c:pt idx="191">
                  <c:v>-4.821643155770575</c:v>
                </c:pt>
                <c:pt idx="192">
                  <c:v>-4.8534312550235823</c:v>
                </c:pt>
                <c:pt idx="193">
                  <c:v>-4.8831147017207126</c:v>
                </c:pt>
                <c:pt idx="194">
                  <c:v>-4.9109089468967797</c:v>
                </c:pt>
                <c:pt idx="195">
                  <c:v>-4.9370076791935871</c:v>
                </c:pt>
                <c:pt idx="196">
                  <c:v>-4.9615836029360105</c:v>
                </c:pt>
                <c:pt idx="197">
                  <c:v>-4.9847881227216311</c:v>
                </c:pt>
                <c:pt idx="198">
                  <c:v>-5.0067552054870843</c:v>
                </c:pt>
                <c:pt idx="199">
                  <c:v>-5.027602619973865</c:v>
                </c:pt>
                <c:pt idx="200">
                  <c:v>-5.0474329159670841</c:v>
                </c:pt>
                <c:pt idx="201">
                  <c:v>-5.0663361855600817</c:v>
                </c:pt>
                <c:pt idx="202">
                  <c:v>-5.0843928452608562</c:v>
                </c:pt>
                <c:pt idx="203">
                  <c:v>-5.1016723742849832</c:v>
                </c:pt>
                <c:pt idx="204">
                  <c:v>-5.1182376883994465</c:v>
                </c:pt>
                <c:pt idx="205">
                  <c:v>-5.1341440615776319</c:v>
                </c:pt>
                <c:pt idx="206">
                  <c:v>-5.1494406752870994</c:v>
                </c:pt>
                <c:pt idx="207">
                  <c:v>-5.1641725997521721</c:v>
                </c:pt>
                <c:pt idx="208">
                  <c:v>-5.1783787890852802</c:v>
                </c:pt>
                <c:pt idx="209">
                  <c:v>-5.1920968232931894</c:v>
                </c:pt>
                <c:pt idx="210">
                  <c:v>-5.205358415907388</c:v>
                </c:pt>
                <c:pt idx="211">
                  <c:v>-5.2181937620335876</c:v>
                </c:pt>
                <c:pt idx="212">
                  <c:v>-5.2306305326570177</c:v>
                </c:pt>
                <c:pt idx="213">
                  <c:v>-5.2426935271029347</c:v>
                </c:pt>
                <c:pt idx="214">
                  <c:v>-5.2544060682534646</c:v>
                </c:pt>
                <c:pt idx="215">
                  <c:v>-5.2657897472714188</c:v>
                </c:pt>
                <c:pt idx="216">
                  <c:v>-5.2768644692441962</c:v>
                </c:pt>
                <c:pt idx="217">
                  <c:v>-5.2876489448227648</c:v>
                </c:pt>
                <c:pt idx="218">
                  <c:v>-5.2981602299319608</c:v>
                </c:pt>
                <c:pt idx="219">
                  <c:v>-5.3084152126123954</c:v>
                </c:pt>
                <c:pt idx="220">
                  <c:v>-5.318428941711014</c:v>
                </c:pt>
                <c:pt idx="221">
                  <c:v>-5.3282166111715039</c:v>
                </c:pt>
                <c:pt idx="222">
                  <c:v>-5.3377916622872998</c:v>
                </c:pt>
                <c:pt idx="223">
                  <c:v>-5.3471677858194671</c:v>
                </c:pt>
                <c:pt idx="224">
                  <c:v>-5.356357706539784</c:v>
                </c:pt>
                <c:pt idx="225">
                  <c:v>-5.3653738155411528</c:v>
                </c:pt>
                <c:pt idx="226">
                  <c:v>-5.3742283351011704</c:v>
                </c:pt>
                <c:pt idx="227">
                  <c:v>-5.3829328833686958</c:v>
                </c:pt>
                <c:pt idx="228">
                  <c:v>-5.3914992439530138</c:v>
                </c:pt>
                <c:pt idx="229">
                  <c:v>-5.3999387727918329</c:v>
                </c:pt>
                <c:pt idx="230">
                  <c:v>-5.4082630578845414</c:v>
                </c:pt>
                <c:pt idx="231">
                  <c:v>-5.4164834908891226</c:v>
                </c:pt>
                <c:pt idx="232">
                  <c:v>-5.4246121022829703</c:v>
                </c:pt>
                <c:pt idx="233">
                  <c:v>-5.4326605250830582</c:v>
                </c:pt>
                <c:pt idx="234">
                  <c:v>-5.4406414461467563</c:v>
                </c:pt>
                <c:pt idx="235">
                  <c:v>-5.4485678499451824</c:v>
                </c:pt>
                <c:pt idx="236">
                  <c:v>-5.4564536455902637</c:v>
                </c:pt>
                <c:pt idx="237">
                  <c:v>-5.4643138497816741</c:v>
                </c:pt>
                <c:pt idx="238">
                  <c:v>-5.4721649466704232</c:v>
                </c:pt>
                <c:pt idx="239">
                  <c:v>-5.4800254598445663</c:v>
                </c:pt>
                <c:pt idx="240">
                  <c:v>-5.4879165622180208</c:v>
                </c:pt>
                <c:pt idx="241">
                  <c:v>-5.4958632989755909</c:v>
                </c:pt>
                <c:pt idx="242">
                  <c:v>-5.5038960746205419</c:v>
                </c:pt>
                <c:pt idx="243">
                  <c:v>-5.5120534151290679</c:v>
                </c:pt>
                <c:pt idx="244">
                  <c:v>-5.5203864874099926</c:v>
                </c:pt>
                <c:pt idx="245">
                  <c:v>-5.5289677253198901</c:v>
                </c:pt>
                <c:pt idx="246">
                  <c:v>-5.5379091718780344</c:v>
                </c:pt>
                <c:pt idx="247">
                  <c:v>-5.54740896255759</c:v>
                </c:pt>
                <c:pt idx="248">
                  <c:v>-5.5579141594166437</c:v>
                </c:pt>
                <c:pt idx="249">
                  <c:v>-5.5716773818188052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1-4339-8E09-7CF4954F079E}"/>
            </c:ext>
          </c:extLst>
        </c:ser>
        <c:ser>
          <c:idx val="2"/>
          <c:order val="1"/>
          <c:tx>
            <c:v>LCDM Redshift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Recombination!$E:$E</c:f>
              <c:numCache>
                <c:formatCode>0.00</c:formatCode>
                <c:ptCount val="1048576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Recombination!$G:$G</c:f>
              <c:numCache>
                <c:formatCode>General</c:formatCode>
                <c:ptCount val="1048576"/>
                <c:pt idx="0">
                  <c:v>3.4590118319625177E-2</c:v>
                </c:pt>
                <c:pt idx="1">
                  <c:v>3.4548608074522834E-2</c:v>
                </c:pt>
                <c:pt idx="2">
                  <c:v>3.4542631876772027E-2</c:v>
                </c:pt>
                <c:pt idx="3">
                  <c:v>3.453573307643789E-2</c:v>
                </c:pt>
                <c:pt idx="4">
                  <c:v>3.4527751188143795E-2</c:v>
                </c:pt>
                <c:pt idx="5">
                  <c:v>3.4518525707353989E-2</c:v>
                </c:pt>
                <c:pt idx="6">
                  <c:v>3.4507896106073375E-2</c:v>
                </c:pt>
                <c:pt idx="7">
                  <c:v>3.4495621601305849E-2</c:v>
                </c:pt>
                <c:pt idx="8">
                  <c:v>3.4481421251201599E-2</c:v>
                </c:pt>
                <c:pt idx="9">
                  <c:v>3.4465054170015823E-2</c:v>
                </c:pt>
                <c:pt idx="10">
                  <c:v>3.4446199169764463E-2</c:v>
                </c:pt>
                <c:pt idx="11">
                  <c:v>3.4424494847491292E-2</c:v>
                </c:pt>
                <c:pt idx="12">
                  <c:v>3.4399539554178231E-2</c:v>
                </c:pt>
                <c:pt idx="13">
                  <c:v>3.437093148116252E-2</c:v>
                </c:pt>
                <c:pt idx="14">
                  <c:v>3.433826862818623E-2</c:v>
                </c:pt>
                <c:pt idx="15">
                  <c:v>3.4301148767705111E-2</c:v>
                </c:pt>
                <c:pt idx="16">
                  <c:v>3.4259169405447709E-2</c:v>
                </c:pt>
                <c:pt idx="17">
                  <c:v>3.4211927737212947E-2</c:v>
                </c:pt>
                <c:pt idx="18">
                  <c:v>3.4159100890742547E-2</c:v>
                </c:pt>
                <c:pt idx="19">
                  <c:v>3.4100445929319337E-2</c:v>
                </c:pt>
                <c:pt idx="20">
                  <c:v>3.4035840024682178E-2</c:v>
                </c:pt>
                <c:pt idx="21">
                  <c:v>3.396511987245468E-2</c:v>
                </c:pt>
                <c:pt idx="22">
                  <c:v>3.3888282486844869E-2</c:v>
                </c:pt>
                <c:pt idx="23">
                  <c:v>3.3805445153900902E-2</c:v>
                </c:pt>
                <c:pt idx="24">
                  <c:v>3.3716724998360856E-2</c:v>
                </c:pt>
                <c:pt idx="25">
                  <c:v>3.3622359581938238E-2</c:v>
                </c:pt>
                <c:pt idx="26">
                  <c:v>3.3522586447863933E-2</c:v>
                </c:pt>
                <c:pt idx="27">
                  <c:v>3.3417763790265828E-2</c:v>
                </c:pt>
                <c:pt idx="28">
                  <c:v>3.3308169519783701E-2</c:v>
                </c:pt>
                <c:pt idx="29">
                  <c:v>3.3194121899539901E-2</c:v>
                </c:pt>
                <c:pt idx="30">
                  <c:v>3.3076019874408016E-2</c:v>
                </c:pt>
                <c:pt idx="31">
                  <c:v>3.2954182191852116E-2</c:v>
                </c:pt>
                <c:pt idx="32">
                  <c:v>3.2828887589188512E-2</c:v>
                </c:pt>
                <c:pt idx="33">
                  <c:v>3.2700455319523709E-2</c:v>
                </c:pt>
                <c:pt idx="34">
                  <c:v>3.2569204942537684E-2</c:v>
                </c:pt>
                <c:pt idx="35">
                  <c:v>3.2435295130383707E-2</c:v>
                </c:pt>
                <c:pt idx="36">
                  <c:v>3.2299045968566469E-2</c:v>
                </c:pt>
                <c:pt idx="37">
                  <c:v>3.2160616586068877E-2</c:v>
                </c:pt>
                <c:pt idx="38">
                  <c:v>3.2020166281680557E-2</c:v>
                </c:pt>
                <c:pt idx="39">
                  <c:v>3.1877814176017136E-2</c:v>
                </c:pt>
                <c:pt idx="40">
                  <c:v>3.1733719890348136E-2</c:v>
                </c:pt>
                <c:pt idx="41">
                  <c:v>3.1587962471159858E-2</c:v>
                </c:pt>
                <c:pt idx="42">
                  <c:v>3.144062105249356E-2</c:v>
                </c:pt>
                <c:pt idx="43">
                  <c:v>3.1291694038301336E-2</c:v>
                </c:pt>
                <c:pt idx="44">
                  <c:v>3.1141260662787586E-2</c:v>
                </c:pt>
                <c:pt idx="45">
                  <c:v>3.0989278939351321E-2</c:v>
                </c:pt>
                <c:pt idx="46">
                  <c:v>3.0835747260221497E-2</c:v>
                </c:pt>
                <c:pt idx="47">
                  <c:v>3.0680663999901367E-2</c:v>
                </c:pt>
                <c:pt idx="48">
                  <c:v>3.0523987033264234E-2</c:v>
                </c:pt>
                <c:pt idx="49">
                  <c:v>3.0365633661715546E-2</c:v>
                </c:pt>
                <c:pt idx="50">
                  <c:v>3.0205561560012164E-2</c:v>
                </c:pt>
                <c:pt idx="51">
                  <c:v>3.0043647268469285E-2</c:v>
                </c:pt>
                <c:pt idx="52">
                  <c:v>2.9879888748024271E-2</c:v>
                </c:pt>
                <c:pt idx="53">
                  <c:v>2.9714081147579525E-2</c:v>
                </c:pt>
                <c:pt idx="54">
                  <c:v>2.954618156994392E-2</c:v>
                </c:pt>
                <c:pt idx="55">
                  <c:v>2.9376065845565881E-2</c:v>
                </c:pt>
                <c:pt idx="56">
                  <c:v>2.9203609579475483E-2</c:v>
                </c:pt>
                <c:pt idx="57">
                  <c:v>2.9028728766037511E-2</c:v>
                </c:pt>
                <c:pt idx="58">
                  <c:v>2.885117667452726E-2</c:v>
                </c:pt>
                <c:pt idx="59">
                  <c:v>2.8670909401387681E-2</c:v>
                </c:pt>
                <c:pt idx="60">
                  <c:v>2.8487760906169474E-2</c:v>
                </c:pt>
                <c:pt idx="61">
                  <c:v>2.8301564815865581E-2</c:v>
                </c:pt>
                <c:pt idx="62">
                  <c:v>2.8112195120548255E-2</c:v>
                </c:pt>
                <c:pt idx="63">
                  <c:v>2.7919403349982139E-2</c:v>
                </c:pt>
                <c:pt idx="64">
                  <c:v>2.7723144237990046E-2</c:v>
                </c:pt>
                <c:pt idx="65">
                  <c:v>2.7523127783112493E-2</c:v>
                </c:pt>
                <c:pt idx="66">
                  <c:v>2.7319267269466829E-2</c:v>
                </c:pt>
                <c:pt idx="67">
                  <c:v>2.7111312517725625E-2</c:v>
                </c:pt>
                <c:pt idx="68">
                  <c:v>2.6899094405412265E-2</c:v>
                </c:pt>
                <c:pt idx="69">
                  <c:v>2.6682443362708304E-2</c:v>
                </c:pt>
                <c:pt idx="70">
                  <c:v>2.6461148492749449E-2</c:v>
                </c:pt>
                <c:pt idx="71">
                  <c:v>2.6234957447123987E-2</c:v>
                </c:pt>
                <c:pt idx="72">
                  <c:v>2.6003699009516972E-2</c:v>
                </c:pt>
                <c:pt idx="73">
                  <c:v>2.576711957795022E-2</c:v>
                </c:pt>
                <c:pt idx="74">
                  <c:v>2.5525046717790351E-2</c:v>
                </c:pt>
                <c:pt idx="75">
                  <c:v>2.5277225467358055E-2</c:v>
                </c:pt>
                <c:pt idx="76">
                  <c:v>2.50234000713884E-2</c:v>
                </c:pt>
                <c:pt idx="77">
                  <c:v>2.4763313945611817E-2</c:v>
                </c:pt>
                <c:pt idx="78">
                  <c:v>2.4496750687249852E-2</c:v>
                </c:pt>
                <c:pt idx="79">
                  <c:v>2.4223410945182849E-2</c:v>
                </c:pt>
                <c:pt idx="80">
                  <c:v>2.3943076520818896E-2</c:v>
                </c:pt>
                <c:pt idx="81">
                  <c:v>2.3655446082651153E-2</c:v>
                </c:pt>
                <c:pt idx="82">
                  <c:v>2.3360217160237888E-2</c:v>
                </c:pt>
                <c:pt idx="83">
                  <c:v>2.3057127274921364E-2</c:v>
                </c:pt>
                <c:pt idx="84">
                  <c:v>2.2745830391717632E-2</c:v>
                </c:pt>
                <c:pt idx="85">
                  <c:v>2.2426102784832622E-2</c:v>
                </c:pt>
                <c:pt idx="86">
                  <c:v>2.2097595787299106E-2</c:v>
                </c:pt>
                <c:pt idx="87">
                  <c:v>2.1760000492533273E-2</c:v>
                </c:pt>
                <c:pt idx="88">
                  <c:v>2.1412965165136428E-2</c:v>
                </c:pt>
                <c:pt idx="89">
                  <c:v>2.1056177751280089E-2</c:v>
                </c:pt>
                <c:pt idx="90">
                  <c:v>2.0689283155070137E-2</c:v>
                </c:pt>
                <c:pt idx="91">
                  <c:v>2.0312007320062841E-2</c:v>
                </c:pt>
                <c:pt idx="92">
                  <c:v>1.9923867138336097E-2</c:v>
                </c:pt>
                <c:pt idx="93">
                  <c:v>1.9524626150577894E-2</c:v>
                </c:pt>
                <c:pt idx="94">
                  <c:v>1.911383844259756E-2</c:v>
                </c:pt>
                <c:pt idx="95">
                  <c:v>1.8691138770513441E-2</c:v>
                </c:pt>
                <c:pt idx="96">
                  <c:v>1.8256159568986928E-2</c:v>
                </c:pt>
                <c:pt idx="97">
                  <c:v>1.7808447476341357E-2</c:v>
                </c:pt>
                <c:pt idx="98">
                  <c:v>1.7347546240131507E-2</c:v>
                </c:pt>
                <c:pt idx="99">
                  <c:v>1.6872996576393698E-2</c:v>
                </c:pt>
                <c:pt idx="100">
                  <c:v>1.6384294201323847E-2</c:v>
                </c:pt>
                <c:pt idx="101">
                  <c:v>1.5880805695712926E-2</c:v>
                </c:pt>
                <c:pt idx="102">
                  <c:v>1.5361851419995609E-2</c:v>
                </c:pt>
                <c:pt idx="103">
                  <c:v>1.4826663054107406E-2</c:v>
                </c:pt>
                <c:pt idx="104">
                  <c:v>1.4274172679053397E-2</c:v>
                </c:pt>
                <c:pt idx="105">
                  <c:v>1.3703263019053214E-2</c:v>
                </c:pt>
                <c:pt idx="106">
                  <c:v>1.3112303181151527E-2</c:v>
                </c:pt>
                <c:pt idx="107">
                  <c:v>1.2499355565229979E-2</c:v>
                </c:pt>
                <c:pt idx="108">
                  <c:v>1.1861792544995673E-2</c:v>
                </c:pt>
                <c:pt idx="109">
                  <c:v>1.1196163251775465E-2</c:v>
                </c:pt>
                <c:pt idx="110">
                  <c:v>1.0497973524206432E-2</c:v>
                </c:pt>
                <c:pt idx="111">
                  <c:v>9.7610803346944199E-3</c:v>
                </c:pt>
                <c:pt idx="112">
                  <c:v>8.9773332068348276E-3</c:v>
                </c:pt>
                <c:pt idx="113">
                  <c:v>8.1358672289116151E-3</c:v>
                </c:pt>
                <c:pt idx="114">
                  <c:v>7.2219976662463003E-3</c:v>
                </c:pt>
                <c:pt idx="115">
                  <c:v>6.2162189911085276E-3</c:v>
                </c:pt>
                <c:pt idx="116">
                  <c:v>5.0925289193810312E-3</c:v>
                </c:pt>
                <c:pt idx="117">
                  <c:v>3.8168262205892176E-3</c:v>
                </c:pt>
                <c:pt idx="118">
                  <c:v>2.3449283163798984E-3</c:v>
                </c:pt>
                <c:pt idx="119">
                  <c:v>6.2085769211605169E-4</c:v>
                </c:pt>
                <c:pt idx="120">
                  <c:v>-1.4243130603007277E-3</c:v>
                </c:pt>
                <c:pt idx="121">
                  <c:v>-3.8718101414852162E-3</c:v>
                </c:pt>
                <c:pt idx="122">
                  <c:v>-6.8130114052640462E-3</c:v>
                </c:pt>
                <c:pt idx="123">
                  <c:v>-1.0344844301741809E-2</c:v>
                </c:pt>
                <c:pt idx="124">
                  <c:v>-1.4563928429377343E-2</c:v>
                </c:pt>
                <c:pt idx="125">
                  <c:v>-1.9560824583967396E-2</c:v>
                </c:pt>
                <c:pt idx="126">
                  <c:v>-2.5415671482852415E-2</c:v>
                </c:pt>
                <c:pt idx="127">
                  <c:v>-3.2196019941629989E-2</c:v>
                </c:pt>
                <c:pt idx="128">
                  <c:v>-3.995664911606546E-2</c:v>
                </c:pt>
                <c:pt idx="129">
                  <c:v>-4.874076328110033E-2</c:v>
                </c:pt>
                <c:pt idx="130">
                  <c:v>-5.8581841375804307E-2</c:v>
                </c:pt>
                <c:pt idx="131">
                  <c:v>-6.9505693691773229E-2</c:v>
                </c:pt>
                <c:pt idx="132">
                  <c:v>-8.1532373711920264E-2</c:v>
                </c:pt>
                <c:pt idx="133">
                  <c:v>-9.4677920823184269E-2</c:v>
                </c:pt>
                <c:pt idx="134">
                  <c:v>-0.10895584418456232</c:v>
                </c:pt>
                <c:pt idx="135">
                  <c:v>-0.12437842403615651</c:v>
                </c:pt>
                <c:pt idx="136">
                  <c:v>-0.14095780474596056</c:v>
                </c:pt>
                <c:pt idx="137">
                  <c:v>-0.15870697417403085</c:v>
                </c:pt>
                <c:pt idx="138">
                  <c:v>-0.17764050043841464</c:v>
                </c:pt>
                <c:pt idx="139">
                  <c:v>-0.19777517298077768</c:v>
                </c:pt>
                <c:pt idx="140">
                  <c:v>-0.21913046958315643</c:v>
                </c:pt>
                <c:pt idx="141">
                  <c:v>-0.24172890723134466</c:v>
                </c:pt>
                <c:pt idx="142">
                  <c:v>-0.26559619874628193</c:v>
                </c:pt>
                <c:pt idx="143">
                  <c:v>-0.29076133140821681</c:v>
                </c:pt>
                <c:pt idx="144">
                  <c:v>-0.31725649729017874</c:v>
                </c:pt>
                <c:pt idx="145">
                  <c:v>-0.34511685547336918</c:v>
                </c:pt>
                <c:pt idx="146">
                  <c:v>-0.37438027606884572</c:v>
                </c:pt>
                <c:pt idx="147">
                  <c:v>-0.40508688462610459</c:v>
                </c:pt>
                <c:pt idx="148">
                  <c:v>-0.43727858536482889</c:v>
                </c:pt>
                <c:pt idx="149">
                  <c:v>-0.47099847924346244</c:v>
                </c:pt>
                <c:pt idx="150">
                  <c:v>-0.5062902844989523</c:v>
                </c:pt>
                <c:pt idx="151">
                  <c:v>-0.54319767458432411</c:v>
                </c:pt>
                <c:pt idx="152">
                  <c:v>-0.58176359248112963</c:v>
                </c:pt>
                <c:pt idx="153">
                  <c:v>-0.6220297170575394</c:v>
                </c:pt>
                <c:pt idx="154">
                  <c:v>-0.66403564428005357</c:v>
                </c:pt>
                <c:pt idx="155">
                  <c:v>-0.70781849631675375</c:v>
                </c:pt>
                <c:pt idx="156">
                  <c:v>-0.75341210750496579</c:v>
                </c:pt>
                <c:pt idx="157">
                  <c:v>-0.80084650689919312</c:v>
                </c:pt>
                <c:pt idx="158">
                  <c:v>-0.85014737209044433</c:v>
                </c:pt>
                <c:pt idx="159">
                  <c:v>-0.90133516556175708</c:v>
                </c:pt>
                <c:pt idx="160">
                  <c:v>-0.95442453868430832</c:v>
                </c:pt>
                <c:pt idx="161">
                  <c:v>-1.0094234052026934</c:v>
                </c:pt>
                <c:pt idx="162">
                  <c:v>-1.0663317179118936</c:v>
                </c:pt>
                <c:pt idx="163">
                  <c:v>-1.1251402149073733</c:v>
                </c:pt>
                <c:pt idx="164">
                  <c:v>-1.1858285723443329</c:v>
                </c:pt>
                <c:pt idx="165">
                  <c:v>-1.2483631893367422</c:v>
                </c:pt>
                <c:pt idx="166">
                  <c:v>-1.3126942896332823</c:v>
                </c:pt>
                <c:pt idx="167">
                  <c:v>-1.3787524187423854</c:v>
                </c:pt>
                <c:pt idx="168">
                  <c:v>-1.4464440183090059</c:v>
                </c:pt>
                <c:pt idx="169">
                  <c:v>-1.5156463399508349</c:v>
                </c:pt>
                <c:pt idx="170">
                  <c:v>-1.5862013857014901</c:v>
                </c:pt>
                <c:pt idx="171">
                  <c:v>-1.6579095828224459</c:v>
                </c:pt>
                <c:pt idx="172">
                  <c:v>-1.7305233185503002</c:v>
                </c:pt>
                <c:pt idx="173">
                  <c:v>-1.8037414975570754</c:v>
                </c:pt>
                <c:pt idx="174">
                  <c:v>-1.8772064192036204</c:v>
                </c:pt>
                <c:pt idx="175">
                  <c:v>-1.9505046215366684</c:v>
                </c:pt>
                <c:pt idx="176">
                  <c:v>-2.0231736636359785</c:v>
                </c:pt>
                <c:pt idx="177">
                  <c:v>-2.0947166088452738</c:v>
                </c:pt>
                <c:pt idx="178">
                  <c:v>-2.1646242253772456</c:v>
                </c:pt>
                <c:pt idx="179">
                  <c:v>-2.2324039675996445</c:v>
                </c:pt>
                <c:pt idx="180">
                  <c:v>-2.2976119558333772</c:v>
                </c:pt>
                <c:pt idx="181">
                  <c:v>-2.3598826981452725</c:v>
                </c:pt>
                <c:pt idx="182">
                  <c:v>-2.4189511483781345</c:v>
                </c:pt>
                <c:pt idx="183">
                  <c:v>-2.4746630823391422</c:v>
                </c:pt>
                <c:pt idx="184">
                  <c:v>-2.5269730124736571</c:v>
                </c:pt>
                <c:pt idx="185">
                  <c:v>-2.5759309435488422</c:v>
                </c:pt>
                <c:pt idx="186">
                  <c:v>-2.6216630862744656</c:v>
                </c:pt>
                <c:pt idx="187">
                  <c:v>-2.6643490667245735</c:v>
                </c:pt>
                <c:pt idx="188">
                  <c:v>-2.7042016091187251</c:v>
                </c:pt>
                <c:pt idx="189">
                  <c:v>-2.7414480283688514</c:v>
                </c:pt>
                <c:pt idx="190">
                  <c:v>-2.7763175834854841</c:v>
                </c:pt>
                <c:pt idx="191">
                  <c:v>-2.8090311970523931</c:v>
                </c:pt>
                <c:pt idx="192">
                  <c:v>-2.8397967786755212</c:v>
                </c:pt>
                <c:pt idx="193">
                  <c:v>-2.8688044495781555</c:v>
                </c:pt>
                <c:pt idx="194">
                  <c:v>-2.8962279118807457</c:v>
                </c:pt>
                <c:pt idx="195">
                  <c:v>-2.9222207092844363</c:v>
                </c:pt>
                <c:pt idx="196">
                  <c:v>-2.9469226710790704</c:v>
                </c:pt>
                <c:pt idx="197">
                  <c:v>-2.9704536561377095</c:v>
                </c:pt>
                <c:pt idx="198">
                  <c:v>-2.9929248324892712</c:v>
                </c:pt>
                <c:pt idx="199">
                  <c:v>-3.0144294242400265</c:v>
                </c:pt>
                <c:pt idx="200">
                  <c:v>-3.0350533748358592</c:v>
                </c:pt>
                <c:pt idx="201">
                  <c:v>-3.0548713808663694</c:v>
                </c:pt>
                <c:pt idx="202">
                  <c:v>-3.0739499875677554</c:v>
                </c:pt>
                <c:pt idx="203">
                  <c:v>-3.0923484300956479</c:v>
                </c:pt>
                <c:pt idx="204">
                  <c:v>-3.1101196257466674</c:v>
                </c:pt>
                <c:pt idx="205">
                  <c:v>-3.1273111076201197</c:v>
                </c:pt>
                <c:pt idx="206">
                  <c:v>-3.1439655208905504</c:v>
                </c:pt>
                <c:pt idx="207">
                  <c:v>-3.1601212793038296</c:v>
                </c:pt>
                <c:pt idx="208">
                  <c:v>-3.1758134472346828</c:v>
                </c:pt>
                <c:pt idx="209">
                  <c:v>-3.1910736453338471</c:v>
                </c:pt>
                <c:pt idx="210">
                  <c:v>-3.2059309044603794</c:v>
                </c:pt>
                <c:pt idx="211">
                  <c:v>-3.2204119422169053</c:v>
                </c:pt>
                <c:pt idx="212">
                  <c:v>-3.2345411863663749</c:v>
                </c:pt>
                <c:pt idx="213">
                  <c:v>-3.2483413237748877</c:v>
                </c:pt>
                <c:pt idx="214">
                  <c:v>-3.2618334192942027</c:v>
                </c:pt>
                <c:pt idx="215">
                  <c:v>-3.2750371449012445</c:v>
                </c:pt>
                <c:pt idx="216">
                  <c:v>-3.2879709410896338</c:v>
                </c:pt>
                <c:pt idx="217">
                  <c:v>-3.30065217619646</c:v>
                </c:pt>
                <c:pt idx="218">
                  <c:v>-3.3130973558018333</c:v>
                </c:pt>
                <c:pt idx="219">
                  <c:v>-3.3253221922602711</c:v>
                </c:pt>
                <c:pt idx="220">
                  <c:v>-3.337341774794166</c:v>
                </c:pt>
                <c:pt idx="221">
                  <c:v>-3.3491707140419043</c:v>
                </c:pt>
                <c:pt idx="222">
                  <c:v>-3.3608232252940891</c:v>
                </c:pt>
                <c:pt idx="223">
                  <c:v>-3.3723133142213246</c:v>
                </c:pt>
                <c:pt idx="224">
                  <c:v>-3.3836548780515057</c:v>
                </c:pt>
                <c:pt idx="225">
                  <c:v>-3.3948618390570995</c:v>
                </c:pt>
                <c:pt idx="226">
                  <c:v>-3.4059483332533356</c:v>
                </c:pt>
                <c:pt idx="227">
                  <c:v>-3.4169288684004751</c:v>
                </c:pt>
                <c:pt idx="228">
                  <c:v>-3.4278185218664747</c:v>
                </c:pt>
                <c:pt idx="229">
                  <c:v>-3.4386331812903612</c:v>
                </c:pt>
                <c:pt idx="230">
                  <c:v>-3.4493898192044736</c:v>
                </c:pt>
                <c:pt idx="231">
                  <c:v>-3.4601068034656635</c:v>
                </c:pt>
                <c:pt idx="232">
                  <c:v>-3.4708043743801325</c:v>
                </c:pt>
                <c:pt idx="233">
                  <c:v>-3.4815050773726099</c:v>
                </c:pt>
                <c:pt idx="234">
                  <c:v>-3.49223451681909</c:v>
                </c:pt>
                <c:pt idx="235">
                  <c:v>-3.5030221672758666</c:v>
                </c:pt>
                <c:pt idx="236">
                  <c:v>-3.5139025464997795</c:v>
                </c:pt>
                <c:pt idx="237">
                  <c:v>-3.5249167852544172</c:v>
                </c:pt>
                <c:pt idx="238">
                  <c:v>-3.5361148164455414</c:v>
                </c:pt>
                <c:pt idx="239">
                  <c:v>-3.5475584736260934</c:v>
                </c:pt>
                <c:pt idx="240">
                  <c:v>-3.5593261615384302</c:v>
                </c:pt>
                <c:pt idx="241">
                  <c:v>-3.5715199171064658</c:v>
                </c:pt>
                <c:pt idx="242">
                  <c:v>-3.5842768721662934</c:v>
                </c:pt>
                <c:pt idx="243">
                  <c:v>-3.5977885513814116</c:v>
                </c:pt>
                <c:pt idx="244">
                  <c:v>-3.6123363163201518</c:v>
                </c:pt>
                <c:pt idx="245">
                  <c:v>-3.6283622738730821</c:v>
                </c:pt>
                <c:pt idx="246">
                  <c:v>-3.6466317409453977</c:v>
                </c:pt>
                <c:pt idx="247">
                  <c:v>-3.6686877409491894</c:v>
                </c:pt>
                <c:pt idx="248">
                  <c:v>-3.6986761081517856</c:v>
                </c:pt>
                <c:pt idx="249">
                  <c:v>-3.7638711521870434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3-4461-B352-5FB62586E617}"/>
            </c:ext>
          </c:extLst>
        </c:ser>
        <c:ser>
          <c:idx val="1"/>
          <c:order val="2"/>
          <c:tx>
            <c:v>Milestone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349612548431444E-2"/>
                  <c:y val="0.259372448235637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Universe is 90% Neutral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92269716285458"/>
                      <c:h val="0.1708333333333333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6A95-426D-8522-EEC6A386F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Recombination!$A$143</c:f>
              <c:numCache>
                <c:formatCode>0</c:formatCode>
                <c:ptCount val="1"/>
                <c:pt idx="0">
                  <c:v>1289.1566</c:v>
                </c:pt>
              </c:numCache>
            </c:numRef>
          </c:xVal>
          <c:yVal>
            <c:numRef>
              <c:f>Recombination!$C$143</c:f>
              <c:numCache>
                <c:formatCode>General</c:formatCode>
                <c:ptCount val="1"/>
                <c:pt idx="0">
                  <c:v>-1.042079788922077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1-4339-8E09-7CF4954F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39856"/>
        <c:axId val="490440184"/>
      </c:scatterChart>
      <c:valAx>
        <c:axId val="49043985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 (z)</a:t>
                </a:r>
              </a:p>
            </c:rich>
          </c:tx>
          <c:layout>
            <c:manualLayout>
              <c:xMode val="edge"/>
              <c:yMode val="edge"/>
              <c:x val="0.47182852143482062"/>
              <c:y val="0.9294163750364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40184"/>
        <c:crossesAt val="-6"/>
        <c:crossBetween val="midCat"/>
        <c:majorUnit val="500"/>
        <c:minorUnit val="100"/>
      </c:valAx>
      <c:valAx>
        <c:axId val="490440184"/>
        <c:scaling>
          <c:orientation val="minMax"/>
          <c:max val="0.2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 (Log10)</a:t>
                </a:r>
              </a:p>
            </c:rich>
          </c:tx>
          <c:layout>
            <c:manualLayout>
              <c:xMode val="edge"/>
              <c:yMode val="edge"/>
              <c:x val="6.1729783777027874E-3"/>
              <c:y val="0.35042578011081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39856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50158573928259"/>
          <c:y val="3.8142497812773402E-2"/>
          <c:w val="0.7866095253718286"/>
          <c:h val="0.82781621047369081"/>
        </c:manualLayout>
      </c:layout>
      <c:scatterChart>
        <c:scatterStyle val="smooth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Curves'!$D$9:$D$106</c:f>
              <c:numCache>
                <c:formatCode>0</c:formatCode>
                <c:ptCount val="98"/>
                <c:pt idx="0">
                  <c:v>4.4629483901903839</c:v>
                </c:pt>
                <c:pt idx="1">
                  <c:v>22.31474195095192</c:v>
                </c:pt>
                <c:pt idx="2">
                  <c:v>40.166535511713462</c:v>
                </c:pt>
                <c:pt idx="3">
                  <c:v>58.018329072475005</c:v>
                </c:pt>
                <c:pt idx="4">
                  <c:v>75.870122633236534</c:v>
                </c:pt>
                <c:pt idx="5">
                  <c:v>93.721916193998069</c:v>
                </c:pt>
                <c:pt idx="6">
                  <c:v>111.57370975475962</c:v>
                </c:pt>
                <c:pt idx="7">
                  <c:v>129.42550331552113</c:v>
                </c:pt>
                <c:pt idx="8">
                  <c:v>147.27729687628269</c:v>
                </c:pt>
                <c:pt idx="9">
                  <c:v>165.12909043704423</c:v>
                </c:pt>
                <c:pt idx="10">
                  <c:v>182.98088399780573</c:v>
                </c:pt>
                <c:pt idx="11">
                  <c:v>200.8326775585673</c:v>
                </c:pt>
                <c:pt idx="12">
                  <c:v>218.6844711193288</c:v>
                </c:pt>
                <c:pt idx="13">
                  <c:v>236.5362646800904</c:v>
                </c:pt>
                <c:pt idx="14">
                  <c:v>254.3880582408519</c:v>
                </c:pt>
                <c:pt idx="15">
                  <c:v>265.57294080129185</c:v>
                </c:pt>
                <c:pt idx="16">
                  <c:v>257.27172704948583</c:v>
                </c:pt>
                <c:pt idx="17">
                  <c:v>249.70324996685403</c:v>
                </c:pt>
                <c:pt idx="18">
                  <c:v>242.76569119712866</c:v>
                </c:pt>
                <c:pt idx="19">
                  <c:v>236.37599917819225</c:v>
                </c:pt>
                <c:pt idx="20">
                  <c:v>230.46566386920739</c:v>
                </c:pt>
                <c:pt idx="21">
                  <c:v>224.97759888582459</c:v>
                </c:pt>
                <c:pt idx="22">
                  <c:v>219.86380360405636</c:v>
                </c:pt>
                <c:pt idx="23">
                  <c:v>215.08358465371242</c:v>
                </c:pt>
                <c:pt idx="24">
                  <c:v>210.60218520411601</c:v>
                </c:pt>
                <c:pt idx="25">
                  <c:v>206.38971595466631</c:v>
                </c:pt>
                <c:pt idx="26">
                  <c:v>202.42031236388243</c:v>
                </c:pt>
                <c:pt idx="27">
                  <c:v>198.6714636253825</c:v>
                </c:pt>
                <c:pt idx="28">
                  <c:v>195.12347350287871</c:v>
                </c:pt>
                <c:pt idx="29">
                  <c:v>191.75902345714056</c:v>
                </c:pt>
                <c:pt idx="30">
                  <c:v>188.56281589298786</c:v>
                </c:pt>
                <c:pt idx="31">
                  <c:v>185.52128072081936</c:v>
                </c:pt>
                <c:pt idx="32">
                  <c:v>182.62233236752218</c:v>
                </c:pt>
                <c:pt idx="33">
                  <c:v>179.85516729658605</c:v>
                </c:pt>
                <c:pt idx="34">
                  <c:v>177.2100942906909</c:v>
                </c:pt>
                <c:pt idx="35">
                  <c:v>174.67839141059125</c:v>
                </c:pt>
                <c:pt idx="36">
                  <c:v>172.25218481246162</c:v>
                </c:pt>
                <c:pt idx="37">
                  <c:v>169.92434558273973</c:v>
                </c:pt>
                <c:pt idx="38">
                  <c:v>167.68840150779488</c:v>
                </c:pt>
                <c:pt idx="39">
                  <c:v>165.53846128872416</c:v>
                </c:pt>
                <c:pt idx="40">
                  <c:v>163.46914917851254</c:v>
                </c:pt>
                <c:pt idx="41">
                  <c:v>161.47554838889616</c:v>
                </c:pt>
                <c:pt idx="42">
                  <c:v>159.55315190945126</c:v>
                </c:pt>
                <c:pt idx="43">
                  <c:v>157.69781961825117</c:v>
                </c:pt>
                <c:pt idx="44">
                  <c:v>155.90574075449234</c:v>
                </c:pt>
                <c:pt idx="45">
                  <c:v>154.17340097845403</c:v>
                </c:pt>
                <c:pt idx="46">
                  <c:v>152.49755337047807</c:v>
                </c:pt>
                <c:pt idx="47">
                  <c:v>150.87519282412748</c:v>
                </c:pt>
                <c:pt idx="48">
                  <c:v>149.30353337382886</c:v>
                </c:pt>
                <c:pt idx="49">
                  <c:v>147.77998806767584</c:v>
                </c:pt>
                <c:pt idx="50">
                  <c:v>146.30215105447817</c:v>
                </c:pt>
                <c:pt idx="51">
                  <c:v>144.8677816028125</c:v>
                </c:pt>
                <c:pt idx="52">
                  <c:v>143.47478981054505</c:v>
                </c:pt>
                <c:pt idx="53">
                  <c:v>142.12122379747908</c:v>
                </c:pt>
                <c:pt idx="54">
                  <c:v>140.80525820258282</c:v>
                </c:pt>
                <c:pt idx="55">
                  <c:v>139.52518383160333</c:v>
                </c:pt>
                <c:pt idx="56">
                  <c:v>138.2793983215245</c:v>
                </c:pt>
                <c:pt idx="57">
                  <c:v>137.06639770590257</c:v>
                </c:pt>
                <c:pt idx="58">
                  <c:v>135.88476878010772</c:v>
                </c:pt>
                <c:pt idx="59">
                  <c:v>134.73318217833878</c:v>
                </c:pt>
                <c:pt idx="60">
                  <c:v>133.61038608529492</c:v>
                </c:pt>
                <c:pt idx="61">
                  <c:v>132.51520051487105</c:v>
                </c:pt>
                <c:pt idx="62">
                  <c:v>131.44651209642581</c:v>
                </c:pt>
                <c:pt idx="63">
                  <c:v>130.40326931624898</c:v>
                </c:pt>
                <c:pt idx="64">
                  <c:v>129.38447816799371</c:v>
                </c:pt>
                <c:pt idx="65">
                  <c:v>128.3891981711738</c:v>
                </c:pt>
                <c:pt idx="66">
                  <c:v>127.41653872147408</c:v>
                </c:pt>
                <c:pt idx="67">
                  <c:v>126.4656557406816</c:v>
                </c:pt>
                <c:pt idx="68">
                  <c:v>125.53574859759425</c:v>
                </c:pt>
                <c:pt idx="69">
                  <c:v>124.62605727437911</c:v>
                </c:pt>
                <c:pt idx="70">
                  <c:v>123.73585975558676</c:v>
                </c:pt>
                <c:pt idx="71">
                  <c:v>122.86446961943638</c:v>
                </c:pt>
                <c:pt idx="72">
                  <c:v>122.0112338131099</c:v>
                </c:pt>
                <c:pt idx="73">
                  <c:v>121.17553059566984</c:v>
                </c:pt>
                <c:pt idx="74">
                  <c:v>120.35676763387626</c:v>
                </c:pt>
                <c:pt idx="75">
                  <c:v>119.55438023765073</c:v>
                </c:pt>
                <c:pt idx="76">
                  <c:v>118.7678297232433</c:v>
                </c:pt>
                <c:pt idx="77">
                  <c:v>117.99660189332151</c:v>
                </c:pt>
                <c:pt idx="78">
                  <c:v>117.24020562423776</c:v>
                </c:pt>
                <c:pt idx="79">
                  <c:v>116.49817155165567</c:v>
                </c:pt>
                <c:pt idx="80">
                  <c:v>115.77005084654384</c:v>
                </c:pt>
                <c:pt idx="81">
                  <c:v>115.05541407428444</c:v>
                </c:pt>
                <c:pt idx="82">
                  <c:v>114.35385013030846</c:v>
                </c:pt>
                <c:pt idx="83">
                  <c:v>113.66496524626382</c:v>
                </c:pt>
                <c:pt idx="84">
                  <c:v>112.98838206125838</c:v>
                </c:pt>
                <c:pt idx="85">
                  <c:v>112.3237387532016</c:v>
                </c:pt>
                <c:pt idx="86">
                  <c:v>111.67068822570165</c:v>
                </c:pt>
                <c:pt idx="87">
                  <c:v>111.02889734636774</c:v>
                </c:pt>
                <c:pt idx="88">
                  <c:v>110.39804623272016</c:v>
                </c:pt>
                <c:pt idx="89">
                  <c:v>109.77782758223114</c:v>
                </c:pt>
                <c:pt idx="90">
                  <c:v>109.16794604330889</c:v>
                </c:pt>
                <c:pt idx="91">
                  <c:v>108.56811762430051</c:v>
                </c:pt>
                <c:pt idx="92">
                  <c:v>107.97806913782746</c:v>
                </c:pt>
                <c:pt idx="93">
                  <c:v>107.39753767798379</c:v>
                </c:pt>
                <c:pt idx="94">
                  <c:v>106.82627012812493</c:v>
                </c:pt>
                <c:pt idx="95">
                  <c:v>106.26402269715379</c:v>
                </c:pt>
                <c:pt idx="96">
                  <c:v>105.71056048237458</c:v>
                </c:pt>
                <c:pt idx="97">
                  <c:v>105.16565705713401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B-4412-914E-DCBE9993595C}"/>
            </c:ext>
          </c:extLst>
        </c:ser>
        <c:ser>
          <c:idx val="1"/>
          <c:order val="1"/>
          <c:tx>
            <c:strRef>
              <c:f>'Rotation Curves'!$E$7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Curves'!$E$9:$E$106</c:f>
              <c:numCache>
                <c:formatCode>0</c:formatCode>
                <c:ptCount val="98"/>
                <c:pt idx="0">
                  <c:v>7.1256357003079334</c:v>
                </c:pt>
                <c:pt idx="1">
                  <c:v>25.538825097047308</c:v>
                </c:pt>
                <c:pt idx="2">
                  <c:v>43.486337592555877</c:v>
                </c:pt>
                <c:pt idx="3">
                  <c:v>61.378046513081514</c:v>
                </c:pt>
                <c:pt idx="4">
                  <c:v>79.251755166572494</c:v>
                </c:pt>
                <c:pt idx="5">
                  <c:v>97.117402492420453</c:v>
                </c:pt>
                <c:pt idx="6">
                  <c:v>114.97874631182643</c:v>
                </c:pt>
                <c:pt idx="7">
                  <c:v>132.83752258558562</c:v>
                </c:pt>
                <c:pt idx="8">
                  <c:v>150.69464415361517</c:v>
                </c:pt>
                <c:pt idx="9">
                  <c:v>168.55063694084791</c:v>
                </c:pt>
                <c:pt idx="10">
                  <c:v>186.40582532855146</c:v>
                </c:pt>
                <c:pt idx="11">
                  <c:v>204.26042026379821</c:v>
                </c:pt>
                <c:pt idx="12">
                  <c:v>222.11456485998517</c:v>
                </c:pt>
                <c:pt idx="13">
                  <c:v>239.96835963561901</c:v>
                </c:pt>
                <c:pt idx="14">
                  <c:v>257.82187726442277</c:v>
                </c:pt>
                <c:pt idx="15">
                  <c:v>269.09338566684698</c:v>
                </c:pt>
                <c:pt idx="16">
                  <c:v>261.14063637439716</c:v>
                </c:pt>
                <c:pt idx="17">
                  <c:v>253.93075940934997</c:v>
                </c:pt>
                <c:pt idx="18">
                  <c:v>247.36152784097135</c:v>
                </c:pt>
                <c:pt idx="19">
                  <c:v>241.34950740386594</c:v>
                </c:pt>
                <c:pt idx="20">
                  <c:v>235.82582781042979</c:v>
                </c:pt>
                <c:pt idx="21">
                  <c:v>230.73306209434091</c:v>
                </c:pt>
                <c:pt idx="22">
                  <c:v>226.02288641074173</c:v>
                </c:pt>
                <c:pt idx="23">
                  <c:v>221.65429961291227</c:v>
                </c:pt>
                <c:pt idx="24">
                  <c:v>217.5922509312976</c:v>
                </c:pt>
                <c:pt idx="25">
                  <c:v>213.80656960825092</c:v>
                </c:pt>
                <c:pt idx="26">
                  <c:v>210.27112097597171</c:v>
                </c:pt>
                <c:pt idx="27">
                  <c:v>206.9631344497171</c:v>
                </c:pt>
                <c:pt idx="28">
                  <c:v>203.86266351941106</c:v>
                </c:pt>
                <c:pt idx="29">
                  <c:v>200.95214814934468</c:v>
                </c:pt>
                <c:pt idx="30">
                  <c:v>198.21605739518893</c:v>
                </c:pt>
                <c:pt idx="31">
                  <c:v>195.64059541744669</c:v>
                </c:pt>
                <c:pt idx="32">
                  <c:v>193.21345801354971</c:v>
                </c:pt>
                <c:pt idx="33">
                  <c:v>190.92362971796589</c:v>
                </c:pt>
                <c:pt idx="34">
                  <c:v>188.76121371488256</c:v>
                </c:pt>
                <c:pt idx="35">
                  <c:v>186.71728847000676</c:v>
                </c:pt>
                <c:pt idx="36">
                  <c:v>184.78378625752433</c:v>
                </c:pt>
                <c:pt idx="37">
                  <c:v>182.95338973608108</c:v>
                </c:pt>
                <c:pt idx="38">
                  <c:v>181.21944348672807</c:v>
                </c:pt>
                <c:pt idx="39">
                  <c:v>179.57587801939999</c:v>
                </c:pt>
                <c:pt idx="40">
                  <c:v>178.01714422197318</c:v>
                </c:pt>
                <c:pt idx="41">
                  <c:v>176.53815659651241</c:v>
                </c:pt>
                <c:pt idx="42">
                  <c:v>175.13424392288456</c:v>
                </c:pt>
                <c:pt idx="43">
                  <c:v>173.80110622706198</c:v>
                </c:pt>
                <c:pt idx="44">
                  <c:v>172.53477712277888</c:v>
                </c:pt>
                <c:pt idx="45">
                  <c:v>171.3315907504018</c:v>
                </c:pt>
                <c:pt idx="46">
                  <c:v>170.18815266340314</c:v>
                </c:pt>
                <c:pt idx="47">
                  <c:v>169.10131411647174</c:v>
                </c:pt>
                <c:pt idx="48">
                  <c:v>168.06814929459426</c:v>
                </c:pt>
                <c:pt idx="49">
                  <c:v>167.08593509294076</c:v>
                </c:pt>
                <c:pt idx="50">
                  <c:v>166.15213311591077</c:v>
                </c:pt>
                <c:pt idx="51">
                  <c:v>165.26437361246425</c:v>
                </c:pt>
                <c:pt idx="52">
                  <c:v>164.42044110566081</c:v>
                </c:pt>
                <c:pt idx="53">
                  <c:v>163.61826150858934</c:v>
                </c:pt>
                <c:pt idx="54">
                  <c:v>162.85589054773553</c:v>
                </c:pt>
                <c:pt idx="55">
                  <c:v>162.13150333924219</c:v>
                </c:pt>
                <c:pt idx="56">
                  <c:v>161.44338498421925</c:v>
                </c:pt>
                <c:pt idx="57">
                  <c:v>160.78992206687784</c:v>
                </c:pt>
                <c:pt idx="58">
                  <c:v>160.16959495429629</c:v>
                </c:pt>
                <c:pt idx="59">
                  <c:v>159.58097080949665</c:v>
                </c:pt>
                <c:pt idx="60">
                  <c:v>159.02269724055608</c:v>
                </c:pt>
                <c:pt idx="61">
                  <c:v>158.49349651798482</c:v>
                </c:pt>
                <c:pt idx="62">
                  <c:v>157.99216030080674</c:v>
                </c:pt>
                <c:pt idx="63">
                  <c:v>157.51754481887457</c:v>
                </c:pt>
                <c:pt idx="64">
                  <c:v>157.06856646510795</c:v>
                </c:pt>
                <c:pt idx="65">
                  <c:v>156.64419775668975</c:v>
                </c:pt>
                <c:pt idx="66">
                  <c:v>156.2434636289176</c:v>
                </c:pt>
                <c:pt idx="67">
                  <c:v>155.86543802947651</c:v>
                </c:pt>
                <c:pt idx="68">
                  <c:v>155.50924078445749</c:v>
                </c:pt>
                <c:pt idx="69">
                  <c:v>155.1740347105688</c:v>
                </c:pt>
                <c:pt idx="70">
                  <c:v>154.85902295072839</c:v>
                </c:pt>
                <c:pt idx="71">
                  <c:v>154.56344651263893</c:v>
                </c:pt>
                <c:pt idx="72">
                  <c:v>154.28658199207524</c:v>
                </c:pt>
                <c:pt idx="73">
                  <c:v>154.0277394644942</c:v>
                </c:pt>
                <c:pt idx="74">
                  <c:v>153.78626053024004</c:v>
                </c:pt>
                <c:pt idx="75">
                  <c:v>153.56151650009437</c:v>
                </c:pt>
                <c:pt idx="76">
                  <c:v>153.35290670922839</c:v>
                </c:pt>
                <c:pt idx="77">
                  <c:v>153.15985694878077</c:v>
                </c:pt>
                <c:pt idx="78">
                  <c:v>152.98181800532225</c:v>
                </c:pt>
                <c:pt idx="79">
                  <c:v>152.8182642993925</c:v>
                </c:pt>
                <c:pt idx="80">
                  <c:v>152.66869261512437</c:v>
                </c:pt>
                <c:pt idx="81">
                  <c:v>152.53262091370826</c:v>
                </c:pt>
                <c:pt idx="82">
                  <c:v>152.40958722411472</c:v>
                </c:pt>
                <c:pt idx="83">
                  <c:v>152.29914860508691</c:v>
                </c:pt>
                <c:pt idx="84">
                  <c:v>152.20088017295063</c:v>
                </c:pt>
                <c:pt idx="85">
                  <c:v>152.11437419026996</c:v>
                </c:pt>
                <c:pt idx="86">
                  <c:v>152.0392392108098</c:v>
                </c:pt>
                <c:pt idx="87">
                  <c:v>151.97509927665863</c:v>
                </c:pt>
                <c:pt idx="88">
                  <c:v>151.92159316371652</c:v>
                </c:pt>
                <c:pt idx="89">
                  <c:v>151.87837367207371</c:v>
                </c:pt>
                <c:pt idx="90">
                  <c:v>151.84510695809323</c:v>
                </c:pt>
                <c:pt idx="91">
                  <c:v>151.82147190527411</c:v>
                </c:pt>
                <c:pt idx="92">
                  <c:v>151.80715953120733</c:v>
                </c:pt>
                <c:pt idx="93">
                  <c:v>151.80187242815526</c:v>
                </c:pt>
                <c:pt idx="94">
                  <c:v>151.805324234979</c:v>
                </c:pt>
                <c:pt idx="95">
                  <c:v>151.81723913831786</c:v>
                </c:pt>
                <c:pt idx="96">
                  <c:v>151.83735140108888</c:v>
                </c:pt>
                <c:pt idx="97">
                  <c:v>151.86540491652042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B-4412-914E-DCBE9993595C}"/>
            </c:ext>
          </c:extLst>
        </c:ser>
        <c:ser>
          <c:idx val="2"/>
          <c:order val="2"/>
          <c:tx>
            <c:strRef>
              <c:f>'Rotation Curves'!$F$7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Curves'!$F$9:$F$106</c:f>
              <c:numCache>
                <c:formatCode>0</c:formatCode>
                <c:ptCount val="98"/>
                <c:pt idx="0">
                  <c:v>9.0350130012913077</c:v>
                </c:pt>
                <c:pt idx="1">
                  <c:v>28.399215945824519</c:v>
                </c:pt>
                <c:pt idx="2">
                  <c:v>46.570082020689398</c:v>
                </c:pt>
                <c:pt idx="3">
                  <c:v>64.563168131388949</c:v>
                </c:pt>
                <c:pt idx="4">
                  <c:v>82.494883996417315</c:v>
                </c:pt>
                <c:pt idx="5">
                  <c:v>100.39811830246022</c:v>
                </c:pt>
                <c:pt idx="6">
                  <c:v>118.28580429806166</c:v>
                </c:pt>
                <c:pt idx="7">
                  <c:v>136.16406980138328</c:v>
                </c:pt>
                <c:pt idx="8">
                  <c:v>154.03619502566499</c:v>
                </c:pt>
                <c:pt idx="9">
                  <c:v>171.90409511633376</c:v>
                </c:pt>
                <c:pt idx="10">
                  <c:v>189.76896354308951</c:v>
                </c:pt>
                <c:pt idx="11">
                  <c:v>207.63158285131738</c:v>
                </c:pt>
                <c:pt idx="12">
                  <c:v>225.49248754036256</c:v>
                </c:pt>
                <c:pt idx="13">
                  <c:v>243.35205514564652</c:v>
                </c:pt>
                <c:pt idx="14">
                  <c:v>261.2105599258021</c:v>
                </c:pt>
                <c:pt idx="15">
                  <c:v>272.56836488016444</c:v>
                </c:pt>
                <c:pt idx="16">
                  <c:v>264.95305696108721</c:v>
                </c:pt>
                <c:pt idx="17">
                  <c:v>258.08903135237881</c:v>
                </c:pt>
                <c:pt idx="18">
                  <c:v>251.87352002387951</c:v>
                </c:pt>
                <c:pt idx="19">
                  <c:v>246.22257504276237</c:v>
                </c:pt>
                <c:pt idx="20">
                  <c:v>241.0668370022606</c:v>
                </c:pt>
                <c:pt idx="21">
                  <c:v>236.34841206665843</c:v>
                </c:pt>
                <c:pt idx="22">
                  <c:v>232.01852992302804</c:v>
                </c:pt>
                <c:pt idx="23">
                  <c:v>228.03576185828985</c:v>
                </c:pt>
                <c:pt idx="24">
                  <c:v>224.36464721062629</c:v>
                </c:pt>
                <c:pt idx="25">
                  <c:v>220.97462198960281</c:v>
                </c:pt>
                <c:pt idx="26">
                  <c:v>217.83917410670594</c:v>
                </c:pt>
                <c:pt idx="27">
                  <c:v>214.93517065257532</c:v>
                </c:pt>
                <c:pt idx="28">
                  <c:v>212.24231727586422</c:v>
                </c:pt>
                <c:pt idx="29">
                  <c:v>209.74272005110493</c:v>
                </c:pt>
                <c:pt idx="30">
                  <c:v>207.42052762707175</c:v>
                </c:pt>
                <c:pt idx="31">
                  <c:v>205.26163682065157</c:v>
                </c:pt>
                <c:pt idx="32">
                  <c:v>203.25344876718265</c:v>
                </c:pt>
                <c:pt idx="33">
                  <c:v>201.38466566767926</c:v>
                </c:pt>
                <c:pt idx="34">
                  <c:v>199.64512037041018</c:v>
                </c:pt>
                <c:pt idx="35">
                  <c:v>198.0256326877703</c:v>
                </c:pt>
                <c:pt idx="36">
                  <c:v>196.51788762010045</c:v>
                </c:pt>
                <c:pt idx="37">
                  <c:v>195.11433163692095</c:v>
                </c:pt>
                <c:pt idx="38">
                  <c:v>193.80808392592769</c:v>
                </c:pt>
                <c:pt idx="39">
                  <c:v>192.59286011438331</c:v>
                </c:pt>
                <c:pt idx="40">
                  <c:v>191.46290643554642</c:v>
                </c:pt>
                <c:pt idx="41">
                  <c:v>190.41294268377544</c:v>
                </c:pt>
                <c:pt idx="42">
                  <c:v>189.43811259786253</c:v>
                </c:pt>
                <c:pt idx="43">
                  <c:v>188.53394054957448</c:v>
                </c:pt>
                <c:pt idx="44">
                  <c:v>187.6962936059393</c:v>
                </c:pt>
                <c:pt idx="45">
                  <c:v>186.92134818918672</c:v>
                </c:pt>
                <c:pt idx="46">
                  <c:v>186.2055606849103</c:v>
                </c:pt>
                <c:pt idx="47">
                  <c:v>185.54564145276399</c:v>
                </c:pt>
                <c:pt idx="48">
                  <c:v>184.93853177937265</c:v>
                </c:pt>
                <c:pt idx="49">
                  <c:v>184.38138338368765</c:v>
                </c:pt>
                <c:pt idx="50">
                  <c:v>183.8715401435669</c:v>
                </c:pt>
                <c:pt idx="51">
                  <c:v>183.40652176114179</c:v>
                </c:pt>
                <c:pt idx="52">
                  <c:v>182.98400912533333</c:v>
                </c:pt>
                <c:pt idx="53">
                  <c:v>182.60183116412912</c:v>
                </c:pt>
                <c:pt idx="54">
                  <c:v>182.25795300808142</c:v>
                </c:pt>
                <c:pt idx="55">
                  <c:v>181.95046531087161</c:v>
                </c:pt>
                <c:pt idx="56">
                  <c:v>181.67757459346169</c:v>
                </c:pt>
                <c:pt idx="57">
                  <c:v>181.43759449593855</c:v>
                </c:pt>
                <c:pt idx="58">
                  <c:v>181.22893783616161</c:v>
                </c:pt>
                <c:pt idx="59">
                  <c:v>181.05010938715674</c:v>
                </c:pt>
                <c:pt idx="60">
                  <c:v>180.89969929621651</c:v>
                </c:pt>
                <c:pt idx="61">
                  <c:v>180.77637707813614</c:v>
                </c:pt>
                <c:pt idx="62">
                  <c:v>180.67888612318762</c:v>
                </c:pt>
                <c:pt idx="63">
                  <c:v>180.60603866749901</c:v>
                </c:pt>
                <c:pt idx="64">
                  <c:v>180.55671117962916</c:v>
                </c:pt>
                <c:pt idx="65">
                  <c:v>180.52984012244877</c:v>
                </c:pt>
                <c:pt idx="66">
                  <c:v>180.52441805407071</c:v>
                </c:pt>
                <c:pt idx="67">
                  <c:v>180.53949003561678</c:v>
                </c:pt>
                <c:pt idx="68">
                  <c:v>180.57415031714359</c:v>
                </c:pt>
                <c:pt idx="69">
                  <c:v>180.62753927614915</c:v>
                </c:pt>
                <c:pt idx="70">
                  <c:v>180.69884058580513</c:v>
                </c:pt>
                <c:pt idx="71">
                  <c:v>180.78727859245345</c:v>
                </c:pt>
                <c:pt idx="72">
                  <c:v>180.89211588401898</c:v>
                </c:pt>
                <c:pt idx="73">
                  <c:v>181.01265103285485</c:v>
                </c:pt>
                <c:pt idx="74">
                  <c:v>181.1482164981893</c:v>
                </c:pt>
                <c:pt idx="75">
                  <c:v>181.29817667480484</c:v>
                </c:pt>
                <c:pt idx="76">
                  <c:v>181.46192607588318</c:v>
                </c:pt>
                <c:pt idx="77">
                  <c:v>181.63888763910381</c:v>
                </c:pt>
                <c:pt idx="78">
                  <c:v>181.8285111461168</c:v>
                </c:pt>
                <c:pt idx="79">
                  <c:v>182.03027174642949</c:v>
                </c:pt>
                <c:pt idx="80">
                  <c:v>182.24366857757039</c:v>
                </c:pt>
                <c:pt idx="81">
                  <c:v>182.46822347412993</c:v>
                </c:pt>
                <c:pt idx="82">
                  <c:v>182.70347975893895</c:v>
                </c:pt>
                <c:pt idx="83">
                  <c:v>182.94900111023924</c:v>
                </c:pt>
                <c:pt idx="84">
                  <c:v>183.2043704992347</c:v>
                </c:pt>
                <c:pt idx="85">
                  <c:v>183.46918919289269</c:v>
                </c:pt>
                <c:pt idx="86">
                  <c:v>183.74307581729937</c:v>
                </c:pt>
                <c:pt idx="87">
                  <c:v>184.02566547726497</c:v>
                </c:pt>
                <c:pt idx="88">
                  <c:v>184.31660892822919</c:v>
                </c:pt>
                <c:pt idx="89">
                  <c:v>184.61557179683959</c:v>
                </c:pt>
                <c:pt idx="90">
                  <c:v>184.92223384686537</c:v>
                </c:pt>
                <c:pt idx="91">
                  <c:v>185.23628828737611</c:v>
                </c:pt>
                <c:pt idx="92">
                  <c:v>185.55744112035339</c:v>
                </c:pt>
                <c:pt idx="93">
                  <c:v>185.88541052512406</c:v>
                </c:pt>
                <c:pt idx="94">
                  <c:v>186.2199262772034</c:v>
                </c:pt>
                <c:pt idx="95">
                  <c:v>186.56072919931773</c:v>
                </c:pt>
                <c:pt idx="96">
                  <c:v>186.90757064254439</c:v>
                </c:pt>
                <c:pt idx="97">
                  <c:v>187.26021199565773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6-40CC-B8A8-710436CB7D6D}"/>
            </c:ext>
          </c:extLst>
        </c:ser>
        <c:ser>
          <c:idx val="3"/>
          <c:order val="3"/>
          <c:tx>
            <c:strRef>
              <c:f>'Rotation Curves'!$G$7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Curves'!$G$9:$G$106</c:f>
              <c:numCache>
                <c:formatCode>0</c:formatCode>
                <c:ptCount val="98"/>
                <c:pt idx="0">
                  <c:v>10.606047130458309</c:v>
                </c:pt>
                <c:pt idx="1">
                  <c:v>30.996763465522871</c:v>
                </c:pt>
                <c:pt idx="2">
                  <c:v>49.461940131921018</c:v>
                </c:pt>
                <c:pt idx="3">
                  <c:v>67.598378416660253</c:v>
                </c:pt>
                <c:pt idx="4">
                  <c:v>85.615250243063301</c:v>
                </c:pt>
                <c:pt idx="5">
                  <c:v>103.57497019297084</c:v>
                </c:pt>
                <c:pt idx="6">
                  <c:v>121.50288430090596</c:v>
                </c:pt>
                <c:pt idx="7">
                  <c:v>139.41126354450694</c:v>
                </c:pt>
                <c:pt idx="8">
                  <c:v>157.30677982650556</c:v>
                </c:pt>
                <c:pt idx="9">
                  <c:v>175.19337493856762</c:v>
                </c:pt>
                <c:pt idx="10">
                  <c:v>193.07352830468096</c:v>
                </c:pt>
                <c:pt idx="11">
                  <c:v>210.94887794995134</c:v>
                </c:pt>
                <c:pt idx="12">
                  <c:v>228.82054967013028</c:v>
                </c:pt>
                <c:pt idx="13">
                  <c:v>246.68934282009383</c:v>
                </c:pt>
                <c:pt idx="14">
                  <c:v>264.55584067895961</c:v>
                </c:pt>
                <c:pt idx="15">
                  <c:v>275.99959575558523</c:v>
                </c:pt>
                <c:pt idx="16">
                  <c:v>268.71139317123328</c:v>
                </c:pt>
                <c:pt idx="17">
                  <c:v>262.18136019673324</c:v>
                </c:pt>
                <c:pt idx="18">
                  <c:v>256.30609575782552</c:v>
                </c:pt>
                <c:pt idx="19">
                  <c:v>251.00105218362881</c:v>
                </c:pt>
                <c:pt idx="20">
                  <c:v>246.19630123556789</c:v>
                </c:pt>
                <c:pt idx="21">
                  <c:v>241.83340924990281</c:v>
                </c:pt>
                <c:pt idx="22">
                  <c:v>237.8630935514021</c:v>
                </c:pt>
                <c:pt idx="23">
                  <c:v>234.2434392585856</c:v>
                </c:pt>
                <c:pt idx="24">
                  <c:v>230.93852465656047</c:v>
                </c:pt>
                <c:pt idx="25">
                  <c:v>227.91734887728018</c:v>
                </c:pt>
                <c:pt idx="26">
                  <c:v>225.15298628819417</c:v>
                </c:pt>
                <c:pt idx="27">
                  <c:v>222.62191299522084</c:v>
                </c:pt>
                <c:pt idx="28">
                  <c:v>220.30346549255327</c:v>
                </c:pt>
                <c:pt idx="29">
                  <c:v>218.17940183031988</c:v>
                </c:pt>
                <c:pt idx="30">
                  <c:v>216.23354307991357</c:v>
                </c:pt>
                <c:pt idx="31">
                  <c:v>214.4514782539236</c:v>
                </c:pt>
                <c:pt idx="32">
                  <c:v>212.82031978632529</c:v>
                </c:pt>
                <c:pt idx="33">
                  <c:v>211.32849961016368</c:v>
                </c:pt>
                <c:pt idx="34">
                  <c:v>209.96559806862544</c:v>
                </c:pt>
                <c:pt idx="35">
                  <c:v>208.72219956006532</c:v>
                </c:pt>
                <c:pt idx="36">
                  <c:v>207.5897700891507</c:v>
                </c:pt>
                <c:pt idx="37">
                  <c:v>206.5605528757182</c:v>
                </c:pt>
                <c:pt idx="38">
                  <c:v>205.62747893323848</c:v>
                </c:pt>
                <c:pt idx="39">
                  <c:v>204.78409012332583</c:v>
                </c:pt>
                <c:pt idx="40">
                  <c:v>204.02447266087174</c:v>
                </c:pt>
                <c:pt idx="41">
                  <c:v>203.34319941540889</c:v>
                </c:pt>
                <c:pt idx="42">
                  <c:v>202.73527965018926</c:v>
                </c:pt>
                <c:pt idx="43">
                  <c:v>202.19611507778899</c:v>
                </c:pt>
                <c:pt idx="44">
                  <c:v>201.72146130247759</c:v>
                </c:pt>
                <c:pt idx="45">
                  <c:v>201.30739387479829</c:v>
                </c:pt>
                <c:pt idx="46">
                  <c:v>200.95027831028702</c:v>
                </c:pt>
                <c:pt idx="47">
                  <c:v>200.64674352781716</c:v>
                </c:pt>
                <c:pt idx="48">
                  <c:v>200.39365824823406</c:v>
                </c:pt>
                <c:pt idx="49">
                  <c:v>200.18810996430935</c:v>
                </c:pt>
                <c:pt idx="50">
                  <c:v>200.02738615141513</c:v>
                </c:pt>
                <c:pt idx="51">
                  <c:v>199.90895743692968</c:v>
                </c:pt>
                <c:pt idx="52">
                  <c:v>199.83046248702942</c:v>
                </c:pt>
                <c:pt idx="53">
                  <c:v>199.78969440362314</c:v>
                </c:pt>
                <c:pt idx="54">
                  <c:v>199.78458845290348</c:v>
                </c:pt>
                <c:pt idx="55">
                  <c:v>199.81321097125357</c:v>
                </c:pt>
                <c:pt idx="56">
                  <c:v>199.8737493148183</c:v>
                </c:pt>
                <c:pt idx="57">
                  <c:v>199.96450273654233</c:v>
                </c:pt>
                <c:pt idx="58">
                  <c:v>200.08387408940112</c:v>
                </c:pt>
                <c:pt idx="59">
                  <c:v>200.23036226731801</c:v>
                </c:pt>
                <c:pt idx="60">
                  <c:v>200.40255530621747</c:v>
                </c:pt>
                <c:pt idx="61">
                  <c:v>200.59912407709177</c:v>
                </c:pt>
                <c:pt idx="62">
                  <c:v>200.81881651109242</c:v>
                </c:pt>
                <c:pt idx="63">
                  <c:v>201.06045230369432</c:v>
                </c:pt>
                <c:pt idx="64">
                  <c:v>201.32291805108531</c:v>
                </c:pt>
                <c:pt idx="65">
                  <c:v>201.60516277723866</c:v>
                </c:pt>
                <c:pt idx="66">
                  <c:v>201.90619381475369</c:v>
                </c:pt>
                <c:pt idx="67">
                  <c:v>202.22507300658978</c:v>
                </c:pt>
                <c:pt idx="68">
                  <c:v>202.56091319935925</c:v>
                </c:pt>
                <c:pt idx="69">
                  <c:v>202.91287500194952</c:v>
                </c:pt>
                <c:pt idx="70">
                  <c:v>203.2801637859784</c:v>
                </c:pt>
                <c:pt idx="71">
                  <c:v>203.66202690699456</c:v>
                </c:pt>
                <c:pt idx="72">
                  <c:v>204.0577511274623</c:v>
                </c:pt>
                <c:pt idx="73">
                  <c:v>204.46666022445339</c:v>
                </c:pt>
                <c:pt idx="74">
                  <c:v>204.88811276663867</c:v>
                </c:pt>
                <c:pt idx="75">
                  <c:v>205.32150004665544</c:v>
                </c:pt>
                <c:pt idx="76">
                  <c:v>205.76624415624948</c:v>
                </c:pt>
                <c:pt idx="77">
                  <c:v>206.22179619276659</c:v>
                </c:pt>
                <c:pt idx="78">
                  <c:v>206.68763458662329</c:v>
                </c:pt>
                <c:pt idx="79">
                  <c:v>207.16326354032694</c:v>
                </c:pt>
                <c:pt idx="80">
                  <c:v>207.64821157046188</c:v>
                </c:pt>
                <c:pt idx="81">
                  <c:v>208.14203014481484</c:v>
                </c:pt>
                <c:pt idx="82">
                  <c:v>208.64429240749675</c:v>
                </c:pt>
                <c:pt idx="83">
                  <c:v>209.15459198553185</c:v>
                </c:pt>
                <c:pt idx="84">
                  <c:v>209.67254187093943</c:v>
                </c:pt>
                <c:pt idx="85">
                  <c:v>210.19777337283435</c:v>
                </c:pt>
                <c:pt idx="86">
                  <c:v>210.72993513452664</c:v>
                </c:pt>
                <c:pt idx="87">
                  <c:v>211.26869221100938</c:v>
                </c:pt>
                <c:pt idx="88">
                  <c:v>211.81372520259816</c:v>
                </c:pt>
                <c:pt idx="89">
                  <c:v>212.36472944082314</c:v>
                </c:pt>
                <c:pt idx="90">
                  <c:v>212.92141422298212</c:v>
                </c:pt>
                <c:pt idx="91">
                  <c:v>213.48350209204432</c:v>
                </c:pt>
                <c:pt idx="92">
                  <c:v>214.05072815884878</c:v>
                </c:pt>
                <c:pt idx="93">
                  <c:v>214.62283946377627</c:v>
                </c:pt>
                <c:pt idx="94">
                  <c:v>215.19959437528465</c:v>
                </c:pt>
                <c:pt idx="95">
                  <c:v>215.78076202289478</c:v>
                </c:pt>
                <c:pt idx="96">
                  <c:v>216.36612176239078</c:v>
                </c:pt>
                <c:pt idx="97">
                  <c:v>216.95546267116359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6-40CC-B8A8-710436CB7D6D}"/>
            </c:ext>
          </c:extLst>
        </c:ser>
        <c:ser>
          <c:idx val="4"/>
          <c:order val="4"/>
          <c:tx>
            <c:strRef>
              <c:f>'Rotation Curves'!$H$7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Curves'!$H$9:$H$106</c:f>
              <c:numCache>
                <c:formatCode>0</c:formatCode>
                <c:ptCount val="98"/>
                <c:pt idx="0">
                  <c:v>11.972677709414171</c:v>
                </c:pt>
                <c:pt idx="1">
                  <c:v>33.392861877017573</c:v>
                </c:pt>
                <c:pt idx="2">
                  <c:v>52.193816720122491</c:v>
                </c:pt>
                <c:pt idx="3">
                  <c:v>70.503041423487517</c:v>
                </c:pt>
                <c:pt idx="4">
                  <c:v>88.625821647995735</c:v>
                </c:pt>
                <c:pt idx="5">
                  <c:v>106.65723952116328</c:v>
                </c:pt>
                <c:pt idx="6">
                  <c:v>124.63695394400226</c:v>
                </c:pt>
                <c:pt idx="7">
                  <c:v>142.58452546218319</c:v>
                </c:pt>
                <c:pt idx="8">
                  <c:v>160.51073665267597</c:v>
                </c:pt>
                <c:pt idx="9">
                  <c:v>178.42202590197638</c:v>
                </c:pt>
                <c:pt idx="10">
                  <c:v>196.32247741870628</c:v>
                </c:pt>
                <c:pt idx="11">
                  <c:v>214.21480812339621</c:v>
                </c:pt>
                <c:pt idx="12">
                  <c:v>232.10089608948209</c:v>
                </c:pt>
                <c:pt idx="13">
                  <c:v>249.98208131466097</c:v>
                </c:pt>
                <c:pt idx="14">
                  <c:v>267.85934566102236</c:v>
                </c:pt>
                <c:pt idx="15">
                  <c:v>279.38869014519258</c:v>
                </c:pt>
                <c:pt idx="16">
                  <c:v>272.41788349340266</c:v>
                </c:pt>
                <c:pt idx="17">
                  <c:v>266.2107870932528</c:v>
                </c:pt>
                <c:pt idx="18">
                  <c:v>260.66330650097194</c:v>
                </c:pt>
                <c:pt idx="19">
                  <c:v>255.69024215618543</c:v>
                </c:pt>
                <c:pt idx="20">
                  <c:v>251.22105322180798</c:v>
                </c:pt>
                <c:pt idx="21">
                  <c:v>247.19673090967643</c:v>
                </c:pt>
                <c:pt idx="22">
                  <c:v>243.56745332667717</c:v>
                </c:pt>
                <c:pt idx="23">
                  <c:v>240.29080087487887</c:v>
                </c:pt>
                <c:pt idx="24">
                  <c:v>237.33038032065932</c:v>
                </c:pt>
                <c:pt idx="25">
                  <c:v>234.65475123050004</c:v>
                </c:pt>
                <c:pt idx="26">
                  <c:v>232.23657914611934</c:v>
                </c:pt>
                <c:pt idx="27">
                  <c:v>230.05196088677812</c:v>
                </c:pt>
                <c:pt idx="28">
                  <c:v>228.07988200064602</c:v>
                </c:pt>
                <c:pt idx="29">
                  <c:v>226.30177673106368</c:v>
                </c:pt>
                <c:pt idx="30">
                  <c:v>224.70116827620822</c:v>
                </c:pt>
                <c:pt idx="31">
                  <c:v>223.26337250049116</c:v>
                </c:pt>
                <c:pt idx="32">
                  <c:v>221.97525220653259</c:v>
                </c:pt>
                <c:pt idx="33">
                  <c:v>220.82501200924443</c:v>
                </c:pt>
                <c:pt idx="34">
                  <c:v>219.80202605279953</c:v>
                </c:pt>
                <c:pt idx="35">
                  <c:v>218.89669247613526</c:v>
                </c:pt>
                <c:pt idx="36">
                  <c:v>218.10030980415056</c:v>
                </c:pt>
                <c:pt idx="37">
                  <c:v>217.40497142090007</c:v>
                </c:pt>
                <c:pt idx="38">
                  <c:v>216.80347504096753</c:v>
                </c:pt>
                <c:pt idx="39">
                  <c:v>216.28924468923191</c:v>
                </c:pt>
                <c:pt idx="40">
                  <c:v>215.85626316682777</c:v>
                </c:pt>
                <c:pt idx="41">
                  <c:v>215.49901335155749</c:v>
                </c:pt>
                <c:pt idx="42">
                  <c:v>215.21242697632596</c:v>
                </c:pt>
                <c:pt idx="43">
                  <c:v>214.99183976595594</c:v>
                </c:pt>
                <c:pt idx="44">
                  <c:v>214.83295200366024</c:v>
                </c:pt>
                <c:pt idx="45">
                  <c:v>214.73179375319151</c:v>
                </c:pt>
                <c:pt idx="46">
                  <c:v>214.68469408875384</c:v>
                </c:pt>
                <c:pt idx="47">
                  <c:v>214.68825378794631</c:v>
                </c:pt>
                <c:pt idx="48">
                  <c:v>214.73932102786864</c:v>
                </c:pt>
                <c:pt idx="49">
                  <c:v>214.83496969460629</c:v>
                </c:pt>
                <c:pt idx="50">
                  <c:v>214.9724799744547</c:v>
                </c:pt>
                <c:pt idx="51">
                  <c:v>215.149320943665</c:v>
                </c:pt>
                <c:pt idx="52">
                  <c:v>215.36313491398676</c:v>
                </c:pt>
                <c:pt idx="53">
                  <c:v>215.61172332527079</c:v>
                </c:pt>
                <c:pt idx="54">
                  <c:v>215.8930340050276</c:v>
                </c:pt>
                <c:pt idx="55">
                  <c:v>216.20514963904697</c:v>
                </c:pt>
                <c:pt idx="56">
                  <c:v>216.54627731771978</c:v>
                </c:pt>
                <c:pt idx="57">
                  <c:v>216.91473904018747</c:v>
                </c:pt>
                <c:pt idx="58">
                  <c:v>217.30896307337008</c:v>
                </c:pt>
                <c:pt idx="59">
                  <c:v>217.72747607571583</c:v>
                </c:pt>
                <c:pt idx="60">
                  <c:v>218.16889590650069</c:v>
                </c:pt>
                <c:pt idx="61">
                  <c:v>218.631925050978</c:v>
                </c:pt>
                <c:pt idx="62">
                  <c:v>219.11534459986089</c:v>
                </c:pt>
                <c:pt idx="63">
                  <c:v>219.61800872871544</c:v>
                </c:pt>
                <c:pt idx="64">
                  <c:v>220.13883962900326</c:v>
                </c:pt>
                <c:pt idx="65">
                  <c:v>220.67682284788518</c:v>
                </c:pt>
                <c:pt idx="66">
                  <c:v>221.23100299858712</c:v>
                </c:pt>
                <c:pt idx="67">
                  <c:v>221.80047980723702</c:v>
                </c:pt>
                <c:pt idx="68">
                  <c:v>222.38440446568717</c:v>
                </c:pt>
                <c:pt idx="69">
                  <c:v>222.98197626300828</c:v>
                </c:pt>
                <c:pt idx="70">
                  <c:v>223.59243947113728</c:v>
                </c:pt>
                <c:pt idx="71">
                  <c:v>224.21508046263381</c:v>
                </c:pt>
                <c:pt idx="72">
                  <c:v>224.8492250406866</c:v>
                </c:pt>
                <c:pt idx="73">
                  <c:v>225.49423596345443</c:v>
                </c:pt>
                <c:pt idx="74">
                  <c:v>226.14951064655179</c:v>
                </c:pt>
                <c:pt idx="75">
                  <c:v>226.81447902902653</c:v>
                </c:pt>
                <c:pt idx="76">
                  <c:v>227.48860158955057</c:v>
                </c:pt>
                <c:pt idx="77">
                  <c:v>228.17136750076892</c:v>
                </c:pt>
                <c:pt idx="78">
                  <c:v>228.86229291085391</c:v>
                </c:pt>
                <c:pt idx="79">
                  <c:v>229.56091934229337</c:v>
                </c:pt>
                <c:pt idx="80">
                  <c:v>230.26681219883008</c:v>
                </c:pt>
                <c:pt idx="81">
                  <c:v>230.97955937226351</c:v>
                </c:pt>
                <c:pt idx="82">
                  <c:v>231.69876994154498</c:v>
                </c:pt>
                <c:pt idx="83">
                  <c:v>232.42407295724399</c:v>
                </c:pt>
                <c:pt idx="84">
                  <c:v>233.15511630504878</c:v>
                </c:pt>
                <c:pt idx="85">
                  <c:v>233.8915656424947</c:v>
                </c:pt>
                <c:pt idx="86">
                  <c:v>234.6331034035943</c:v>
                </c:pt>
                <c:pt idx="87">
                  <c:v>235.3794278664773</c:v>
                </c:pt>
                <c:pt idx="88">
                  <c:v>236.13025227954537</c:v>
                </c:pt>
                <c:pt idx="89">
                  <c:v>236.88530404200679</c:v>
                </c:pt>
                <c:pt idx="90">
                  <c:v>237.64432393498211</c:v>
                </c:pt>
                <c:pt idx="91">
                  <c:v>238.4070653996728</c:v>
                </c:pt>
                <c:pt idx="92">
                  <c:v>239.17329385935497</c:v>
                </c:pt>
                <c:pt idx="93">
                  <c:v>239.9427860822114</c:v>
                </c:pt>
                <c:pt idx="94">
                  <c:v>240.71532958224125</c:v>
                </c:pt>
                <c:pt idx="95">
                  <c:v>241.49072205569539</c:v>
                </c:pt>
                <c:pt idx="96">
                  <c:v>242.26877085067667</c:v>
                </c:pt>
                <c:pt idx="97">
                  <c:v>243.04929246771863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46-40CC-B8A8-710436CB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87824"/>
        <c:axId val="755188656"/>
      </c:scatterChart>
      <c:valAx>
        <c:axId val="75518782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(kpc)</a:t>
                </a:r>
              </a:p>
            </c:rich>
          </c:tx>
          <c:layout>
            <c:manualLayout>
              <c:xMode val="edge"/>
              <c:yMode val="edge"/>
              <c:x val="0.3991516294838145"/>
              <c:y val="0.92960629921259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8656"/>
        <c:crosses val="autoZero"/>
        <c:crossBetween val="midCat"/>
        <c:majorUnit val="10"/>
      </c:valAx>
      <c:valAx>
        <c:axId val="755188656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722722159730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7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69209201388582"/>
          <c:y val="0.6028736594027384"/>
          <c:w val="0.40902477034120732"/>
          <c:h val="0.21878077740282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5910511186102"/>
          <c:y val="1.7300415573053368E-2"/>
          <c:w val="0.82171009873765777"/>
          <c:h val="0.828261154855643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ED2-4CBA-974C-69A9188E934B}"/>
              </c:ext>
            </c:extLst>
          </c:dPt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Data'!$R$3:$R$49</c:f>
              <c:numCache>
                <c:formatCode>0.00</c:formatCode>
                <c:ptCount val="47"/>
                <c:pt idx="0">
                  <c:v>36.933454237021891</c:v>
                </c:pt>
                <c:pt idx="1">
                  <c:v>37.21577853416472</c:v>
                </c:pt>
                <c:pt idx="2">
                  <c:v>37.21577853416472</c:v>
                </c:pt>
                <c:pt idx="3">
                  <c:v>37.603418586196945</c:v>
                </c:pt>
                <c:pt idx="4">
                  <c:v>37.737113608144746</c:v>
                </c:pt>
                <c:pt idx="5">
                  <c:v>37.861250543104617</c:v>
                </c:pt>
                <c:pt idx="6">
                  <c:v>37.920143570387445</c:v>
                </c:pt>
                <c:pt idx="7">
                  <c:v>37.977105326845887</c:v>
                </c:pt>
                <c:pt idx="8">
                  <c:v>38.187930728909897</c:v>
                </c:pt>
                <c:pt idx="9">
                  <c:v>38.284465447776775</c:v>
                </c:pt>
                <c:pt idx="10">
                  <c:v>38.284465447776775</c:v>
                </c:pt>
                <c:pt idx="11">
                  <c:v>38.330792937976035</c:v>
                </c:pt>
                <c:pt idx="12">
                  <c:v>38.330792937976035</c:v>
                </c:pt>
                <c:pt idx="13">
                  <c:v>38.419898516820645</c:v>
                </c:pt>
                <c:pt idx="14">
                  <c:v>38.462793978387737</c:v>
                </c:pt>
                <c:pt idx="15">
                  <c:v>38.585469257453546</c:v>
                </c:pt>
                <c:pt idx="16">
                  <c:v>38.624508606610171</c:v>
                </c:pt>
                <c:pt idx="17">
                  <c:v>38.908762029911955</c:v>
                </c:pt>
                <c:pt idx="18">
                  <c:v>38.941233590800671</c:v>
                </c:pt>
                <c:pt idx="19">
                  <c:v>39.004410659533598</c:v>
                </c:pt>
                <c:pt idx="20">
                  <c:v>39.065370525760542</c:v>
                </c:pt>
                <c:pt idx="21">
                  <c:v>39.095066598077373</c:v>
                </c:pt>
                <c:pt idx="22">
                  <c:v>39.095066598077373</c:v>
                </c:pt>
                <c:pt idx="23">
                  <c:v>39.12426355304337</c:v>
                </c:pt>
                <c:pt idx="24">
                  <c:v>39.236378447444345</c:v>
                </c:pt>
                <c:pt idx="25">
                  <c:v>39.289834293676272</c:v>
                </c:pt>
                <c:pt idx="26">
                  <c:v>39.289834293676272</c:v>
                </c:pt>
                <c:pt idx="27">
                  <c:v>39.341694202333741</c:v>
                </c:pt>
                <c:pt idx="28">
                  <c:v>39.341694202333741</c:v>
                </c:pt>
                <c:pt idx="29">
                  <c:v>39.440988537233871</c:v>
                </c:pt>
                <c:pt idx="30">
                  <c:v>39.4885854304327</c:v>
                </c:pt>
                <c:pt idx="31">
                  <c:v>39.557621452198724</c:v>
                </c:pt>
                <c:pt idx="32">
                  <c:v>39.580036962270718</c:v>
                </c:pt>
                <c:pt idx="33">
                  <c:v>39.602166916670562</c:v>
                </c:pt>
                <c:pt idx="34">
                  <c:v>39.68797092101309</c:v>
                </c:pt>
                <c:pt idx="35">
                  <c:v>39.68797092101309</c:v>
                </c:pt>
                <c:pt idx="36">
                  <c:v>39.708775695756323</c:v>
                </c:pt>
                <c:pt idx="37">
                  <c:v>39.708775695756323</c:v>
                </c:pt>
                <c:pt idx="38">
                  <c:v>39.828628589266096</c:v>
                </c:pt>
                <c:pt idx="39">
                  <c:v>39.922552972664185</c:v>
                </c:pt>
                <c:pt idx="40">
                  <c:v>40.145353573456596</c:v>
                </c:pt>
                <c:pt idx="41">
                  <c:v>40.192950466655425</c:v>
                </c:pt>
                <c:pt idx="42">
                  <c:v>40.299186580733299</c:v>
                </c:pt>
                <c:pt idx="43">
                  <c:v>40.328383535699295</c:v>
                </c:pt>
                <c:pt idx="44">
                  <c:v>40.385345292157737</c:v>
                </c:pt>
                <c:pt idx="45">
                  <c:v>40.520077744968027</c:v>
                </c:pt>
                <c:pt idx="46">
                  <c:v>40.704403625157894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Data'!$Q$3:$Q$49</c:f>
              <c:numCache>
                <c:formatCode>0.00</c:formatCode>
                <c:ptCount val="47"/>
                <c:pt idx="0">
                  <c:v>37.008243353365344</c:v>
                </c:pt>
                <c:pt idx="1">
                  <c:v>37.792142455437066</c:v>
                </c:pt>
                <c:pt idx="2">
                  <c:v>37.838239159635499</c:v>
                </c:pt>
                <c:pt idx="3">
                  <c:v>38.015091479827632</c:v>
                </c:pt>
                <c:pt idx="4">
                  <c:v>37.755967034225655</c:v>
                </c:pt>
                <c:pt idx="5">
                  <c:v>37.724310817693883</c:v>
                </c:pt>
                <c:pt idx="6">
                  <c:v>38.035091479827635</c:v>
                </c:pt>
                <c:pt idx="7">
                  <c:v>38.176442072630309</c:v>
                </c:pt>
                <c:pt idx="8">
                  <c:v>38.437257849117486</c:v>
                </c:pt>
                <c:pt idx="9">
                  <c:v>38.728708395446382</c:v>
                </c:pt>
                <c:pt idx="10">
                  <c:v>38.409986433303608</c:v>
                </c:pt>
                <c:pt idx="11">
                  <c:v>38.191372978249923</c:v>
                </c:pt>
                <c:pt idx="12">
                  <c:v>38.401057633273851</c:v>
                </c:pt>
                <c:pt idx="13">
                  <c:v>38.287257849117481</c:v>
                </c:pt>
                <c:pt idx="14">
                  <c:v>38.015967034225653</c:v>
                </c:pt>
                <c:pt idx="15">
                  <c:v>38.774641867750908</c:v>
                </c:pt>
                <c:pt idx="16">
                  <c:v>38.282863839047302</c:v>
                </c:pt>
                <c:pt idx="17">
                  <c:v>38.605232250865896</c:v>
                </c:pt>
                <c:pt idx="18">
                  <c:v>39.12280239411573</c:v>
                </c:pt>
                <c:pt idx="19">
                  <c:v>38.252170762462278</c:v>
                </c:pt>
                <c:pt idx="20">
                  <c:v>38.96725784911748</c:v>
                </c:pt>
                <c:pt idx="21">
                  <c:v>38.960967968235749</c:v>
                </c:pt>
                <c:pt idx="22">
                  <c:v>38.941194102726989</c:v>
                </c:pt>
                <c:pt idx="23">
                  <c:v>39.4782391596355</c:v>
                </c:pt>
                <c:pt idx="24">
                  <c:v>39.542596013161351</c:v>
                </c:pt>
                <c:pt idx="25">
                  <c:v>39.106393835993103</c:v>
                </c:pt>
                <c:pt idx="26">
                  <c:v>39.366900167850297</c:v>
                </c:pt>
                <c:pt idx="27">
                  <c:v>39.368272025831288</c:v>
                </c:pt>
                <c:pt idx="28">
                  <c:v>39.68885965395657</c:v>
                </c:pt>
                <c:pt idx="29">
                  <c:v>39.850721953349186</c:v>
                </c:pt>
                <c:pt idx="30">
                  <c:v>39.722170762462277</c:v>
                </c:pt>
                <c:pt idx="31">
                  <c:v>39.640966936847128</c:v>
                </c:pt>
                <c:pt idx="32">
                  <c:v>39.355979411099845</c:v>
                </c:pt>
                <c:pt idx="33">
                  <c:v>39.402436158454826</c:v>
                </c:pt>
                <c:pt idx="34">
                  <c:v>39.411263102642053</c:v>
                </c:pt>
                <c:pt idx="35">
                  <c:v>39.79530430985448</c:v>
                </c:pt>
                <c:pt idx="36">
                  <c:v>39.775967034225658</c:v>
                </c:pt>
                <c:pt idx="37">
                  <c:v>39.143930392095442</c:v>
                </c:pt>
                <c:pt idx="38">
                  <c:v>39.748455754981094</c:v>
                </c:pt>
                <c:pt idx="39">
                  <c:v>39.567013820639801</c:v>
                </c:pt>
                <c:pt idx="40">
                  <c:v>40.247257849117481</c:v>
                </c:pt>
                <c:pt idx="41">
                  <c:v>40.133470803739378</c:v>
                </c:pt>
                <c:pt idx="42">
                  <c:v>40.32295260201672</c:v>
                </c:pt>
                <c:pt idx="43">
                  <c:v>40.267013820639797</c:v>
                </c:pt>
                <c:pt idx="44">
                  <c:v>40.135339469175413</c:v>
                </c:pt>
                <c:pt idx="45">
                  <c:v>40.297013588349387</c:v>
                </c:pt>
                <c:pt idx="46">
                  <c:v>40.812952132200245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valAx>
        <c:axId val="-1737998000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Log(km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37278215223097111"/>
              <c:y val="0.9451388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8006160"/>
        <c:crosses val="autoZero"/>
        <c:crossBetween val="midCat"/>
        <c:majorUnit val="0.5"/>
      </c:valAx>
      <c:valAx>
        <c:axId val="-173800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Mass Log(kg)</a:t>
                </a:r>
              </a:p>
            </c:rich>
          </c:tx>
          <c:layout>
            <c:manualLayout>
              <c:xMode val="edge"/>
              <c:yMode val="edge"/>
              <c:x val="4.811898512685914E-4"/>
              <c:y val="0.3413507686539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799800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8419364246135"/>
          <c:y val="4.0694663167104114E-2"/>
          <c:w val="0.82928988043161267"/>
          <c:h val="0.82726771653543307"/>
        </c:manualLayout>
      </c:layout>
      <c:scatterChart>
        <c:scatterStyle val="smoothMarker"/>
        <c:varyColors val="0"/>
        <c:ser>
          <c:idx val="3"/>
          <c:order val="0"/>
          <c:tx>
            <c:v>Here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Factor'!$T$2:$T$3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'Scale Factor'!$U$2:$U$3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4D-4243-B980-F415DF36E95D}"/>
            </c:ext>
          </c:extLst>
        </c:ser>
        <c:ser>
          <c:idx val="2"/>
          <c:order val="1"/>
          <c:tx>
            <c:v>Now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B4D-4243-B980-F415DF36E95D}"/>
              </c:ext>
            </c:extLst>
          </c:dPt>
          <c:xVal>
            <c:numRef>
              <c:f>'Scale Factor'!$Q$2:$Q$3</c:f>
              <c:numCache>
                <c:formatCode>0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xVal>
          <c:yVal>
            <c:numRef>
              <c:f>'Scale Factor'!$R$2:$R$3</c:f>
              <c:numCache>
                <c:formatCode>0</c:formatCode>
                <c:ptCount val="2"/>
                <c:pt idx="0">
                  <c:v>15.68369696997522</c:v>
                </c:pt>
                <c:pt idx="1">
                  <c:v>15.68369696997522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4D-4243-B980-F415DF36E95D}"/>
            </c:ext>
          </c:extLst>
        </c:ser>
        <c:ser>
          <c:idx val="0"/>
          <c:order val="2"/>
          <c:tx>
            <c:strRef>
              <c:f>'Scale Factor'!$L$1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Factor'!$H$2:$H$39</c:f>
              <c:numCache>
                <c:formatCode>0.00</c:formatCode>
                <c:ptCount val="38"/>
                <c:pt idx="0">
                  <c:v>4.264678755620007E-4</c:v>
                </c:pt>
                <c:pt idx="1">
                  <c:v>3.8354315904350865E-3</c:v>
                </c:pt>
                <c:pt idx="2">
                  <c:v>6.8160752410783496E-3</c:v>
                </c:pt>
                <c:pt idx="3">
                  <c:v>1.0646259187314863E-2</c:v>
                </c:pt>
                <c:pt idx="4">
                  <c:v>1.5325058173661704E-2</c:v>
                </c:pt>
                <c:pt idx="5">
                  <c:v>2.0851547280176342E-2</c:v>
                </c:pt>
                <c:pt idx="6">
                  <c:v>2.7224801922456646E-2</c:v>
                </c:pt>
                <c:pt idx="7">
                  <c:v>3.4443897851640842E-2</c:v>
                </c:pt>
                <c:pt idx="8">
                  <c:v>4.2507911154407628E-2</c:v>
                </c:pt>
                <c:pt idx="9">
                  <c:v>5.1415918252976013E-2</c:v>
                </c:pt>
                <c:pt idx="10">
                  <c:v>0.18671270080732036</c:v>
                </c:pt>
                <c:pt idx="11">
                  <c:v>0.40539541877020363</c:v>
                </c:pt>
                <c:pt idx="12">
                  <c:v>0.70654603077717748</c:v>
                </c:pt>
                <c:pt idx="13">
                  <c:v>1.0892498508677368</c:v>
                </c:pt>
                <c:pt idx="14">
                  <c:v>1.5525955484853204</c:v>
                </c:pt>
                <c:pt idx="15">
                  <c:v>2.0956751484773086</c:v>
                </c:pt>
                <c:pt idx="16">
                  <c:v>2.7175840310950274</c:v>
                </c:pt>
                <c:pt idx="17">
                  <c:v>3.4174209319937447</c:v>
                </c:pt>
                <c:pt idx="18">
                  <c:v>5.047290508274962</c:v>
                </c:pt>
                <c:pt idx="19">
                  <c:v>6.9781408706419681</c:v>
                </c:pt>
                <c:pt idx="20">
                  <c:v>9.2028826988788666</c:v>
                </c:pt>
                <c:pt idx="21">
                  <c:v>9.9065577062356258</c:v>
                </c:pt>
                <c:pt idx="22">
                  <c:v>11.714480359232851</c:v>
                </c:pt>
                <c:pt idx="23">
                  <c:v>14.505951904414207</c:v>
                </c:pt>
                <c:pt idx="24">
                  <c:v>17.570369073596311</c:v>
                </c:pt>
                <c:pt idx="25">
                  <c:v>20.900857292415633</c:v>
                </c:pt>
                <c:pt idx="26">
                  <c:v>24.49059567297174</c:v>
                </c:pt>
                <c:pt idx="27">
                  <c:v>28.332817013827274</c:v>
                </c:pt>
                <c:pt idx="28">
                  <c:v>32.420807800007985</c:v>
                </c:pt>
                <c:pt idx="29">
                  <c:v>36.747908203002723</c:v>
                </c:pt>
                <c:pt idx="30">
                  <c:v>41.307512080763402</c:v>
                </c:pt>
                <c:pt idx="31">
                  <c:v>46.093066977705071</c:v>
                </c:pt>
                <c:pt idx="32">
                  <c:v>51.098074124705811</c:v>
                </c:pt>
                <c:pt idx="33">
                  <c:v>56.316088439106828</c:v>
                </c:pt>
                <c:pt idx="34">
                  <c:v>61.740718524712463</c:v>
                </c:pt>
                <c:pt idx="35">
                  <c:v>67.365626671790054</c:v>
                </c:pt>
                <c:pt idx="36">
                  <c:v>73.18452885707012</c:v>
                </c:pt>
                <c:pt idx="37">
                  <c:v>79.191194743746223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4D-4243-B980-F415DF36E95D}"/>
            </c:ext>
          </c:extLst>
        </c:ser>
        <c:ser>
          <c:idx val="1"/>
          <c:order val="3"/>
          <c:tx>
            <c:strRef>
              <c:f>'Scale Factor'!$M$1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Factor'!$I$2:$I$39</c:f>
              <c:numCache>
                <c:formatCode>0.00</c:formatCode>
                <c:ptCount val="38"/>
                <c:pt idx="0">
                  <c:v>-4.264678755620007E-4</c:v>
                </c:pt>
                <c:pt idx="1">
                  <c:v>-3.8354315904350865E-3</c:v>
                </c:pt>
                <c:pt idx="2">
                  <c:v>-6.8160752410783496E-3</c:v>
                </c:pt>
                <c:pt idx="3">
                  <c:v>-1.0646259187314863E-2</c:v>
                </c:pt>
                <c:pt idx="4">
                  <c:v>-1.5325058173661704E-2</c:v>
                </c:pt>
                <c:pt idx="5">
                  <c:v>-2.0851547280176342E-2</c:v>
                </c:pt>
                <c:pt idx="6">
                  <c:v>-2.7224801922456646E-2</c:v>
                </c:pt>
                <c:pt idx="7">
                  <c:v>-3.4443897851640842E-2</c:v>
                </c:pt>
                <c:pt idx="8">
                  <c:v>-4.2507911154407628E-2</c:v>
                </c:pt>
                <c:pt idx="9">
                  <c:v>-5.1415918252976013E-2</c:v>
                </c:pt>
                <c:pt idx="10">
                  <c:v>-0.18671270080732036</c:v>
                </c:pt>
                <c:pt idx="11">
                  <c:v>-0.40539541877020363</c:v>
                </c:pt>
                <c:pt idx="12">
                  <c:v>-0.70654603077717748</c:v>
                </c:pt>
                <c:pt idx="13">
                  <c:v>-1.0892498508677368</c:v>
                </c:pt>
                <c:pt idx="14">
                  <c:v>-1.5525955484853204</c:v>
                </c:pt>
                <c:pt idx="15">
                  <c:v>-2.0956751484773086</c:v>
                </c:pt>
                <c:pt idx="16">
                  <c:v>-2.7175840310950274</c:v>
                </c:pt>
                <c:pt idx="17">
                  <c:v>-3.4174209319937447</c:v>
                </c:pt>
                <c:pt idx="18">
                  <c:v>-5.047290508274962</c:v>
                </c:pt>
                <c:pt idx="19">
                  <c:v>-6.9781408706419681</c:v>
                </c:pt>
                <c:pt idx="20">
                  <c:v>-9.2028826988788666</c:v>
                </c:pt>
                <c:pt idx="21">
                  <c:v>-9.9065577062356258</c:v>
                </c:pt>
                <c:pt idx="22">
                  <c:v>-11.714480359232851</c:v>
                </c:pt>
                <c:pt idx="23">
                  <c:v>-14.505951904414207</c:v>
                </c:pt>
                <c:pt idx="24">
                  <c:v>-17.570369073596311</c:v>
                </c:pt>
                <c:pt idx="25">
                  <c:v>-20.900857292415633</c:v>
                </c:pt>
                <c:pt idx="26">
                  <c:v>-24.49059567297174</c:v>
                </c:pt>
                <c:pt idx="27">
                  <c:v>-28.332817013827274</c:v>
                </c:pt>
                <c:pt idx="28">
                  <c:v>-32.420807800007985</c:v>
                </c:pt>
                <c:pt idx="29">
                  <c:v>-36.747908203002723</c:v>
                </c:pt>
                <c:pt idx="30">
                  <c:v>-41.307512080763402</c:v>
                </c:pt>
                <c:pt idx="31">
                  <c:v>-46.093066977705071</c:v>
                </c:pt>
                <c:pt idx="32">
                  <c:v>-51.098074124705811</c:v>
                </c:pt>
                <c:pt idx="33">
                  <c:v>-56.316088439106828</c:v>
                </c:pt>
                <c:pt idx="34">
                  <c:v>-61.740718524712463</c:v>
                </c:pt>
                <c:pt idx="35">
                  <c:v>-67.365626671790054</c:v>
                </c:pt>
                <c:pt idx="36">
                  <c:v>-73.18452885707012</c:v>
                </c:pt>
                <c:pt idx="37">
                  <c:v>-79.191194743746223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4D-4243-B980-F415DF36E95D}"/>
            </c:ext>
          </c:extLst>
        </c:ser>
        <c:ser>
          <c:idx val="4"/>
          <c:order val="4"/>
          <c:tx>
            <c:strRef>
              <c:f>'Scale Factor'!$N$1</c:f>
              <c:strCache>
                <c:ptCount val="1"/>
                <c:pt idx="0">
                  <c:v>Pos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Factor'!$N$2:$N$39</c:f>
              <c:numCache>
                <c:formatCode>0.00</c:formatCode>
                <c:ptCount val="38"/>
                <c:pt idx="0">
                  <c:v>6.4998681672097575E-2</c:v>
                </c:pt>
                <c:pt idx="1">
                  <c:v>0.19492543286847994</c:v>
                </c:pt>
                <c:pt idx="2">
                  <c:v>0.25985350239276472</c:v>
                </c:pt>
                <c:pt idx="3">
                  <c:v>0.32475803453444513</c:v>
                </c:pt>
                <c:pt idx="4">
                  <c:v>0.3896390292935214</c:v>
                </c:pt>
                <c:pt idx="5">
                  <c:v>0.45449648666999337</c:v>
                </c:pt>
                <c:pt idx="6">
                  <c:v>0.5193304066638611</c:v>
                </c:pt>
                <c:pt idx="7">
                  <c:v>0.58414078927512447</c:v>
                </c:pt>
                <c:pt idx="8">
                  <c:v>0.64892763450378355</c:v>
                </c:pt>
                <c:pt idx="9">
                  <c:v>0.71369094234983854</c:v>
                </c:pt>
                <c:pt idx="10">
                  <c:v>1.360029464767152</c:v>
                </c:pt>
                <c:pt idx="11">
                  <c:v>2.0040142489240389</c:v>
                </c:pt>
                <c:pt idx="12">
                  <c:v>2.6456452948204983</c:v>
                </c:pt>
                <c:pt idx="13">
                  <c:v>3.2849226024565303</c:v>
                </c:pt>
                <c:pt idx="14">
                  <c:v>3.921846171832136</c:v>
                </c:pt>
                <c:pt idx="15">
                  <c:v>4.556416002947314</c:v>
                </c:pt>
                <c:pt idx="16">
                  <c:v>5.1886320958020651</c:v>
                </c:pt>
                <c:pt idx="17">
                  <c:v>5.818494450396388</c:v>
                </c:pt>
                <c:pt idx="18">
                  <c:v>7.0711579448037538</c:v>
                </c:pt>
                <c:pt idx="19">
                  <c:v>8.3144064861694105</c:v>
                </c:pt>
                <c:pt idx="20">
                  <c:v>9.5482400744933589</c:v>
                </c:pt>
                <c:pt idx="21">
                  <c:v>9.9065577062356258</c:v>
                </c:pt>
                <c:pt idx="22">
                  <c:v>10.772658709775598</c:v>
                </c:pt>
                <c:pt idx="23">
                  <c:v>11.98766239201613</c:v>
                </c:pt>
                <c:pt idx="24">
                  <c:v>13.193251121214955</c:v>
                </c:pt>
                <c:pt idx="25">
                  <c:v>14.389424897372066</c:v>
                </c:pt>
                <c:pt idx="26">
                  <c:v>15.576183720487474</c:v>
                </c:pt>
                <c:pt idx="27">
                  <c:v>16.75352759056117</c:v>
                </c:pt>
                <c:pt idx="28">
                  <c:v>17.92145650759316</c:v>
                </c:pt>
                <c:pt idx="29">
                  <c:v>19.07997047158344</c:v>
                </c:pt>
                <c:pt idx="30">
                  <c:v>20.229069482532008</c:v>
                </c:pt>
                <c:pt idx="31">
                  <c:v>21.368753540438878</c:v>
                </c:pt>
                <c:pt idx="32">
                  <c:v>22.499022645304031</c:v>
                </c:pt>
                <c:pt idx="33">
                  <c:v>23.619876797127475</c:v>
                </c:pt>
                <c:pt idx="34">
                  <c:v>24.731315995909213</c:v>
                </c:pt>
                <c:pt idx="35">
                  <c:v>25.833340241649239</c:v>
                </c:pt>
                <c:pt idx="36">
                  <c:v>26.925949534347563</c:v>
                </c:pt>
                <c:pt idx="37">
                  <c:v>28.00914387400417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4D-4243-B980-F415DF36E95D}"/>
            </c:ext>
          </c:extLst>
        </c:ser>
        <c:ser>
          <c:idx val="5"/>
          <c:order val="5"/>
          <c:tx>
            <c:strRef>
              <c:f>'Scale Factor'!$O$1</c:f>
              <c:strCache>
                <c:ptCount val="1"/>
                <c:pt idx="0">
                  <c:v>Neg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Factor'!$O$2:$O$39</c:f>
              <c:numCache>
                <c:formatCode>0.00</c:formatCode>
                <c:ptCount val="38"/>
                <c:pt idx="0">
                  <c:v>-6.4998681672097575E-2</c:v>
                </c:pt>
                <c:pt idx="1">
                  <c:v>-0.19492543286847994</c:v>
                </c:pt>
                <c:pt idx="2">
                  <c:v>-0.25985350239276472</c:v>
                </c:pt>
                <c:pt idx="3">
                  <c:v>-0.32475803453444513</c:v>
                </c:pt>
                <c:pt idx="4">
                  <c:v>-0.3896390292935214</c:v>
                </c:pt>
                <c:pt idx="5">
                  <c:v>-0.45449648666999337</c:v>
                </c:pt>
                <c:pt idx="6">
                  <c:v>-0.5193304066638611</c:v>
                </c:pt>
                <c:pt idx="7">
                  <c:v>-0.58414078927512447</c:v>
                </c:pt>
                <c:pt idx="8">
                  <c:v>-0.64892763450378355</c:v>
                </c:pt>
                <c:pt idx="9">
                  <c:v>-0.71369094234983854</c:v>
                </c:pt>
                <c:pt idx="10">
                  <c:v>-1.360029464767152</c:v>
                </c:pt>
                <c:pt idx="11">
                  <c:v>-2.0040142489240389</c:v>
                </c:pt>
                <c:pt idx="12">
                  <c:v>-2.6456452948204983</c:v>
                </c:pt>
                <c:pt idx="13">
                  <c:v>-3.2849226024565303</c:v>
                </c:pt>
                <c:pt idx="14">
                  <c:v>-3.921846171832136</c:v>
                </c:pt>
                <c:pt idx="15">
                  <c:v>-4.556416002947314</c:v>
                </c:pt>
                <c:pt idx="16">
                  <c:v>-5.1886320958020651</c:v>
                </c:pt>
                <c:pt idx="17">
                  <c:v>-5.818494450396388</c:v>
                </c:pt>
                <c:pt idx="18">
                  <c:v>-7.0711579448037538</c:v>
                </c:pt>
                <c:pt idx="19">
                  <c:v>-8.3144064861694105</c:v>
                </c:pt>
                <c:pt idx="20">
                  <c:v>-9.5482400744933589</c:v>
                </c:pt>
                <c:pt idx="21">
                  <c:v>-9.9065577062356258</c:v>
                </c:pt>
                <c:pt idx="22">
                  <c:v>-10.772658709775598</c:v>
                </c:pt>
                <c:pt idx="23">
                  <c:v>-11.98766239201613</c:v>
                </c:pt>
                <c:pt idx="24">
                  <c:v>-13.193251121214955</c:v>
                </c:pt>
                <c:pt idx="25">
                  <c:v>-14.389424897372066</c:v>
                </c:pt>
                <c:pt idx="26">
                  <c:v>-15.576183720487474</c:v>
                </c:pt>
                <c:pt idx="27">
                  <c:v>-16.75352759056117</c:v>
                </c:pt>
                <c:pt idx="28">
                  <c:v>-17.92145650759316</c:v>
                </c:pt>
                <c:pt idx="29">
                  <c:v>-19.07997047158344</c:v>
                </c:pt>
                <c:pt idx="30">
                  <c:v>-20.229069482532008</c:v>
                </c:pt>
                <c:pt idx="31">
                  <c:v>-21.368753540438878</c:v>
                </c:pt>
                <c:pt idx="32">
                  <c:v>-22.499022645304031</c:v>
                </c:pt>
                <c:pt idx="33">
                  <c:v>-23.619876797127475</c:v>
                </c:pt>
                <c:pt idx="34">
                  <c:v>-24.731315995909213</c:v>
                </c:pt>
                <c:pt idx="35">
                  <c:v>-25.833340241649239</c:v>
                </c:pt>
                <c:pt idx="36">
                  <c:v>-26.925949534347563</c:v>
                </c:pt>
                <c:pt idx="37">
                  <c:v>-28.00914387400417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4D-4243-B980-F415DF36E95D}"/>
            </c:ext>
          </c:extLst>
        </c:ser>
        <c:ser>
          <c:idx val="6"/>
          <c:order val="6"/>
          <c:tx>
            <c:v>Past Positive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Factor'!$J$2:$J$24</c:f>
              <c:numCache>
                <c:formatCode>0.00</c:formatCode>
                <c:ptCount val="23"/>
                <c:pt idx="0">
                  <c:v>6.4151305704944844E-2</c:v>
                </c:pt>
                <c:pt idx="1">
                  <c:v>0.18740259214187865</c:v>
                </c:pt>
                <c:pt idx="2">
                  <c:v>0.24656978971970697</c:v>
                </c:pt>
                <c:pt idx="3">
                  <c:v>0.3041413741425848</c:v>
                </c:pt>
                <c:pt idx="4">
                  <c:v>0.36014880546652006</c:v>
                </c:pt>
                <c:pt idx="5">
                  <c:v>0.41462273395150895</c:v>
                </c:pt>
                <c:pt idx="6">
                  <c:v>0.46759302595056551</c:v>
                </c:pt>
                <c:pt idx="7">
                  <c:v>0.51908878881186027</c:v>
                </c:pt>
                <c:pt idx="8">
                  <c:v>0.56913839483758033</c:v>
                </c:pt>
                <c:pt idx="9">
                  <c:v>0.61776950434093802</c:v>
                </c:pt>
                <c:pt idx="10">
                  <c:v>1.0316815601247569</c:v>
                </c:pt>
                <c:pt idx="11">
                  <c:v>1.3296430894179978</c:v>
                </c:pt>
                <c:pt idx="12">
                  <c:v>1.530392613611165</c:v>
                </c:pt>
                <c:pt idx="13">
                  <c:v>1.6489096226214253</c:v>
                </c:pt>
                <c:pt idx="14">
                  <c:v>1.69731215747508</c:v>
                </c:pt>
                <c:pt idx="15">
                  <c:v>1.6855089254169584</c:v>
                </c:pt>
                <c:pt idx="16">
                  <c:v>1.6216808512469072</c:v>
                </c:pt>
                <c:pt idx="17">
                  <c:v>1.5126419378480809</c:v>
                </c:pt>
                <c:pt idx="18">
                  <c:v>1.1809338760197816</c:v>
                </c:pt>
                <c:pt idx="19">
                  <c:v>0.72651437603938318</c:v>
                </c:pt>
                <c:pt idx="20">
                  <c:v>0.1758590764787103</c:v>
                </c:pt>
                <c:pt idx="21">
                  <c:v>0</c:v>
                </c:pt>
                <c:pt idx="22">
                  <c:v>-0.45118781735395941</c:v>
                </c:pt>
              </c:numCache>
            </c:numRef>
          </c:xVal>
          <c:yVal>
            <c:numRef>
              <c:f>'Scale Factor'!$B$2:$B$24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4D-4243-B980-F415DF36E95D}"/>
            </c:ext>
          </c:extLst>
        </c:ser>
        <c:ser>
          <c:idx val="7"/>
          <c:order val="7"/>
          <c:tx>
            <c:v>Past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Factor'!$K$2:$K$24</c:f>
              <c:numCache>
                <c:formatCode>0.00</c:formatCode>
                <c:ptCount val="23"/>
                <c:pt idx="0">
                  <c:v>-6.4151305704944844E-2</c:v>
                </c:pt>
                <c:pt idx="1">
                  <c:v>-0.18740259214187865</c:v>
                </c:pt>
                <c:pt idx="2">
                  <c:v>-0.24656978971970697</c:v>
                </c:pt>
                <c:pt idx="3">
                  <c:v>-0.3041413741425848</c:v>
                </c:pt>
                <c:pt idx="4">
                  <c:v>-0.36014880546652006</c:v>
                </c:pt>
                <c:pt idx="5">
                  <c:v>-0.41462273395150895</c:v>
                </c:pt>
                <c:pt idx="6">
                  <c:v>-0.46759302595056551</c:v>
                </c:pt>
                <c:pt idx="7">
                  <c:v>-0.51908878881186027</c:v>
                </c:pt>
                <c:pt idx="8">
                  <c:v>-0.56913839483758033</c:v>
                </c:pt>
                <c:pt idx="9">
                  <c:v>-0.61776950434093802</c:v>
                </c:pt>
                <c:pt idx="10">
                  <c:v>-1.0316815601247569</c:v>
                </c:pt>
                <c:pt idx="11">
                  <c:v>-1.3296430894179978</c:v>
                </c:pt>
                <c:pt idx="12">
                  <c:v>-1.530392613611165</c:v>
                </c:pt>
                <c:pt idx="13">
                  <c:v>-1.6489096226214253</c:v>
                </c:pt>
                <c:pt idx="14">
                  <c:v>-1.69731215747508</c:v>
                </c:pt>
                <c:pt idx="15">
                  <c:v>-1.6855089254169584</c:v>
                </c:pt>
                <c:pt idx="16">
                  <c:v>-1.6216808512469072</c:v>
                </c:pt>
                <c:pt idx="17">
                  <c:v>-1.5126419378480809</c:v>
                </c:pt>
                <c:pt idx="18">
                  <c:v>-1.1809338760197816</c:v>
                </c:pt>
                <c:pt idx="19">
                  <c:v>-0.72651437603938318</c:v>
                </c:pt>
                <c:pt idx="20">
                  <c:v>-0.1758590764787103</c:v>
                </c:pt>
                <c:pt idx="21">
                  <c:v>0</c:v>
                </c:pt>
                <c:pt idx="22">
                  <c:v>0.45118781735395941</c:v>
                </c:pt>
              </c:numCache>
            </c:numRef>
          </c:xVal>
          <c:yVal>
            <c:numRef>
              <c:f>'Scale Factor'!$B$2:$B$24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B4D-4243-B980-F415DF36E95D}"/>
            </c:ext>
          </c:extLst>
        </c:ser>
        <c:ser>
          <c:idx val="8"/>
          <c:order val="8"/>
          <c:tx>
            <c:v>Future Pos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Factor'!$J$23:$J$39</c:f>
              <c:numCache>
                <c:formatCode>0.00</c:formatCode>
                <c:ptCount val="17"/>
                <c:pt idx="0">
                  <c:v>0</c:v>
                </c:pt>
                <c:pt idx="1">
                  <c:v>-0.45118781735395941</c:v>
                </c:pt>
                <c:pt idx="2">
                  <c:v>-1.1394596502467589</c:v>
                </c:pt>
                <c:pt idx="3">
                  <c:v>-1.8771658201230015</c:v>
                </c:pt>
                <c:pt idx="4">
                  <c:v>-2.6550019327957814</c:v>
                </c:pt>
                <c:pt idx="5">
                  <c:v>-3.4655273130006456</c:v>
                </c:pt>
                <c:pt idx="6">
                  <c:v>-4.3027206249250796</c:v>
                </c:pt>
                <c:pt idx="7">
                  <c:v>-5.1616568533269662</c:v>
                </c:pt>
                <c:pt idx="8">
                  <c:v>-6.0382686609711786</c:v>
                </c:pt>
                <c:pt idx="9">
                  <c:v>-6.9291674816970579</c:v>
                </c:pt>
                <c:pt idx="10">
                  <c:v>-7.8315076029620041</c:v>
                </c:pt>
                <c:pt idx="11">
                  <c:v>-8.7428816503462503</c:v>
                </c:pt>
                <c:pt idx="12">
                  <c:v>-9.6612393236766607</c:v>
                </c:pt>
                <c:pt idx="13">
                  <c:v>-10.584823565604415</c:v>
                </c:pt>
                <c:pt idx="14">
                  <c:v>-11.51211995042774</c:v>
                </c:pt>
                <c:pt idx="15">
                  <c:v>-12.441816205335613</c:v>
                </c:pt>
                <c:pt idx="16">
                  <c:v>-13.37276957388112</c:v>
                </c:pt>
              </c:numCache>
            </c:numRef>
          </c:xVal>
          <c:yVal>
            <c:numRef>
              <c:f>'Scale Factor'!$B$23:$B$39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B4D-4243-B980-F415DF36E95D}"/>
            </c:ext>
          </c:extLst>
        </c:ser>
        <c:ser>
          <c:idx val="9"/>
          <c:order val="9"/>
          <c:tx>
            <c:v>Future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Factor'!$K$23:$K$39</c:f>
              <c:numCache>
                <c:formatCode>0.00</c:formatCode>
                <c:ptCount val="17"/>
                <c:pt idx="0">
                  <c:v>0</c:v>
                </c:pt>
                <c:pt idx="1">
                  <c:v>0.45118781735395941</c:v>
                </c:pt>
                <c:pt idx="2">
                  <c:v>1.1394596502467589</c:v>
                </c:pt>
                <c:pt idx="3">
                  <c:v>1.8771658201230015</c:v>
                </c:pt>
                <c:pt idx="4">
                  <c:v>2.6550019327957814</c:v>
                </c:pt>
                <c:pt idx="5">
                  <c:v>3.4655273130006456</c:v>
                </c:pt>
                <c:pt idx="6">
                  <c:v>4.3027206249250796</c:v>
                </c:pt>
                <c:pt idx="7">
                  <c:v>5.1616568533269662</c:v>
                </c:pt>
                <c:pt idx="8">
                  <c:v>6.0382686609711786</c:v>
                </c:pt>
                <c:pt idx="9">
                  <c:v>6.9291674816970579</c:v>
                </c:pt>
                <c:pt idx="10">
                  <c:v>7.8315076029620041</c:v>
                </c:pt>
                <c:pt idx="11">
                  <c:v>8.7428816503462503</c:v>
                </c:pt>
                <c:pt idx="12">
                  <c:v>9.6612393236766607</c:v>
                </c:pt>
                <c:pt idx="13">
                  <c:v>10.584823565604415</c:v>
                </c:pt>
                <c:pt idx="14">
                  <c:v>11.51211995042774</c:v>
                </c:pt>
                <c:pt idx="15">
                  <c:v>12.441816205335613</c:v>
                </c:pt>
                <c:pt idx="16">
                  <c:v>13.37276957388112</c:v>
                </c:pt>
              </c:numCache>
            </c:numRef>
          </c:xVal>
          <c:yVal>
            <c:numRef>
              <c:f>'Scale Factor'!$B$23:$B$39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B4D-4243-B980-F415DF36E95D}"/>
            </c:ext>
          </c:extLst>
        </c:ser>
        <c:ser>
          <c:idx val="10"/>
          <c:order val="10"/>
          <c:tx>
            <c:strRef>
              <c:f>'Scale Factor'!$L$1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Factor'!$L$2:$L$39</c:f>
              <c:numCache>
                <c:formatCode>0.00</c:formatCode>
                <c:ptCount val="38"/>
                <c:pt idx="0">
                  <c:v>2.1338839868851418E-4</c:v>
                </c:pt>
                <c:pt idx="1">
                  <c:v>1.9218862408150619E-3</c:v>
                </c:pt>
                <c:pt idx="2">
                  <c:v>3.4179231234868256E-3</c:v>
                </c:pt>
                <c:pt idx="3">
                  <c:v>5.3424372223106389E-3</c:v>
                </c:pt>
                <c:pt idx="4">
                  <c:v>7.6958926812066503E-3</c:v>
                </c:pt>
                <c:pt idx="5">
                  <c:v>1.0478753814919096E-2</c:v>
                </c:pt>
                <c:pt idx="6">
                  <c:v>1.3691485109631031E-2</c:v>
                </c:pt>
                <c:pt idx="7">
                  <c:v>1.7334551223580387E-2</c:v>
                </c:pt>
                <c:pt idx="8">
                  <c:v>2.1408416987677432E-2</c:v>
                </c:pt>
                <c:pt idx="9">
                  <c:v>2.5913547406123453E-2</c:v>
                </c:pt>
                <c:pt idx="10">
                  <c:v>9.4786833652708555E-2</c:v>
                </c:pt>
                <c:pt idx="11">
                  <c:v>0.2072994006911856</c:v>
                </c:pt>
                <c:pt idx="12">
                  <c:v>0.36391921052863646</c:v>
                </c:pt>
                <c:pt idx="13">
                  <c:v>0.56511609792278339</c:v>
                </c:pt>
                <c:pt idx="14">
                  <c:v>0.81136183610656309</c:v>
                </c:pt>
                <c:pt idx="15">
                  <c:v>1.1031302039781252</c:v>
                </c:pt>
                <c:pt idx="16">
                  <c:v>1.4408970547945228</c:v>
                </c:pt>
                <c:pt idx="17">
                  <c:v>1.8251403864084914</c:v>
                </c:pt>
                <c:pt idx="18">
                  <c:v>2.7349796389668461</c:v>
                </c:pt>
                <c:pt idx="19">
                  <c:v>3.8365176065502955</c:v>
                </c:pt>
                <c:pt idx="20">
                  <c:v>5.1336630169951709</c:v>
                </c:pt>
                <c:pt idx="21">
                  <c:v>5.5496750920292355</c:v>
                </c:pt>
                <c:pt idx="22">
                  <c:v>6.63036622549828</c:v>
                </c:pt>
                <c:pt idx="23">
                  <c:v>8.3306218777972525</c:v>
                </c:pt>
                <c:pt idx="24">
                  <c:v>10.23847169862743</c:v>
                </c:pt>
                <c:pt idx="25">
                  <c:v>12.358007412384939</c:v>
                </c:pt>
                <c:pt idx="26">
                  <c:v>14.693373803366903</c:v>
                </c:pt>
                <c:pt idx="27">
                  <c:v>17.248771923433488</c:v>
                </c:pt>
                <c:pt idx="28">
                  <c:v>20.028462455444121</c:v>
                </c:pt>
                <c:pt idx="29">
                  <c:v>23.036769241365665</c:v>
                </c:pt>
                <c:pt idx="30">
                  <c:v>26.278082984535896</c:v>
                </c:pt>
                <c:pt idx="31">
                  <c:v>29.756865136194971</c:v>
                </c:pt>
                <c:pt idx="32">
                  <c:v>33.477651977074125</c:v>
                </c:pt>
                <c:pt idx="33">
                  <c:v>37.445058905559357</c:v>
                </c:pt>
                <c:pt idx="34">
                  <c:v>41.663784944731155</c:v>
                </c:pt>
                <c:pt idx="35">
                  <c:v>46.138617481425932</c:v>
                </c:pt>
                <c:pt idx="36">
                  <c:v>50.874437251375262</c:v>
                </c:pt>
                <c:pt idx="37">
                  <c:v>55.876223585459883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B4D-4243-B980-F415DF36E95D}"/>
            </c:ext>
          </c:extLst>
        </c:ser>
        <c:ser>
          <c:idx val="11"/>
          <c:order val="11"/>
          <c:tx>
            <c:strRef>
              <c:f>'Scale Factor'!$M$1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Factor'!$M$2:$M$39</c:f>
              <c:numCache>
                <c:formatCode>0.00</c:formatCode>
                <c:ptCount val="38"/>
                <c:pt idx="0">
                  <c:v>-2.1338839868851418E-4</c:v>
                </c:pt>
                <c:pt idx="1">
                  <c:v>-1.9218862408150619E-3</c:v>
                </c:pt>
                <c:pt idx="2">
                  <c:v>-3.4179231234868256E-3</c:v>
                </c:pt>
                <c:pt idx="3">
                  <c:v>-5.3424372223106389E-3</c:v>
                </c:pt>
                <c:pt idx="4">
                  <c:v>-7.6958926812066503E-3</c:v>
                </c:pt>
                <c:pt idx="5">
                  <c:v>-1.0478753814919096E-2</c:v>
                </c:pt>
                <c:pt idx="6">
                  <c:v>-1.3691485109631031E-2</c:v>
                </c:pt>
                <c:pt idx="7">
                  <c:v>-1.7334551223580387E-2</c:v>
                </c:pt>
                <c:pt idx="8">
                  <c:v>-2.1408416987677432E-2</c:v>
                </c:pt>
                <c:pt idx="9">
                  <c:v>-2.5913547406123453E-2</c:v>
                </c:pt>
                <c:pt idx="10">
                  <c:v>-9.4786833652708555E-2</c:v>
                </c:pt>
                <c:pt idx="11">
                  <c:v>-0.2072994006911856</c:v>
                </c:pt>
                <c:pt idx="12">
                  <c:v>-0.36391921052863646</c:v>
                </c:pt>
                <c:pt idx="13">
                  <c:v>-0.56511609792278339</c:v>
                </c:pt>
                <c:pt idx="14">
                  <c:v>-0.81136183610656309</c:v>
                </c:pt>
                <c:pt idx="15">
                  <c:v>-1.1031302039781252</c:v>
                </c:pt>
                <c:pt idx="16">
                  <c:v>-1.4408970547945228</c:v>
                </c:pt>
                <c:pt idx="17">
                  <c:v>-1.8251403864084914</c:v>
                </c:pt>
                <c:pt idx="18">
                  <c:v>-2.7349796389668461</c:v>
                </c:pt>
                <c:pt idx="19">
                  <c:v>-3.8365176065502955</c:v>
                </c:pt>
                <c:pt idx="20">
                  <c:v>-5.1336630169951709</c:v>
                </c:pt>
                <c:pt idx="21">
                  <c:v>-5.5496750920292355</c:v>
                </c:pt>
                <c:pt idx="22">
                  <c:v>-6.63036622549828</c:v>
                </c:pt>
                <c:pt idx="23">
                  <c:v>-8.3306218777972525</c:v>
                </c:pt>
                <c:pt idx="24">
                  <c:v>-10.23847169862743</c:v>
                </c:pt>
                <c:pt idx="25">
                  <c:v>-12.358007412384939</c:v>
                </c:pt>
                <c:pt idx="26">
                  <c:v>-14.693373803366903</c:v>
                </c:pt>
                <c:pt idx="27">
                  <c:v>-17.248771923433488</c:v>
                </c:pt>
                <c:pt idx="28">
                  <c:v>-20.028462455444121</c:v>
                </c:pt>
                <c:pt idx="29">
                  <c:v>-23.036769241365665</c:v>
                </c:pt>
                <c:pt idx="30">
                  <c:v>-26.278082984535896</c:v>
                </c:pt>
                <c:pt idx="31">
                  <c:v>-29.756865136194971</c:v>
                </c:pt>
                <c:pt idx="32">
                  <c:v>-33.477651977074125</c:v>
                </c:pt>
                <c:pt idx="33">
                  <c:v>-37.445058905559357</c:v>
                </c:pt>
                <c:pt idx="34">
                  <c:v>-41.663784944731155</c:v>
                </c:pt>
                <c:pt idx="35">
                  <c:v>-46.138617481425932</c:v>
                </c:pt>
                <c:pt idx="36">
                  <c:v>-50.874437251375262</c:v>
                </c:pt>
                <c:pt idx="37">
                  <c:v>-55.876223585459883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B4D-4243-B980-F415DF36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31279"/>
        <c:axId val="386831695"/>
      </c:scatterChart>
      <c:valAx>
        <c:axId val="386831279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695"/>
        <c:crossesAt val="0"/>
        <c:crossBetween val="midCat"/>
        <c:majorUnit val="5"/>
      </c:valAx>
      <c:valAx>
        <c:axId val="386831695"/>
        <c:scaling>
          <c:orientation val="minMax"/>
          <c:max val="3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279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8419364246135"/>
          <c:y val="4.0694663167104114E-2"/>
          <c:w val="0.82928988043161267"/>
          <c:h val="0.82726771653543307"/>
        </c:manualLayout>
      </c:layout>
      <c:scatterChart>
        <c:scatterStyle val="smoothMarker"/>
        <c:varyColors val="0"/>
        <c:ser>
          <c:idx val="3"/>
          <c:order val="0"/>
          <c:tx>
            <c:v>Here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Factor'!$T$43:$T$44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'Scale Factor'!$U$43:$U$44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B-4E50-89C7-8CA62B861072}"/>
            </c:ext>
          </c:extLst>
        </c:ser>
        <c:ser>
          <c:idx val="2"/>
          <c:order val="1"/>
          <c:tx>
            <c:v>Now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5B-4E50-89C7-8CA62B861072}"/>
              </c:ext>
            </c:extLst>
          </c:dPt>
          <c:xVal>
            <c:numRef>
              <c:f>'Scale Factor'!$Q$43:$Q$44</c:f>
              <c:numCache>
                <c:formatCode>0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xVal>
          <c:yVal>
            <c:numRef>
              <c:f>'Scale Factor'!$R$43:$R$44</c:f>
              <c:numCache>
                <c:formatCode>0</c:formatCode>
                <c:ptCount val="2"/>
                <c:pt idx="0">
                  <c:v>15.68369696997522</c:v>
                </c:pt>
                <c:pt idx="1">
                  <c:v>15.68369696997522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5B-4E50-89C7-8CA62B861072}"/>
            </c:ext>
          </c:extLst>
        </c:ser>
        <c:ser>
          <c:idx val="0"/>
          <c:order val="2"/>
          <c:tx>
            <c:strRef>
              <c:f>'Scale Factor'!$H$42</c:f>
              <c:strCache>
                <c:ptCount val="1"/>
                <c:pt idx="0">
                  <c:v>Pos Particle Horizon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Factor'!$H$43:$H$80</c:f>
              <c:numCache>
                <c:formatCode>0.00</c:formatCode>
                <c:ptCount val="38"/>
                <c:pt idx="0">
                  <c:v>6.4998681672097589E-2</c:v>
                </c:pt>
                <c:pt idx="1">
                  <c:v>0.19492543286847991</c:v>
                </c:pt>
                <c:pt idx="2">
                  <c:v>0.25985350239276472</c:v>
                </c:pt>
                <c:pt idx="3">
                  <c:v>0.32475803453444524</c:v>
                </c:pt>
                <c:pt idx="4">
                  <c:v>0.38963902929352134</c:v>
                </c:pt>
                <c:pt idx="5">
                  <c:v>0.45449648666999343</c:v>
                </c:pt>
                <c:pt idx="6">
                  <c:v>0.5193304066638611</c:v>
                </c:pt>
                <c:pt idx="7">
                  <c:v>0.58414078927512447</c:v>
                </c:pt>
                <c:pt idx="8">
                  <c:v>0.64892763450378366</c:v>
                </c:pt>
                <c:pt idx="9">
                  <c:v>0.71369094234983843</c:v>
                </c:pt>
                <c:pt idx="10">
                  <c:v>1.3600294647671523</c:v>
                </c:pt>
                <c:pt idx="11">
                  <c:v>2.0040142489240389</c:v>
                </c:pt>
                <c:pt idx="12">
                  <c:v>2.6456452948204983</c:v>
                </c:pt>
                <c:pt idx="13">
                  <c:v>3.2849226024565308</c:v>
                </c:pt>
                <c:pt idx="14">
                  <c:v>3.921846171832136</c:v>
                </c:pt>
                <c:pt idx="15">
                  <c:v>4.5564160029473131</c:v>
                </c:pt>
                <c:pt idx="16">
                  <c:v>5.1886320958020642</c:v>
                </c:pt>
                <c:pt idx="17">
                  <c:v>5.818494450396388</c:v>
                </c:pt>
                <c:pt idx="18">
                  <c:v>7.0711579448037556</c:v>
                </c:pt>
                <c:pt idx="19">
                  <c:v>8.3144064861694122</c:v>
                </c:pt>
                <c:pt idx="20">
                  <c:v>9.5482400744933607</c:v>
                </c:pt>
                <c:pt idx="21">
                  <c:v>9.9065577062356258</c:v>
                </c:pt>
                <c:pt idx="22">
                  <c:v>10.772658709775602</c:v>
                </c:pt>
                <c:pt idx="23">
                  <c:v>11.987662392016134</c:v>
                </c:pt>
                <c:pt idx="24">
                  <c:v>13.193251121214956</c:v>
                </c:pt>
                <c:pt idx="25">
                  <c:v>14.389424897372072</c:v>
                </c:pt>
                <c:pt idx="26">
                  <c:v>15.576183720487476</c:v>
                </c:pt>
                <c:pt idx="27">
                  <c:v>16.753527590561173</c:v>
                </c:pt>
                <c:pt idx="28">
                  <c:v>17.921456507593163</c:v>
                </c:pt>
                <c:pt idx="29">
                  <c:v>19.079970471583444</c:v>
                </c:pt>
                <c:pt idx="30">
                  <c:v>20.229069482532012</c:v>
                </c:pt>
                <c:pt idx="31">
                  <c:v>21.368753540438878</c:v>
                </c:pt>
                <c:pt idx="32">
                  <c:v>22.499022645304031</c:v>
                </c:pt>
                <c:pt idx="33">
                  <c:v>23.619876797127475</c:v>
                </c:pt>
                <c:pt idx="34">
                  <c:v>24.731315995909213</c:v>
                </c:pt>
                <c:pt idx="35">
                  <c:v>25.833340241649243</c:v>
                </c:pt>
                <c:pt idx="36">
                  <c:v>26.925949534347559</c:v>
                </c:pt>
                <c:pt idx="37">
                  <c:v>28.00914387400417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5B-4E50-89C7-8CA62B861072}"/>
            </c:ext>
          </c:extLst>
        </c:ser>
        <c:ser>
          <c:idx val="1"/>
          <c:order val="3"/>
          <c:tx>
            <c:strRef>
              <c:f>'Scale Factor'!$I$42</c:f>
              <c:strCache>
                <c:ptCount val="1"/>
                <c:pt idx="0">
                  <c:v>Neg Particle Horizon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Factor'!$I$43:$I$80</c:f>
              <c:numCache>
                <c:formatCode>0.00</c:formatCode>
                <c:ptCount val="38"/>
                <c:pt idx="0">
                  <c:v>-6.4998681672097589E-2</c:v>
                </c:pt>
                <c:pt idx="1">
                  <c:v>-0.19492543286847991</c:v>
                </c:pt>
                <c:pt idx="2">
                  <c:v>-0.25985350239276472</c:v>
                </c:pt>
                <c:pt idx="3">
                  <c:v>-0.32475803453444524</c:v>
                </c:pt>
                <c:pt idx="4">
                  <c:v>-0.38963902929352134</c:v>
                </c:pt>
                <c:pt idx="5">
                  <c:v>-0.45449648666999343</c:v>
                </c:pt>
                <c:pt idx="6">
                  <c:v>-0.5193304066638611</c:v>
                </c:pt>
                <c:pt idx="7">
                  <c:v>-0.58414078927512447</c:v>
                </c:pt>
                <c:pt idx="8">
                  <c:v>-0.64892763450378366</c:v>
                </c:pt>
                <c:pt idx="9">
                  <c:v>-0.71369094234983843</c:v>
                </c:pt>
                <c:pt idx="10">
                  <c:v>-1.3600294647671523</c:v>
                </c:pt>
                <c:pt idx="11">
                  <c:v>-2.0040142489240389</c:v>
                </c:pt>
                <c:pt idx="12">
                  <c:v>-2.6456452948204983</c:v>
                </c:pt>
                <c:pt idx="13">
                  <c:v>-3.2849226024565308</c:v>
                </c:pt>
                <c:pt idx="14">
                  <c:v>-3.921846171832136</c:v>
                </c:pt>
                <c:pt idx="15">
                  <c:v>-4.5564160029473131</c:v>
                </c:pt>
                <c:pt idx="16">
                  <c:v>-5.1886320958020642</c:v>
                </c:pt>
                <c:pt idx="17">
                  <c:v>-5.818494450396388</c:v>
                </c:pt>
                <c:pt idx="18">
                  <c:v>-7.0711579448037556</c:v>
                </c:pt>
                <c:pt idx="19">
                  <c:v>-8.3144064861694122</c:v>
                </c:pt>
                <c:pt idx="20">
                  <c:v>-9.5482400744933607</c:v>
                </c:pt>
                <c:pt idx="21">
                  <c:v>-9.9065577062356258</c:v>
                </c:pt>
                <c:pt idx="22">
                  <c:v>-10.772658709775602</c:v>
                </c:pt>
                <c:pt idx="23">
                  <c:v>-11.987662392016134</c:v>
                </c:pt>
                <c:pt idx="24">
                  <c:v>-13.193251121214956</c:v>
                </c:pt>
                <c:pt idx="25">
                  <c:v>-14.389424897372072</c:v>
                </c:pt>
                <c:pt idx="26">
                  <c:v>-15.576183720487476</c:v>
                </c:pt>
                <c:pt idx="27">
                  <c:v>-16.753527590561173</c:v>
                </c:pt>
                <c:pt idx="28">
                  <c:v>-17.921456507593163</c:v>
                </c:pt>
                <c:pt idx="29">
                  <c:v>-19.079970471583444</c:v>
                </c:pt>
                <c:pt idx="30">
                  <c:v>-20.229069482532012</c:v>
                </c:pt>
                <c:pt idx="31">
                  <c:v>-21.368753540438878</c:v>
                </c:pt>
                <c:pt idx="32">
                  <c:v>-22.499022645304031</c:v>
                </c:pt>
                <c:pt idx="33">
                  <c:v>-23.619876797127475</c:v>
                </c:pt>
                <c:pt idx="34">
                  <c:v>-24.731315995909213</c:v>
                </c:pt>
                <c:pt idx="35">
                  <c:v>-25.833340241649243</c:v>
                </c:pt>
                <c:pt idx="36">
                  <c:v>-26.925949534347559</c:v>
                </c:pt>
                <c:pt idx="37">
                  <c:v>-28.00914387400417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5B-4E50-89C7-8CA62B861072}"/>
            </c:ext>
          </c:extLst>
        </c:ser>
        <c:ser>
          <c:idx val="4"/>
          <c:order val="4"/>
          <c:tx>
            <c:strRef>
              <c:f>'Scale Factor'!$N$42</c:f>
              <c:strCache>
                <c:ptCount val="1"/>
                <c:pt idx="0">
                  <c:v>Pos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Factor'!$N$43:$N$80</c:f>
              <c:numCache>
                <c:formatCode>0.00</c:formatCode>
                <c:ptCount val="38"/>
                <c:pt idx="0">
                  <c:v>9.9065577062356258</c:v>
                </c:pt>
                <c:pt idx="1">
                  <c:v>9.9065577062356258</c:v>
                </c:pt>
                <c:pt idx="2">
                  <c:v>9.9065577062356258</c:v>
                </c:pt>
                <c:pt idx="3">
                  <c:v>9.9065577062356258</c:v>
                </c:pt>
                <c:pt idx="4">
                  <c:v>9.9065577062356258</c:v>
                </c:pt>
                <c:pt idx="5">
                  <c:v>9.9065577062356258</c:v>
                </c:pt>
                <c:pt idx="6">
                  <c:v>9.9065577062356258</c:v>
                </c:pt>
                <c:pt idx="7">
                  <c:v>9.9065577062356258</c:v>
                </c:pt>
                <c:pt idx="8">
                  <c:v>9.9065577062356258</c:v>
                </c:pt>
                <c:pt idx="9">
                  <c:v>9.9065577062356258</c:v>
                </c:pt>
                <c:pt idx="10">
                  <c:v>9.9065577062356258</c:v>
                </c:pt>
                <c:pt idx="11">
                  <c:v>9.9065577062356258</c:v>
                </c:pt>
                <c:pt idx="12">
                  <c:v>9.9065577062356258</c:v>
                </c:pt>
                <c:pt idx="13">
                  <c:v>9.9065577062356258</c:v>
                </c:pt>
                <c:pt idx="14">
                  <c:v>9.9065577062356258</c:v>
                </c:pt>
                <c:pt idx="15">
                  <c:v>9.9065577062356258</c:v>
                </c:pt>
                <c:pt idx="16">
                  <c:v>9.9065577062356258</c:v>
                </c:pt>
                <c:pt idx="17">
                  <c:v>9.9065577062356258</c:v>
                </c:pt>
                <c:pt idx="18">
                  <c:v>9.9065577062356258</c:v>
                </c:pt>
                <c:pt idx="19">
                  <c:v>9.9065577062356258</c:v>
                </c:pt>
                <c:pt idx="20">
                  <c:v>9.9065577062356258</c:v>
                </c:pt>
                <c:pt idx="21">
                  <c:v>9.9065577062356258</c:v>
                </c:pt>
                <c:pt idx="22">
                  <c:v>9.9065577062356258</c:v>
                </c:pt>
                <c:pt idx="23">
                  <c:v>9.9065577062356258</c:v>
                </c:pt>
                <c:pt idx="24">
                  <c:v>9.9065577062356258</c:v>
                </c:pt>
                <c:pt idx="25">
                  <c:v>9.9065577062356258</c:v>
                </c:pt>
                <c:pt idx="26">
                  <c:v>9.9065577062356258</c:v>
                </c:pt>
                <c:pt idx="27">
                  <c:v>9.9065577062356258</c:v>
                </c:pt>
                <c:pt idx="28">
                  <c:v>9.9065577062356258</c:v>
                </c:pt>
                <c:pt idx="29">
                  <c:v>9.9065577062356258</c:v>
                </c:pt>
                <c:pt idx="30">
                  <c:v>9.9065577062356258</c:v>
                </c:pt>
                <c:pt idx="31">
                  <c:v>9.9065577062356258</c:v>
                </c:pt>
                <c:pt idx="32">
                  <c:v>9.9065577062356258</c:v>
                </c:pt>
                <c:pt idx="33">
                  <c:v>9.9065577062356258</c:v>
                </c:pt>
                <c:pt idx="34">
                  <c:v>9.9065577062356258</c:v>
                </c:pt>
                <c:pt idx="35">
                  <c:v>9.9065577062356258</c:v>
                </c:pt>
                <c:pt idx="36">
                  <c:v>9.9065577062356258</c:v>
                </c:pt>
                <c:pt idx="37">
                  <c:v>9.9065577062356258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5B-4E50-89C7-8CA62B861072}"/>
            </c:ext>
          </c:extLst>
        </c:ser>
        <c:ser>
          <c:idx val="5"/>
          <c:order val="5"/>
          <c:tx>
            <c:strRef>
              <c:f>'Scale Factor'!$O$42</c:f>
              <c:strCache>
                <c:ptCount val="1"/>
                <c:pt idx="0">
                  <c:v>Neg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Factor'!$O$43:$O$80</c:f>
              <c:numCache>
                <c:formatCode>0.00</c:formatCode>
                <c:ptCount val="38"/>
                <c:pt idx="0">
                  <c:v>-9.9065577062356258</c:v>
                </c:pt>
                <c:pt idx="1">
                  <c:v>-9.9065577062356258</c:v>
                </c:pt>
                <c:pt idx="2">
                  <c:v>-9.9065577062356258</c:v>
                </c:pt>
                <c:pt idx="3">
                  <c:v>-9.9065577062356258</c:v>
                </c:pt>
                <c:pt idx="4">
                  <c:v>-9.9065577062356258</c:v>
                </c:pt>
                <c:pt idx="5">
                  <c:v>-9.9065577062356258</c:v>
                </c:pt>
                <c:pt idx="6">
                  <c:v>-9.9065577062356258</c:v>
                </c:pt>
                <c:pt idx="7">
                  <c:v>-9.9065577062356258</c:v>
                </c:pt>
                <c:pt idx="8">
                  <c:v>-9.9065577062356258</c:v>
                </c:pt>
                <c:pt idx="9">
                  <c:v>-9.9065577062356258</c:v>
                </c:pt>
                <c:pt idx="10">
                  <c:v>-9.9065577062356258</c:v>
                </c:pt>
                <c:pt idx="11">
                  <c:v>-9.9065577062356258</c:v>
                </c:pt>
                <c:pt idx="12">
                  <c:v>-9.9065577062356258</c:v>
                </c:pt>
                <c:pt idx="13">
                  <c:v>-9.9065577062356258</c:v>
                </c:pt>
                <c:pt idx="14">
                  <c:v>-9.9065577062356258</c:v>
                </c:pt>
                <c:pt idx="15">
                  <c:v>-9.9065577062356258</c:v>
                </c:pt>
                <c:pt idx="16">
                  <c:v>-9.9065577062356258</c:v>
                </c:pt>
                <c:pt idx="17">
                  <c:v>-9.9065577062356258</c:v>
                </c:pt>
                <c:pt idx="18">
                  <c:v>-9.9065577062356258</c:v>
                </c:pt>
                <c:pt idx="19">
                  <c:v>-9.9065577062356258</c:v>
                </c:pt>
                <c:pt idx="20">
                  <c:v>-9.9065577062356258</c:v>
                </c:pt>
                <c:pt idx="21">
                  <c:v>-9.9065577062356258</c:v>
                </c:pt>
                <c:pt idx="22">
                  <c:v>-9.9065577062356258</c:v>
                </c:pt>
                <c:pt idx="23">
                  <c:v>-9.9065577062356258</c:v>
                </c:pt>
                <c:pt idx="24">
                  <c:v>-9.9065577062356258</c:v>
                </c:pt>
                <c:pt idx="25">
                  <c:v>-9.9065577062356258</c:v>
                </c:pt>
                <c:pt idx="26">
                  <c:v>-9.9065577062356258</c:v>
                </c:pt>
                <c:pt idx="27">
                  <c:v>-9.9065577062356258</c:v>
                </c:pt>
                <c:pt idx="28">
                  <c:v>-9.9065577062356258</c:v>
                </c:pt>
                <c:pt idx="29">
                  <c:v>-9.9065577062356258</c:v>
                </c:pt>
                <c:pt idx="30">
                  <c:v>-9.9065577062356258</c:v>
                </c:pt>
                <c:pt idx="31">
                  <c:v>-9.9065577062356258</c:v>
                </c:pt>
                <c:pt idx="32">
                  <c:v>-9.9065577062356258</c:v>
                </c:pt>
                <c:pt idx="33">
                  <c:v>-9.9065577062356258</c:v>
                </c:pt>
                <c:pt idx="34">
                  <c:v>-9.9065577062356258</c:v>
                </c:pt>
                <c:pt idx="35">
                  <c:v>-9.9065577062356258</c:v>
                </c:pt>
                <c:pt idx="36">
                  <c:v>-9.9065577062356258</c:v>
                </c:pt>
                <c:pt idx="37">
                  <c:v>-9.9065577062356258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5B-4E50-89C7-8CA62B861072}"/>
            </c:ext>
          </c:extLst>
        </c:ser>
        <c:ser>
          <c:idx val="6"/>
          <c:order val="6"/>
          <c:tx>
            <c:v>Past Positive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Factor'!$J$43:$J$65</c:f>
              <c:numCache>
                <c:formatCode>0.00</c:formatCode>
                <c:ptCount val="23"/>
                <c:pt idx="0">
                  <c:v>9.9057522568978662</c:v>
                </c:pt>
                <c:pt idx="1">
                  <c:v>9.8993110189536555</c:v>
                </c:pt>
                <c:pt idx="2">
                  <c:v>9.893678370456886</c:v>
                </c:pt>
                <c:pt idx="3">
                  <c:v>9.886441099678656</c:v>
                </c:pt>
                <c:pt idx="4">
                  <c:v>9.877602728134228</c:v>
                </c:pt>
                <c:pt idx="5">
                  <c:v>9.8671675511643393</c:v>
                </c:pt>
                <c:pt idx="6">
                  <c:v>9.8551406327260285</c:v>
                </c:pt>
                <c:pt idx="7">
                  <c:v>9.8415277992643624</c:v>
                </c:pt>
                <c:pt idx="8">
                  <c:v>9.8263356326787861</c:v>
                </c:pt>
                <c:pt idx="9">
                  <c:v>9.8095714623999601</c:v>
                </c:pt>
                <c:pt idx="10">
                  <c:v>9.557596427711422</c:v>
                </c:pt>
                <c:pt idx="11">
                  <c:v>9.161594022904227</c:v>
                </c:pt>
                <c:pt idx="12">
                  <c:v>8.6391557484818371</c:v>
                </c:pt>
                <c:pt idx="13">
                  <c:v>8.0118473973037343</c:v>
                </c:pt>
                <c:pt idx="14">
                  <c:v>7.3031807565261904</c:v>
                </c:pt>
                <c:pt idx="15">
                  <c:v>6.5367250331034645</c:v>
                </c:pt>
                <c:pt idx="16">
                  <c:v>5.7345836914269777</c:v>
                </c:pt>
                <c:pt idx="17">
                  <c:v>4.9163441415426643</c:v>
                </c:pt>
                <c:pt idx="18">
                  <c:v>3.2942852829617348</c:v>
                </c:pt>
                <c:pt idx="19">
                  <c:v>1.7642598411869814</c:v>
                </c:pt>
                <c:pt idx="20">
                  <c:v>0.37554615491702786</c:v>
                </c:pt>
                <c:pt idx="21">
                  <c:v>0</c:v>
                </c:pt>
                <c:pt idx="22">
                  <c:v>-0.85436063608931301</c:v>
                </c:pt>
              </c:numCache>
            </c:numRef>
          </c:xVal>
          <c:yVal>
            <c:numRef>
              <c:f>'Scale Factor'!$B$43:$B$65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5B-4E50-89C7-8CA62B861072}"/>
            </c:ext>
          </c:extLst>
        </c:ser>
        <c:ser>
          <c:idx val="7"/>
          <c:order val="7"/>
          <c:tx>
            <c:v>Past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Factor'!$K$43:$K$65</c:f>
              <c:numCache>
                <c:formatCode>0.00</c:formatCode>
                <c:ptCount val="23"/>
                <c:pt idx="0">
                  <c:v>-9.9057522568978662</c:v>
                </c:pt>
                <c:pt idx="1">
                  <c:v>-9.8993110189536555</c:v>
                </c:pt>
                <c:pt idx="2">
                  <c:v>-9.893678370456886</c:v>
                </c:pt>
                <c:pt idx="3">
                  <c:v>-9.886441099678656</c:v>
                </c:pt>
                <c:pt idx="4">
                  <c:v>-9.877602728134228</c:v>
                </c:pt>
                <c:pt idx="5">
                  <c:v>-9.8671675511643393</c:v>
                </c:pt>
                <c:pt idx="6">
                  <c:v>-9.8551406327260285</c:v>
                </c:pt>
                <c:pt idx="7">
                  <c:v>-9.8415277992643624</c:v>
                </c:pt>
                <c:pt idx="8">
                  <c:v>-9.8263356326787861</c:v>
                </c:pt>
                <c:pt idx="9">
                  <c:v>-9.8095714623999601</c:v>
                </c:pt>
                <c:pt idx="10">
                  <c:v>-9.557596427711422</c:v>
                </c:pt>
                <c:pt idx="11">
                  <c:v>-9.161594022904227</c:v>
                </c:pt>
                <c:pt idx="12">
                  <c:v>-8.6391557484818371</c:v>
                </c:pt>
                <c:pt idx="13">
                  <c:v>-8.0118473973037343</c:v>
                </c:pt>
                <c:pt idx="14">
                  <c:v>-7.3031807565261904</c:v>
                </c:pt>
                <c:pt idx="15">
                  <c:v>-6.5367250331034645</c:v>
                </c:pt>
                <c:pt idx="16">
                  <c:v>-5.7345836914269777</c:v>
                </c:pt>
                <c:pt idx="17">
                  <c:v>-4.9163441415426643</c:v>
                </c:pt>
                <c:pt idx="18">
                  <c:v>-3.2942852829617348</c:v>
                </c:pt>
                <c:pt idx="19">
                  <c:v>-1.7642598411869814</c:v>
                </c:pt>
                <c:pt idx="20">
                  <c:v>-0.37554615491702786</c:v>
                </c:pt>
                <c:pt idx="21">
                  <c:v>0</c:v>
                </c:pt>
                <c:pt idx="22">
                  <c:v>0.85436063608931301</c:v>
                </c:pt>
              </c:numCache>
            </c:numRef>
          </c:xVal>
          <c:yVal>
            <c:numRef>
              <c:f>'Scale Factor'!$B$43:$B$65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5B-4E50-89C7-8CA62B861072}"/>
            </c:ext>
          </c:extLst>
        </c:ser>
        <c:ser>
          <c:idx val="8"/>
          <c:order val="8"/>
          <c:tx>
            <c:v>Future Pos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Factor'!$J$64:$J$80</c:f>
              <c:numCache>
                <c:formatCode>0.00</c:formatCode>
                <c:ptCount val="17"/>
                <c:pt idx="0">
                  <c:v>0</c:v>
                </c:pt>
                <c:pt idx="1">
                  <c:v>-0.85436063608931301</c:v>
                </c:pt>
                <c:pt idx="2">
                  <c:v>-1.9273658222318144</c:v>
                </c:pt>
                <c:pt idx="3">
                  <c:v>-2.8555166321728551</c:v>
                </c:pt>
                <c:pt idx="4">
                  <c:v>-3.6550565822383452</c:v>
                </c:pt>
                <c:pt idx="5">
                  <c:v>-4.3430163112791584</c:v>
                </c:pt>
                <c:pt idx="6">
                  <c:v>-4.9354690074487184</c:v>
                </c:pt>
                <c:pt idx="7">
                  <c:v>-5.4467760408860153</c:v>
                </c:pt>
                <c:pt idx="8">
                  <c:v>-5.8893764930105101</c:v>
                </c:pt>
                <c:pt idx="9">
                  <c:v>-6.27385066314603</c:v>
                </c:pt>
                <c:pt idx="10">
                  <c:v>-6.6091044832866581</c:v>
                </c:pt>
                <c:pt idx="11">
                  <c:v>-6.9025929351756492</c:v>
                </c:pt>
                <c:pt idx="12">
                  <c:v>-7.1605415694130237</c:v>
                </c:pt>
                <c:pt idx="13">
                  <c:v>-7.3881478322345764</c:v>
                </c:pt>
                <c:pt idx="14">
                  <c:v>-7.5897558239557403</c:v>
                </c:pt>
                <c:pt idx="15">
                  <c:v>-7.7690040433242169</c:v>
                </c:pt>
                <c:pt idx="16">
                  <c:v>-7.92894835378062</c:v>
                </c:pt>
              </c:numCache>
            </c:numRef>
          </c:xVal>
          <c:yVal>
            <c:numRef>
              <c:f>'Scale Factor'!$B$64:$B$80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5B-4E50-89C7-8CA62B861072}"/>
            </c:ext>
          </c:extLst>
        </c:ser>
        <c:ser>
          <c:idx val="9"/>
          <c:order val="9"/>
          <c:tx>
            <c:v>Future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Factor'!$K$64:$K$80</c:f>
              <c:numCache>
                <c:formatCode>0.00</c:formatCode>
                <c:ptCount val="17"/>
                <c:pt idx="0">
                  <c:v>0</c:v>
                </c:pt>
                <c:pt idx="1">
                  <c:v>0.85436063608931301</c:v>
                </c:pt>
                <c:pt idx="2">
                  <c:v>1.9273658222318144</c:v>
                </c:pt>
                <c:pt idx="3">
                  <c:v>2.8555166321728551</c:v>
                </c:pt>
                <c:pt idx="4">
                  <c:v>3.6550565822383452</c:v>
                </c:pt>
                <c:pt idx="5">
                  <c:v>4.3430163112791584</c:v>
                </c:pt>
                <c:pt idx="6">
                  <c:v>4.9354690074487184</c:v>
                </c:pt>
                <c:pt idx="7">
                  <c:v>5.4467760408860153</c:v>
                </c:pt>
                <c:pt idx="8">
                  <c:v>5.8893764930105101</c:v>
                </c:pt>
                <c:pt idx="9">
                  <c:v>6.27385066314603</c:v>
                </c:pt>
                <c:pt idx="10">
                  <c:v>6.6091044832866581</c:v>
                </c:pt>
                <c:pt idx="11">
                  <c:v>6.9025929351756492</c:v>
                </c:pt>
                <c:pt idx="12">
                  <c:v>7.1605415694130237</c:v>
                </c:pt>
                <c:pt idx="13">
                  <c:v>7.3881478322345764</c:v>
                </c:pt>
                <c:pt idx="14">
                  <c:v>7.5897558239557403</c:v>
                </c:pt>
                <c:pt idx="15">
                  <c:v>7.7690040433242169</c:v>
                </c:pt>
                <c:pt idx="16">
                  <c:v>7.92894835378062</c:v>
                </c:pt>
              </c:numCache>
            </c:numRef>
          </c:xVal>
          <c:yVal>
            <c:numRef>
              <c:f>'Scale Factor'!$B$64:$B$80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C5B-4E50-89C7-8CA62B861072}"/>
            </c:ext>
          </c:extLst>
        </c:ser>
        <c:ser>
          <c:idx val="10"/>
          <c:order val="10"/>
          <c:tx>
            <c:strRef>
              <c:f>'Scale Factor'!$L$42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Factor'!$L$43:$L$80</c:f>
              <c:numCache>
                <c:formatCode>0.00</c:formatCode>
                <c:ptCount val="38"/>
                <c:pt idx="0">
                  <c:v>3.2522882481114193E-2</c:v>
                </c:pt>
                <c:pt idx="1">
                  <c:v>9.7674668047554619E-2</c:v>
                </c:pt>
                <c:pt idx="2">
                  <c:v>0.13030362241229557</c:v>
                </c:pt>
                <c:pt idx="3">
                  <c:v>0.16296798541299232</c:v>
                </c:pt>
                <c:pt idx="4">
                  <c:v>0.19566778278245175</c:v>
                </c:pt>
                <c:pt idx="5">
                  <c:v>0.22840304029084224</c:v>
                </c:pt>
                <c:pt idx="6">
                  <c:v>0.2611737837457615</c:v>
                </c:pt>
                <c:pt idx="7">
                  <c:v>0.29398003899230429</c:v>
                </c:pt>
                <c:pt idx="8">
                  <c:v>0.32682183191313147</c:v>
                </c:pt>
                <c:pt idx="9">
                  <c:v>0.35969918842853671</c:v>
                </c:pt>
                <c:pt idx="10">
                  <c:v>0.69043448079463521</c:v>
                </c:pt>
                <c:pt idx="11">
                  <c:v>1.0247549270260368</c:v>
                </c:pt>
                <c:pt idx="12">
                  <c:v>1.3626870792421375</c:v>
                </c:pt>
                <c:pt idx="13">
                  <c:v>1.7042578813297442</c:v>
                </c:pt>
                <c:pt idx="14">
                  <c:v>2.0494946761953203</c:v>
                </c:pt>
                <c:pt idx="15">
                  <c:v>2.3984252131789248</c:v>
                </c:pt>
                <c:pt idx="16">
                  <c:v>2.7510776556340821</c:v>
                </c:pt>
                <c:pt idx="17">
                  <c:v>3.107480588677908</c:v>
                </c:pt>
                <c:pt idx="18">
                  <c:v>3.8316544235466781</c:v>
                </c:pt>
                <c:pt idx="19">
                  <c:v>4.5711841396618826</c:v>
                </c:pt>
                <c:pt idx="20">
                  <c:v>5.3263144333882781</c:v>
                </c:pt>
                <c:pt idx="21">
                  <c:v>5.5496750920292355</c:v>
                </c:pt>
                <c:pt idx="22">
                  <c:v>6.097297556337665</c:v>
                </c:pt>
                <c:pt idx="23">
                  <c:v>6.8843936092320694</c:v>
                </c:pt>
                <c:pt idx="24">
                  <c:v>7.687870849590297</c:v>
                </c:pt>
                <c:pt idx="25">
                  <c:v>8.5080060140025111</c:v>
                </c:pt>
                <c:pt idx="26">
                  <c:v>9.3450846558061507</c:v>
                </c:pt>
                <c:pt idx="27">
                  <c:v>10.199401499028845</c:v>
                </c:pt>
                <c:pt idx="28">
                  <c:v>11.071260809519865</c:v>
                </c:pt>
                <c:pt idx="29">
                  <c:v>11.960976784251981</c:v>
                </c:pt>
                <c:pt idx="30">
                  <c:v>12.868873959840156</c:v>
                </c:pt>
                <c:pt idx="31">
                  <c:v>13.795287641392868</c:v>
                </c:pt>
                <c:pt idx="32">
                  <c:v>14.740564352886647</c:v>
                </c:pt>
                <c:pt idx="33">
                  <c:v>15.705062310334711</c:v>
                </c:pt>
                <c:pt idx="34">
                  <c:v>16.689151919107015</c:v>
                </c:pt>
                <c:pt idx="35">
                  <c:v>17.69321629685227</c:v>
                </c:pt>
                <c:pt idx="36">
                  <c:v>18.717651823572897</c:v>
                </c:pt>
                <c:pt idx="37">
                  <c:v>19.762868720512184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C5B-4E50-89C7-8CA62B861072}"/>
            </c:ext>
          </c:extLst>
        </c:ser>
        <c:ser>
          <c:idx val="11"/>
          <c:order val="11"/>
          <c:tx>
            <c:strRef>
              <c:f>'Scale Factor'!$M$42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Factor'!$M$43:$M$80</c:f>
              <c:numCache>
                <c:formatCode>0.00</c:formatCode>
                <c:ptCount val="38"/>
                <c:pt idx="0">
                  <c:v>-3.2522882481114193E-2</c:v>
                </c:pt>
                <c:pt idx="1">
                  <c:v>-9.7674668047554619E-2</c:v>
                </c:pt>
                <c:pt idx="2">
                  <c:v>-0.13030362241229557</c:v>
                </c:pt>
                <c:pt idx="3">
                  <c:v>-0.16296798541299232</c:v>
                </c:pt>
                <c:pt idx="4">
                  <c:v>-0.19566778278245175</c:v>
                </c:pt>
                <c:pt idx="5">
                  <c:v>-0.22840304029084224</c:v>
                </c:pt>
                <c:pt idx="6">
                  <c:v>-0.2611737837457615</c:v>
                </c:pt>
                <c:pt idx="7">
                  <c:v>-0.29398003899230429</c:v>
                </c:pt>
                <c:pt idx="8">
                  <c:v>-0.32682183191313147</c:v>
                </c:pt>
                <c:pt idx="9">
                  <c:v>-0.35969918842853671</c:v>
                </c:pt>
                <c:pt idx="10">
                  <c:v>-0.69043448079463521</c:v>
                </c:pt>
                <c:pt idx="11">
                  <c:v>-1.0247549270260368</c:v>
                </c:pt>
                <c:pt idx="12">
                  <c:v>-1.3626870792421375</c:v>
                </c:pt>
                <c:pt idx="13">
                  <c:v>-1.7042578813297442</c:v>
                </c:pt>
                <c:pt idx="14">
                  <c:v>-2.0494946761953203</c:v>
                </c:pt>
                <c:pt idx="15">
                  <c:v>-2.3984252131789248</c:v>
                </c:pt>
                <c:pt idx="16">
                  <c:v>-2.7510776556340821</c:v>
                </c:pt>
                <c:pt idx="17">
                  <c:v>-3.107480588677908</c:v>
                </c:pt>
                <c:pt idx="18">
                  <c:v>-3.8316544235466781</c:v>
                </c:pt>
                <c:pt idx="19">
                  <c:v>-4.5711841396618826</c:v>
                </c:pt>
                <c:pt idx="20">
                  <c:v>-5.3263144333882781</c:v>
                </c:pt>
                <c:pt idx="21">
                  <c:v>-5.5496750920292355</c:v>
                </c:pt>
                <c:pt idx="22">
                  <c:v>-6.097297556337665</c:v>
                </c:pt>
                <c:pt idx="23">
                  <c:v>-6.8843936092320694</c:v>
                </c:pt>
                <c:pt idx="24">
                  <c:v>-7.687870849590297</c:v>
                </c:pt>
                <c:pt idx="25">
                  <c:v>-8.5080060140025111</c:v>
                </c:pt>
                <c:pt idx="26">
                  <c:v>-9.3450846558061507</c:v>
                </c:pt>
                <c:pt idx="27">
                  <c:v>-10.199401499028845</c:v>
                </c:pt>
                <c:pt idx="28">
                  <c:v>-11.071260809519865</c:v>
                </c:pt>
                <c:pt idx="29">
                  <c:v>-11.960976784251981</c:v>
                </c:pt>
                <c:pt idx="30">
                  <c:v>-12.868873959840156</c:v>
                </c:pt>
                <c:pt idx="31">
                  <c:v>-13.795287641392868</c:v>
                </c:pt>
                <c:pt idx="32">
                  <c:v>-14.740564352886647</c:v>
                </c:pt>
                <c:pt idx="33">
                  <c:v>-15.705062310334711</c:v>
                </c:pt>
                <c:pt idx="34">
                  <c:v>-16.689151919107015</c:v>
                </c:pt>
                <c:pt idx="35">
                  <c:v>-17.69321629685227</c:v>
                </c:pt>
                <c:pt idx="36">
                  <c:v>-18.717651823572897</c:v>
                </c:pt>
                <c:pt idx="37">
                  <c:v>-19.762868720512184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C5B-4E50-89C7-8CA62B86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31279"/>
        <c:axId val="386831695"/>
      </c:scatterChart>
      <c:valAx>
        <c:axId val="386831279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695"/>
        <c:crossesAt val="0"/>
        <c:crossBetween val="midCat"/>
        <c:majorUnit val="5"/>
      </c:valAx>
      <c:valAx>
        <c:axId val="386831695"/>
        <c:scaling>
          <c:orientation val="minMax"/>
          <c:max val="3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279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10</xdr:row>
      <xdr:rowOff>85724</xdr:rowOff>
    </xdr:from>
    <xdr:to>
      <xdr:col>13</xdr:col>
      <xdr:colOff>350341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8</xdr:col>
      <xdr:colOff>164854</xdr:colOff>
      <xdr:row>23</xdr:row>
      <xdr:rowOff>14654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F922BD3-2FC3-5489-3238-14D085C6EF6C}"/>
            </a:ext>
          </a:extLst>
        </xdr:cNvPr>
        <xdr:cNvGrpSpPr/>
      </xdr:nvGrpSpPr>
      <xdr:grpSpPr>
        <a:xfrm>
          <a:off x="1" y="1"/>
          <a:ext cx="5029930" cy="4396153"/>
          <a:chOff x="1" y="1"/>
          <a:chExt cx="5029930" cy="41133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E218162-D194-4F29-8C6C-32AEF1D32F1B}"/>
              </a:ext>
            </a:extLst>
          </xdr:cNvPr>
          <xdr:cNvGraphicFramePr>
            <a:graphicFrameLocks/>
          </xdr:cNvGraphicFramePr>
        </xdr:nvGraphicFramePr>
        <xdr:xfrm>
          <a:off x="731" y="2673661"/>
          <a:ext cx="5029200" cy="1439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49482B8-C9B4-490F-96F2-6DA21F12E4C2}"/>
              </a:ext>
            </a:extLst>
          </xdr:cNvPr>
          <xdr:cNvGraphicFramePr>
            <a:graphicFrameLocks/>
          </xdr:cNvGraphicFramePr>
        </xdr:nvGraphicFramePr>
        <xdr:xfrm>
          <a:off x="1" y="1"/>
          <a:ext cx="5029200" cy="26668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238124</xdr:rowOff>
    </xdr:from>
    <xdr:to>
      <xdr:col>17</xdr:col>
      <xdr:colOff>0</xdr:colOff>
      <xdr:row>18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39CE2-E71A-40F7-BCF3-D432751BC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0</xdr:rowOff>
    </xdr:from>
    <xdr:to>
      <xdr:col>13</xdr:col>
      <xdr:colOff>190500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D7720-3941-4168-9024-EAD938051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1</xdr:row>
      <xdr:rowOff>204787</xdr:rowOff>
    </xdr:from>
    <xdr:to>
      <xdr:col>16</xdr:col>
      <xdr:colOff>23812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CA746-F338-64BB-CBC0-9315EA91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</xdr:colOff>
      <xdr:row>2</xdr:row>
      <xdr:rowOff>121920</xdr:rowOff>
    </xdr:from>
    <xdr:to>
      <xdr:col>24</xdr:col>
      <xdr:colOff>173355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4</xdr:row>
      <xdr:rowOff>23811</xdr:rowOff>
    </xdr:from>
    <xdr:to>
      <xdr:col>20</xdr:col>
      <xdr:colOff>128587</xdr:colOff>
      <xdr:row>16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D584D-D083-4FE6-85FB-84E126F58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46</xdr:row>
      <xdr:rowOff>19049</xdr:rowOff>
    </xdr:from>
    <xdr:to>
      <xdr:col>20</xdr:col>
      <xdr:colOff>133350</xdr:colOff>
      <xdr:row>58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D3E70-DB41-4638-B320-E6A4A008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naldAirey\Downloads\Old%20Quadratically%20Expanding%20Space.xlsx" TargetMode="External"/><Relationship Id="rId1" Type="http://schemas.openxmlformats.org/officeDocument/2006/relationships/externalLinkPath" Target="/Users/DonaldAirey/Downloads/Old%20Quadratically%20Expanding%20S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tants"/>
      <sheetName val="SNe Ia Data"/>
      <sheetName val="Binned SNe 1a Data"/>
      <sheetName val="SNe Ia Model"/>
      <sheetName val="Recombination"/>
      <sheetName val="Geometry"/>
      <sheetName val="Scale Factor"/>
      <sheetName val="BTFR Data"/>
      <sheetName val="Galaxy Cluster Data"/>
      <sheetName val="Galaxy Clusters"/>
      <sheetName val="Spiral Galaxies"/>
      <sheetName val="Milky Way"/>
      <sheetName val="NGC 0224"/>
      <sheetName val="NGC 0253"/>
      <sheetName val="NGC 0266"/>
      <sheetName val="NGC 0342"/>
      <sheetName val="NGC 0598"/>
      <sheetName val="NGC 0660"/>
      <sheetName val="NGC 0891"/>
      <sheetName val="NGC 1365"/>
      <sheetName val="NGC 1642"/>
      <sheetName val="NGC 1808"/>
      <sheetName val="NGC 2403"/>
      <sheetName val="NGC 2543"/>
      <sheetName val="NGC 2599"/>
      <sheetName val="NGC 2649"/>
      <sheetName val="NGC 2654"/>
      <sheetName val="NGC 2903"/>
      <sheetName val="NGC 2985"/>
      <sheetName val="NGC 3079"/>
      <sheetName val="NGC 3198"/>
      <sheetName val="NGC 3521"/>
      <sheetName val="NGC 3628"/>
      <sheetName val="NGC 3900"/>
      <sheetName val="NGC 3982"/>
      <sheetName val="NGC 4258"/>
      <sheetName val="NGC 4303"/>
      <sheetName val="NGC 4321"/>
      <sheetName val="NGC 4527"/>
      <sheetName val="NGC 4565"/>
      <sheetName val="NGC 4569"/>
      <sheetName val="NGC 4736"/>
      <sheetName val="NGC 4945"/>
      <sheetName val="NGC 5033"/>
      <sheetName val="NGC 5055"/>
      <sheetName val="NGC 5236"/>
      <sheetName val="NGC 5457"/>
      <sheetName val="NGC 5907"/>
      <sheetName val="NGC 6946"/>
      <sheetName val="NGC 7013"/>
      <sheetName val="UGC 03993"/>
      <sheetName val="De Vaucouleurs Deprojection"/>
    </sheetNames>
    <sheetDataSet>
      <sheetData sheetId="0">
        <row r="27">
          <cell r="B27">
            <v>266361708.74677199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4"/>
  <sheetViews>
    <sheetView zoomScaleNormal="100" workbookViewId="0"/>
  </sheetViews>
  <sheetFormatPr defaultRowHeight="15" x14ac:dyDescent="0.25"/>
  <cols>
    <col min="1" max="1" width="35.7109375" customWidth="1"/>
    <col min="2" max="2" width="14.7109375" style="1" customWidth="1"/>
    <col min="3" max="3" width="14.7109375" style="6" customWidth="1"/>
    <col min="4" max="4" width="8.85546875" style="1" hidden="1" customWidth="1"/>
    <col min="5" max="5" width="11.7109375" customWidth="1"/>
    <col min="6" max="6" width="11.140625" customWidth="1"/>
    <col min="7" max="7" width="9.140625" customWidth="1"/>
    <col min="8" max="8" width="8.85546875" style="2"/>
    <col min="9" max="9" width="10.28515625" customWidth="1"/>
    <col min="11" max="13" width="12" bestFit="1" customWidth="1"/>
  </cols>
  <sheetData>
    <row r="1" spans="1:2" x14ac:dyDescent="0.25">
      <c r="A1" t="s">
        <v>578</v>
      </c>
      <c r="B1" s="1">
        <v>1000</v>
      </c>
    </row>
    <row r="2" spans="1:2" x14ac:dyDescent="0.25">
      <c r="A2" t="s">
        <v>574</v>
      </c>
      <c r="B2" s="1">
        <v>3.08567758E+16</v>
      </c>
    </row>
    <row r="3" spans="1:2" x14ac:dyDescent="0.25">
      <c r="A3" t="s">
        <v>575</v>
      </c>
      <c r="B3" s="1">
        <f>1000*pc</f>
        <v>3.08567758E+19</v>
      </c>
    </row>
    <row r="4" spans="1:2" x14ac:dyDescent="0.25">
      <c r="A4" t="s">
        <v>576</v>
      </c>
      <c r="B4" s="1">
        <f>1000*kpc</f>
        <v>3.0856775799999998E+22</v>
      </c>
    </row>
    <row r="5" spans="1:2" x14ac:dyDescent="0.25">
      <c r="A5" t="s">
        <v>577</v>
      </c>
      <c r="B5" s="1">
        <f>1000*Mpc</f>
        <v>3.0856775799999996E+25</v>
      </c>
    </row>
    <row r="6" spans="1:2" x14ac:dyDescent="0.25">
      <c r="A6" t="s">
        <v>0</v>
      </c>
      <c r="B6" s="1">
        <v>31556900</v>
      </c>
    </row>
    <row r="7" spans="1:2" x14ac:dyDescent="0.25">
      <c r="A7" t="s">
        <v>568</v>
      </c>
      <c r="B7" s="1">
        <f>1000*SecondsPerYear</f>
        <v>31556900000</v>
      </c>
    </row>
    <row r="8" spans="1:2" x14ac:dyDescent="0.25">
      <c r="A8" t="s">
        <v>570</v>
      </c>
      <c r="B8" s="1">
        <f>1000*kyr</f>
        <v>31556900000000</v>
      </c>
    </row>
    <row r="9" spans="1:2" x14ac:dyDescent="0.25">
      <c r="A9" t="s">
        <v>569</v>
      </c>
      <c r="B9" s="1">
        <f>1000*Myr</f>
        <v>3.15569E+16</v>
      </c>
    </row>
    <row r="10" spans="1:2" x14ac:dyDescent="0.25">
      <c r="A10" t="s">
        <v>584</v>
      </c>
      <c r="B10" s="1">
        <v>299792458</v>
      </c>
    </row>
    <row r="11" spans="1:2" ht="18" x14ac:dyDescent="0.35">
      <c r="A11" t="s">
        <v>601</v>
      </c>
      <c r="B11" s="1">
        <v>266362000</v>
      </c>
    </row>
    <row r="12" spans="1:2" x14ac:dyDescent="0.25">
      <c r="A12" t="s">
        <v>600</v>
      </c>
      <c r="B12" s="1">
        <f>SecondsPerYear*VelocityOfLight</f>
        <v>9460520617860200</v>
      </c>
    </row>
    <row r="13" spans="1:2" x14ac:dyDescent="0.25">
      <c r="A13" t="s">
        <v>552</v>
      </c>
      <c r="B13" s="2">
        <v>2.7254999999999998</v>
      </c>
    </row>
    <row r="14" spans="1:2" ht="17.25" x14ac:dyDescent="0.25">
      <c r="A14" s="1" t="s">
        <v>579</v>
      </c>
      <c r="B14" s="11">
        <v>6.6740800000000003E-11</v>
      </c>
    </row>
    <row r="15" spans="1:2" ht="17.25" x14ac:dyDescent="0.25">
      <c r="A15" t="s">
        <v>561</v>
      </c>
      <c r="B15" s="1">
        <v>1.3806485199999999E-23</v>
      </c>
    </row>
    <row r="16" spans="1:2" ht="17.25" x14ac:dyDescent="0.25">
      <c r="A16" t="s">
        <v>582</v>
      </c>
      <c r="B16" s="1">
        <v>6.6260701499999998E-34</v>
      </c>
    </row>
    <row r="17" spans="1:6" ht="17.25" x14ac:dyDescent="0.25">
      <c r="A17" t="s">
        <v>583</v>
      </c>
      <c r="B17" s="1">
        <f>PlanckConstant/(2*PI())</f>
        <v>1.0545718176461565E-34</v>
      </c>
    </row>
    <row r="18" spans="1:6" x14ac:dyDescent="0.25">
      <c r="A18" t="s">
        <v>591</v>
      </c>
      <c r="B18" s="1">
        <f>2*PI()^5*BoltzmannConstant^4/(15*PlanckConstant^3*VelocityOfLight^2)</f>
        <v>5.6703665336804306E-8</v>
      </c>
    </row>
    <row r="19" spans="1:6" x14ac:dyDescent="0.25">
      <c r="A19" t="s">
        <v>592</v>
      </c>
      <c r="B19" s="1">
        <f>4*StefanBoltzmannConstant/VelocityOfLight</f>
        <v>7.5657227289959786E-16</v>
      </c>
      <c r="C19" s="1"/>
    </row>
    <row r="20" spans="1:6" x14ac:dyDescent="0.25">
      <c r="A20" t="s">
        <v>566</v>
      </c>
      <c r="B20" s="2">
        <v>67.400000000000006</v>
      </c>
    </row>
    <row r="21" spans="1:6" x14ac:dyDescent="0.25">
      <c r="A21" t="s">
        <v>559</v>
      </c>
      <c r="B21">
        <v>73.239999999999995</v>
      </c>
    </row>
    <row r="22" spans="1:6" ht="18" x14ac:dyDescent="0.35">
      <c r="A22" t="s">
        <v>573</v>
      </c>
      <c r="B22" s="2">
        <f>1/Age/km*Mpc</f>
        <v>62.345881370780965</v>
      </c>
      <c r="C22" s="2"/>
      <c r="F22" s="1"/>
    </row>
    <row r="23" spans="1:6" x14ac:dyDescent="0.25">
      <c r="A23" t="s">
        <v>567</v>
      </c>
      <c r="B23">
        <v>1.0410999999999999</v>
      </c>
    </row>
    <row r="24" spans="1:6" x14ac:dyDescent="0.25">
      <c r="A24" t="s">
        <v>594</v>
      </c>
      <c r="B24">
        <v>1090</v>
      </c>
    </row>
    <row r="25" spans="1:6" x14ac:dyDescent="0.25">
      <c r="A25" t="s">
        <v>597</v>
      </c>
      <c r="B25" s="1">
        <v>4.352012079E+17</v>
      </c>
      <c r="C25" s="12">
        <f>B25/Gyr</f>
        <v>13.791</v>
      </c>
    </row>
    <row r="26" spans="1:6" ht="17.25" x14ac:dyDescent="0.25">
      <c r="A26" t="s">
        <v>581</v>
      </c>
      <c r="B26" s="1">
        <v>3.6466161335543597E-11</v>
      </c>
      <c r="F26" s="1"/>
    </row>
    <row r="27" spans="1:6" x14ac:dyDescent="0.25">
      <c r="A27" t="s">
        <v>598</v>
      </c>
      <c r="B27" s="1">
        <v>4.9492885691181101E+17</v>
      </c>
      <c r="C27" s="12">
        <f>Age/Gyr</f>
        <v>15.68369696997522</v>
      </c>
      <c r="F27" s="1"/>
    </row>
    <row r="28" spans="1:6" x14ac:dyDescent="0.25">
      <c r="A28" t="s">
        <v>633</v>
      </c>
      <c r="B28" s="1">
        <f>VelocityOfLight+(UniverseAcceleration*Age)</f>
        <v>317840613.5457623</v>
      </c>
      <c r="C28" s="12"/>
      <c r="F28" s="1"/>
    </row>
    <row r="29" spans="1:6" x14ac:dyDescent="0.25">
      <c r="A29" t="s">
        <v>635</v>
      </c>
      <c r="B29" s="1">
        <f>InitialTangentVelocity*Age-UniverseAcceleration/2*Age^2</f>
        <v>1.5284221504553746E+26</v>
      </c>
      <c r="C29" s="2">
        <f>B29/Gpc</f>
        <v>4.9532788531178129</v>
      </c>
      <c r="E29" s="1"/>
      <c r="F29" s="1"/>
    </row>
    <row r="30" spans="1:6" x14ac:dyDescent="0.25">
      <c r="A30" t="s">
        <v>580</v>
      </c>
      <c r="B30" s="1">
        <v>1.9890999999999999E+30</v>
      </c>
      <c r="C30" s="1"/>
      <c r="F30" s="1"/>
    </row>
    <row r="31" spans="1:6" x14ac:dyDescent="0.25">
      <c r="A31" t="s">
        <v>18</v>
      </c>
      <c r="B31" s="1">
        <f>3.846E+26</f>
        <v>3.8459999999999999E+26</v>
      </c>
      <c r="C31" s="23"/>
    </row>
    <row r="32" spans="1:6" x14ac:dyDescent="0.25">
      <c r="A32" t="s">
        <v>23</v>
      </c>
      <c r="B32" s="1">
        <f>9.10938356E-31</f>
        <v>9.1093835599999998E-31</v>
      </c>
    </row>
    <row r="33" spans="1:7" x14ac:dyDescent="0.25">
      <c r="A33" t="s">
        <v>593</v>
      </c>
      <c r="B33" s="1">
        <v>1.6726219E-27</v>
      </c>
    </row>
    <row r="34" spans="1:7" x14ac:dyDescent="0.25">
      <c r="A34" t="s">
        <v>571</v>
      </c>
      <c r="B34" s="1">
        <f>1.6735575E-27</f>
        <v>1.6735574999999999E-27</v>
      </c>
    </row>
    <row r="35" spans="1:7" x14ac:dyDescent="0.25">
      <c r="A35" t="s">
        <v>572</v>
      </c>
      <c r="B35" s="1">
        <v>6.6464730999999995E-27</v>
      </c>
    </row>
    <row r="36" spans="1:7" x14ac:dyDescent="0.25">
      <c r="A36" t="s">
        <v>588</v>
      </c>
      <c r="B36" s="34">
        <v>0.75</v>
      </c>
    </row>
    <row r="37" spans="1:7" x14ac:dyDescent="0.25">
      <c r="A37" t="s">
        <v>589</v>
      </c>
      <c r="B37" s="34">
        <v>0.249</v>
      </c>
    </row>
    <row r="38" spans="1:7" x14ac:dyDescent="0.25">
      <c r="A38" t="s">
        <v>590</v>
      </c>
      <c r="B38" s="10">
        <v>1.2020599999999999</v>
      </c>
    </row>
    <row r="39" spans="1:7" x14ac:dyDescent="0.25">
      <c r="A39" t="s">
        <v>657</v>
      </c>
      <c r="B39" s="1">
        <f>InitialTangentVelocity/UniverseAcceleration</f>
        <v>8.7160425420474071E+18</v>
      </c>
      <c r="C39" s="6">
        <f>B39/Gyr</f>
        <v>276.20084805691965</v>
      </c>
      <c r="E39" s="6">
        <f>(B39-Age)/Gyr</f>
        <v>260.51715108694441</v>
      </c>
    </row>
    <row r="40" spans="1:7" x14ac:dyDescent="0.25">
      <c r="A40" t="s">
        <v>658</v>
      </c>
      <c r="B40" s="1">
        <v>1.53045E+19</v>
      </c>
      <c r="C40" s="6">
        <f>B40/Gyr</f>
        <v>484.98109763633312</v>
      </c>
      <c r="E40" s="6">
        <f>(B40-Age)/Gyr</f>
        <v>469.29740066635787</v>
      </c>
    </row>
    <row r="42" spans="1:7" x14ac:dyDescent="0.25">
      <c r="B42" s="1" t="s">
        <v>660</v>
      </c>
      <c r="C42" s="6" t="s">
        <v>662</v>
      </c>
    </row>
    <row r="43" spans="1:7" x14ac:dyDescent="0.25">
      <c r="A43" t="s">
        <v>661</v>
      </c>
      <c r="B43" s="1">
        <f>6371000</f>
        <v>6371000</v>
      </c>
      <c r="C43" s="1">
        <v>5.9720000000000003E+24</v>
      </c>
      <c r="E43" s="1">
        <f>C43*GravitationalConstant/B43^2</f>
        <v>9.819649737724955</v>
      </c>
    </row>
    <row r="44" spans="1:7" x14ac:dyDescent="0.25">
      <c r="A44" t="s">
        <v>659</v>
      </c>
      <c r="B44" s="1">
        <v>149597870700</v>
      </c>
      <c r="C44" s="1">
        <v>1.9890999999999999E+30</v>
      </c>
      <c r="E44" s="1">
        <f>C44*GravitationalConstant/B44^2</f>
        <v>5.9319461709069618E-3</v>
      </c>
      <c r="F44" s="1">
        <f>C44*GravitationalConstant/(B44+2*B43)^2</f>
        <v>5.9309357928589166E-3</v>
      </c>
      <c r="G44" s="1">
        <f>E44-F44</f>
        <v>1.010378048045199E-6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V487"/>
  <sheetViews>
    <sheetView zoomScaleNormal="100" workbookViewId="0"/>
  </sheetViews>
  <sheetFormatPr defaultRowHeight="15" x14ac:dyDescent="0.25"/>
  <cols>
    <col min="1" max="1" width="15.7109375" customWidth="1"/>
    <col min="2" max="11" width="10.7109375" style="2" customWidth="1"/>
    <col min="12" max="12" width="12" style="2" customWidth="1"/>
    <col min="13" max="13" width="10.7109375" style="2" customWidth="1"/>
    <col min="14" max="14" width="10.7109375" style="1" customWidth="1"/>
    <col min="15" max="18" width="8.7109375" style="2" customWidth="1"/>
    <col min="19" max="19" width="8.7109375" style="12" customWidth="1"/>
    <col min="20" max="22" width="8.7109375" style="2" customWidth="1"/>
  </cols>
  <sheetData>
    <row r="1" spans="1:22" x14ac:dyDescent="0.25">
      <c r="A1" t="s">
        <v>29</v>
      </c>
    </row>
    <row r="2" spans="1:22" ht="17.25" x14ac:dyDescent="0.25">
      <c r="A2" t="s">
        <v>30</v>
      </c>
      <c r="B2" s="2">
        <v>0.14699999999999999</v>
      </c>
      <c r="D2" s="19" t="s">
        <v>563</v>
      </c>
      <c r="E2" s="16">
        <f>$R$484</f>
        <v>0.84061974127828332</v>
      </c>
      <c r="J2" s="1"/>
      <c r="L2" s="1"/>
      <c r="M2"/>
    </row>
    <row r="3" spans="1:22" ht="17.25" x14ac:dyDescent="0.25">
      <c r="A3" t="s">
        <v>31</v>
      </c>
      <c r="B3" s="2">
        <v>3.13</v>
      </c>
      <c r="D3" s="19" t="s">
        <v>604</v>
      </c>
      <c r="E3" s="16">
        <f>$V$483</f>
        <v>2.3085535705988023</v>
      </c>
      <c r="J3" s="1"/>
      <c r="L3" s="1"/>
      <c r="M3"/>
    </row>
    <row r="4" spans="1:22" ht="18" x14ac:dyDescent="0.35">
      <c r="A4" t="s">
        <v>32</v>
      </c>
      <c r="B4" s="2">
        <v>-19.34</v>
      </c>
      <c r="J4" s="1"/>
      <c r="L4" s="1"/>
      <c r="P4" s="1"/>
      <c r="Q4" s="1"/>
    </row>
    <row r="5" spans="1:22" x14ac:dyDescent="0.25">
      <c r="L5" s="1"/>
    </row>
    <row r="6" spans="1:22" s="3" customFormat="1" ht="60" customHeight="1" x14ac:dyDescent="0.25">
      <c r="A6" s="3" t="s">
        <v>1</v>
      </c>
      <c r="B6" s="7" t="s">
        <v>2</v>
      </c>
      <c r="C6" s="7" t="s">
        <v>498</v>
      </c>
      <c r="D6" s="7" t="s">
        <v>26</v>
      </c>
      <c r="E6" s="7" t="s">
        <v>494</v>
      </c>
      <c r="F6" s="7" t="s">
        <v>27</v>
      </c>
      <c r="G6" s="7" t="s">
        <v>495</v>
      </c>
      <c r="H6" s="7" t="s">
        <v>28</v>
      </c>
      <c r="I6" s="7" t="s">
        <v>496</v>
      </c>
      <c r="J6" s="7" t="s">
        <v>497</v>
      </c>
      <c r="K6" s="7" t="s">
        <v>33</v>
      </c>
      <c r="L6" s="7" t="s">
        <v>499</v>
      </c>
      <c r="M6" s="3" t="s">
        <v>551</v>
      </c>
      <c r="N6" s="4" t="s">
        <v>585</v>
      </c>
      <c r="O6" s="4" t="s">
        <v>564</v>
      </c>
      <c r="P6" s="7" t="s">
        <v>562</v>
      </c>
      <c r="Q6" s="7" t="s">
        <v>636</v>
      </c>
      <c r="R6" s="7" t="s">
        <v>630</v>
      </c>
      <c r="S6" s="15" t="s">
        <v>605</v>
      </c>
      <c r="T6" s="7" t="s">
        <v>603</v>
      </c>
      <c r="U6" s="7" t="s">
        <v>637</v>
      </c>
      <c r="V6" s="7" t="s">
        <v>631</v>
      </c>
    </row>
    <row r="7" spans="1:22" ht="15" customHeight="1" x14ac:dyDescent="0.25">
      <c r="A7" t="s">
        <v>34</v>
      </c>
      <c r="B7" s="2">
        <v>0.01</v>
      </c>
      <c r="C7" s="8">
        <v>0</v>
      </c>
      <c r="D7" s="8">
        <v>14.183</v>
      </c>
      <c r="E7" s="8">
        <v>4.2000000000000003E-2</v>
      </c>
      <c r="F7" s="8">
        <v>0.97299999999999998</v>
      </c>
      <c r="G7" s="8">
        <v>2.5999999999999999E-2</v>
      </c>
      <c r="H7" s="8">
        <v>3.5000000000000003E-2</v>
      </c>
      <c r="I7" s="8">
        <v>2.5000000000000001E-2</v>
      </c>
      <c r="J7" s="8">
        <v>0.12</v>
      </c>
      <c r="K7" s="8">
        <f t="shared" ref="K7:K70" si="0">PeakMagnitudeError+StretchError+ColorError+ScatterError</f>
        <v>0.21299999999999999</v>
      </c>
      <c r="L7" s="8">
        <f t="shared" ref="L7:L70" si="1">PeakMagnitude+α*(Stretch-1)-β*Color-Mb</f>
        <v>33.409481</v>
      </c>
      <c r="M7" s="1">
        <f t="shared" ref="M7:M70" si="2">10^((ObservedDistanceModuli-25)/5)</f>
        <v>48.072443757165757</v>
      </c>
      <c r="N7" s="1">
        <f t="shared" ref="N7:N70" si="3">(RedShift*Age*(2*InitialTangentVelocity-UniverseAcceleration*Age))/(2+RedShift)*(1+RedShift)</f>
        <v>1.5360262407561479E+24</v>
      </c>
      <c r="O7" s="2">
        <f t="shared" ref="O7:O70" si="4">N7/Mpc</f>
        <v>49.779220314915335</v>
      </c>
      <c r="P7" s="2">
        <f t="shared" ref="P7:P70" si="5">(LOG10(T2LuminousDistance)*5+25)</f>
        <v>33.485240450155388</v>
      </c>
      <c r="Q7" s="2">
        <f t="shared" ref="Q7:Q70" si="6">ObservedDistanceModuli-T2DistanceModuli</f>
        <v>-7.5759450155388208E-2</v>
      </c>
      <c r="R7" s="2">
        <f>(ObservedDistanceModuli-T2DistanceModuli)^2/TotalError^2</f>
        <v>0.12650696043216184</v>
      </c>
      <c r="S7" s="12">
        <v>41.103659422180243</v>
      </c>
      <c r="T7" s="2">
        <f t="shared" ref="T7:T70" si="7">(LOG10(ΛCDMLuminousDistance)*5+25)</f>
        <v>33.069402442240715</v>
      </c>
      <c r="U7" s="2">
        <f t="shared" ref="U7:U70" si="8">ObservedDistanceModuli-ΛCDMDistanceModuli</f>
        <v>0.34007855775928419</v>
      </c>
      <c r="V7" s="2">
        <f>(ObservedDistanceModuli-ΛCDMDistanceModuli)^2/TotalError^2</f>
        <v>2.5491729032518857</v>
      </c>
    </row>
    <row r="8" spans="1:22" ht="15" customHeight="1" x14ac:dyDescent="0.25">
      <c r="A8" t="s">
        <v>35</v>
      </c>
      <c r="B8" s="2">
        <v>0.01</v>
      </c>
      <c r="C8" s="8">
        <v>0</v>
      </c>
      <c r="D8" s="8">
        <v>14.13</v>
      </c>
      <c r="E8" s="8">
        <v>0.03</v>
      </c>
      <c r="F8" s="8">
        <v>0.98699999999999999</v>
      </c>
      <c r="G8" s="8">
        <v>8.9999999999999993E-3</v>
      </c>
      <c r="H8" s="8">
        <v>5.6000000000000001E-2</v>
      </c>
      <c r="I8" s="8">
        <v>1.7999999999999999E-2</v>
      </c>
      <c r="J8" s="8">
        <v>0.12</v>
      </c>
      <c r="K8" s="8">
        <f t="shared" si="0"/>
        <v>0.17699999999999999</v>
      </c>
      <c r="L8" s="8">
        <f t="shared" si="1"/>
        <v>33.292808999999998</v>
      </c>
      <c r="M8" s="1">
        <f t="shared" si="2"/>
        <v>45.557701005203917</v>
      </c>
      <c r="N8" s="1">
        <f t="shared" si="3"/>
        <v>1.5360262407561479E+24</v>
      </c>
      <c r="O8" s="2">
        <f t="shared" si="4"/>
        <v>49.779220314915335</v>
      </c>
      <c r="P8" s="2">
        <f t="shared" si="5"/>
        <v>33.485240450155388</v>
      </c>
      <c r="Q8" s="2">
        <f t="shared" si="6"/>
        <v>-0.19243145015538943</v>
      </c>
      <c r="R8" s="2">
        <f t="shared" ref="R8:R70" si="9">(ObservedDistanceModuli-T2DistanceModuli)^2/TotalError^2</f>
        <v>1.1819676021866683</v>
      </c>
      <c r="S8" s="12">
        <v>41.103659422180243</v>
      </c>
      <c r="T8" s="2">
        <f t="shared" si="7"/>
        <v>33.069402442240715</v>
      </c>
      <c r="U8" s="2">
        <f t="shared" si="8"/>
        <v>0.22340655775928298</v>
      </c>
      <c r="V8" s="2">
        <f t="shared" ref="V8:V70" si="10">(ObservedDistanceModuli-ΛCDMDistanceModuli)^2/TotalError^2</f>
        <v>1.5931083038032445</v>
      </c>
    </row>
    <row r="9" spans="1:22" ht="15" customHeight="1" x14ac:dyDescent="0.25">
      <c r="A9" t="s">
        <v>36</v>
      </c>
      <c r="B9" s="2">
        <v>1.0999999999999999E-2</v>
      </c>
      <c r="C9" s="8">
        <v>0</v>
      </c>
      <c r="D9" s="8">
        <v>14.317</v>
      </c>
      <c r="E9" s="8">
        <v>3.5999999999999997E-2</v>
      </c>
      <c r="F9" s="8">
        <v>0.98299999999999998</v>
      </c>
      <c r="G9" s="8">
        <v>2.3E-2</v>
      </c>
      <c r="H9" s="8">
        <v>5.6000000000000001E-2</v>
      </c>
      <c r="I9" s="8">
        <v>2.5000000000000001E-2</v>
      </c>
      <c r="J9" s="8">
        <v>0.12</v>
      </c>
      <c r="K9" s="8">
        <f t="shared" si="0"/>
        <v>0.20399999999999999</v>
      </c>
      <c r="L9" s="8">
        <f t="shared" si="1"/>
        <v>33.479220999999995</v>
      </c>
      <c r="M9" s="1">
        <f t="shared" si="2"/>
        <v>49.641420450258337</v>
      </c>
      <c r="N9" s="1">
        <f t="shared" si="3"/>
        <v>1.6904607394544224E+24</v>
      </c>
      <c r="O9" s="2">
        <f t="shared" si="4"/>
        <v>54.7841015669052</v>
      </c>
      <c r="P9" s="2">
        <f t="shared" si="5"/>
        <v>33.693272719107043</v>
      </c>
      <c r="Q9" s="2">
        <f t="shared" si="6"/>
        <v>-0.21405171910704723</v>
      </c>
      <c r="R9" s="2">
        <f t="shared" si="9"/>
        <v>1.100974107378947</v>
      </c>
      <c r="S9" s="12">
        <v>45.248603556527648</v>
      </c>
      <c r="T9" s="2">
        <f t="shared" si="7"/>
        <v>33.278025903667157</v>
      </c>
      <c r="U9" s="2">
        <f t="shared" si="8"/>
        <v>0.20119509633283883</v>
      </c>
      <c r="V9" s="2">
        <f t="shared" si="10"/>
        <v>0.97268999395377509</v>
      </c>
    </row>
    <row r="10" spans="1:22" ht="15" customHeight="1" x14ac:dyDescent="0.25">
      <c r="A10" t="s">
        <v>37</v>
      </c>
      <c r="B10" s="2">
        <v>1.0999999999999999E-2</v>
      </c>
      <c r="C10" s="8">
        <v>1E-3</v>
      </c>
      <c r="D10" s="8">
        <v>14.347</v>
      </c>
      <c r="E10" s="8">
        <v>2.1000000000000001E-2</v>
      </c>
      <c r="F10" s="8">
        <v>0.81399999999999995</v>
      </c>
      <c r="G10" s="8">
        <v>8.0000000000000002E-3</v>
      </c>
      <c r="H10" s="8">
        <v>-4.4999999999999998E-2</v>
      </c>
      <c r="I10" s="8">
        <v>1.9E-2</v>
      </c>
      <c r="J10" s="8">
        <v>0.12</v>
      </c>
      <c r="K10" s="8">
        <f t="shared" si="0"/>
        <v>0.16799999999999998</v>
      </c>
      <c r="L10" s="8">
        <f t="shared" si="1"/>
        <v>33.800508000000001</v>
      </c>
      <c r="M10" s="1">
        <f t="shared" si="2"/>
        <v>57.557457302629494</v>
      </c>
      <c r="N10" s="1">
        <f t="shared" si="3"/>
        <v>1.6904607394544224E+24</v>
      </c>
      <c r="O10" s="2">
        <f t="shared" si="4"/>
        <v>54.7841015669052</v>
      </c>
      <c r="P10" s="2">
        <f t="shared" si="5"/>
        <v>33.693272719107043</v>
      </c>
      <c r="Q10" s="2">
        <f t="shared" si="6"/>
        <v>0.10723528089295797</v>
      </c>
      <c r="R10" s="2">
        <f t="shared" si="9"/>
        <v>0.40743358376529193</v>
      </c>
      <c r="S10" s="12">
        <v>45.248603556527648</v>
      </c>
      <c r="T10" s="2">
        <f t="shared" si="7"/>
        <v>33.278025903667157</v>
      </c>
      <c r="U10" s="2">
        <f t="shared" si="8"/>
        <v>0.52248209633284404</v>
      </c>
      <c r="V10" s="2">
        <f t="shared" si="10"/>
        <v>9.6721776143836227</v>
      </c>
    </row>
    <row r="11" spans="1:22" ht="15" customHeight="1" x14ac:dyDescent="0.25">
      <c r="A11" t="s">
        <v>38</v>
      </c>
      <c r="B11" s="2">
        <v>1.0999999999999999E-2</v>
      </c>
      <c r="C11" s="8">
        <v>0</v>
      </c>
      <c r="D11" s="8">
        <v>14.597</v>
      </c>
      <c r="E11" s="8">
        <v>0.03</v>
      </c>
      <c r="F11" s="8">
        <v>0.97299999999999998</v>
      </c>
      <c r="G11" s="8">
        <v>2.9000000000000001E-2</v>
      </c>
      <c r="H11" s="8">
        <v>0.113</v>
      </c>
      <c r="I11" s="8">
        <v>2.4E-2</v>
      </c>
      <c r="J11" s="8">
        <v>0.12</v>
      </c>
      <c r="K11" s="8">
        <f t="shared" si="0"/>
        <v>0.20299999999999999</v>
      </c>
      <c r="L11" s="8">
        <f t="shared" si="1"/>
        <v>33.579340999999999</v>
      </c>
      <c r="M11" s="1">
        <f t="shared" si="2"/>
        <v>51.983821172009236</v>
      </c>
      <c r="N11" s="1">
        <f t="shared" si="3"/>
        <v>1.6904607394544224E+24</v>
      </c>
      <c r="O11" s="2">
        <f t="shared" si="4"/>
        <v>54.7841015669052</v>
      </c>
      <c r="P11" s="2">
        <f t="shared" si="5"/>
        <v>33.693272719107043</v>
      </c>
      <c r="Q11" s="2">
        <f t="shared" si="6"/>
        <v>-0.11393171910704325</v>
      </c>
      <c r="R11" s="2">
        <f t="shared" si="9"/>
        <v>0.31499033266243309</v>
      </c>
      <c r="S11" s="12">
        <v>45.248603556527648</v>
      </c>
      <c r="T11" s="2">
        <f t="shared" si="7"/>
        <v>33.278025903667157</v>
      </c>
      <c r="U11" s="2">
        <f t="shared" si="8"/>
        <v>0.30131509633284281</v>
      </c>
      <c r="V11" s="2">
        <f t="shared" si="10"/>
        <v>2.2031786085095573</v>
      </c>
    </row>
    <row r="12" spans="1:22" ht="15" customHeight="1" x14ac:dyDescent="0.25">
      <c r="A12" t="s">
        <v>39</v>
      </c>
      <c r="B12" s="2">
        <v>1.2E-2</v>
      </c>
      <c r="C12" s="8">
        <v>1E-3</v>
      </c>
      <c r="D12" s="8">
        <v>14.843</v>
      </c>
      <c r="E12" s="8">
        <v>2.5999999999999999E-2</v>
      </c>
      <c r="F12" s="8">
        <v>0.871</v>
      </c>
      <c r="G12" s="8">
        <v>1.2999999999999999E-2</v>
      </c>
      <c r="H12" s="8">
        <v>-7.2999999999999995E-2</v>
      </c>
      <c r="I12" s="8">
        <v>0.02</v>
      </c>
      <c r="J12" s="8">
        <v>0.12</v>
      </c>
      <c r="K12" s="8">
        <f t="shared" si="0"/>
        <v>0.17899999999999999</v>
      </c>
      <c r="L12" s="8">
        <f t="shared" si="1"/>
        <v>34.392527000000001</v>
      </c>
      <c r="M12" s="1">
        <f t="shared" si="2"/>
        <v>75.59714599990032</v>
      </c>
      <c r="N12" s="1">
        <f t="shared" si="3"/>
        <v>1.8450455859970246E+24</v>
      </c>
      <c r="O12" s="2">
        <f t="shared" si="4"/>
        <v>59.793855260698521</v>
      </c>
      <c r="P12" s="2">
        <f t="shared" si="5"/>
        <v>33.883282779182196</v>
      </c>
      <c r="Q12" s="2">
        <f t="shared" si="6"/>
        <v>0.50924422081780563</v>
      </c>
      <c r="R12" s="2">
        <f t="shared" si="9"/>
        <v>8.0936823581141031</v>
      </c>
      <c r="S12" s="12">
        <v>49.399807969154111</v>
      </c>
      <c r="T12" s="2">
        <f t="shared" si="7"/>
        <v>33.468626303515116</v>
      </c>
      <c r="U12" s="2">
        <f t="shared" si="8"/>
        <v>0.92390069648488549</v>
      </c>
      <c r="V12" s="2">
        <f t="shared" si="10"/>
        <v>26.640632220132222</v>
      </c>
    </row>
    <row r="13" spans="1:22" ht="15" customHeight="1" x14ac:dyDescent="0.25">
      <c r="A13" t="s">
        <v>40</v>
      </c>
      <c r="B13" s="2">
        <v>1.2999999999999999E-2</v>
      </c>
      <c r="C13" s="8">
        <v>0</v>
      </c>
      <c r="D13" s="8">
        <v>14.904</v>
      </c>
      <c r="E13" s="8">
        <v>2.5000000000000001E-2</v>
      </c>
      <c r="F13" s="8">
        <v>0.90300000000000002</v>
      </c>
      <c r="G13" s="8">
        <v>2.4E-2</v>
      </c>
      <c r="H13" s="8">
        <v>8.7999999999999995E-2</v>
      </c>
      <c r="I13" s="8">
        <v>0.02</v>
      </c>
      <c r="J13" s="8">
        <v>0.12</v>
      </c>
      <c r="K13" s="8">
        <f t="shared" si="0"/>
        <v>0.189</v>
      </c>
      <c r="L13" s="8">
        <f t="shared" si="1"/>
        <v>33.954301000000001</v>
      </c>
      <c r="M13" s="1">
        <f t="shared" si="2"/>
        <v>61.781749181261212</v>
      </c>
      <c r="N13" s="1">
        <f t="shared" si="3"/>
        <v>1.9997805563186118E+24</v>
      </c>
      <c r="O13" s="2">
        <f t="shared" si="4"/>
        <v>64.808474134832068</v>
      </c>
      <c r="P13" s="2">
        <f t="shared" si="5"/>
        <v>34.058158982236932</v>
      </c>
      <c r="Q13" s="2">
        <f t="shared" si="6"/>
        <v>-0.10385798223693143</v>
      </c>
      <c r="R13" s="2">
        <f t="shared" si="9"/>
        <v>0.3019646839205723</v>
      </c>
      <c r="S13" s="12">
        <v>53.557265996914317</v>
      </c>
      <c r="T13" s="2">
        <f t="shared" si="7"/>
        <v>33.644091994728285</v>
      </c>
      <c r="U13" s="2">
        <f t="shared" si="8"/>
        <v>0.31020900527171591</v>
      </c>
      <c r="V13" s="2">
        <f t="shared" si="10"/>
        <v>2.6939230971044332</v>
      </c>
    </row>
    <row r="14" spans="1:22" ht="15" customHeight="1" x14ac:dyDescent="0.25">
      <c r="A14" t="s">
        <v>41</v>
      </c>
      <c r="B14" s="2">
        <v>1.4E-2</v>
      </c>
      <c r="C14" s="8">
        <v>0</v>
      </c>
      <c r="D14" s="8">
        <v>15.118</v>
      </c>
      <c r="E14" s="8">
        <v>4.1000000000000002E-2</v>
      </c>
      <c r="F14" s="8">
        <v>0.81899999999999995</v>
      </c>
      <c r="G14" s="8">
        <v>1.7000000000000001E-2</v>
      </c>
      <c r="H14" s="8">
        <v>3.5999999999999997E-2</v>
      </c>
      <c r="I14" s="8">
        <v>2.1999999999999999E-2</v>
      </c>
      <c r="J14" s="8">
        <v>0.12</v>
      </c>
      <c r="K14" s="8">
        <f t="shared" si="0"/>
        <v>0.2</v>
      </c>
      <c r="L14" s="8">
        <f t="shared" si="1"/>
        <v>34.318713000000002</v>
      </c>
      <c r="M14" s="1">
        <f t="shared" si="2"/>
        <v>73.070587641155655</v>
      </c>
      <c r="N14" s="1">
        <f t="shared" si="3"/>
        <v>2.154665426798858E+24</v>
      </c>
      <c r="O14" s="2">
        <f t="shared" si="4"/>
        <v>69.827950942264621</v>
      </c>
      <c r="P14" s="2">
        <f t="shared" si="5"/>
        <v>34.220146490634399</v>
      </c>
      <c r="Q14" s="2">
        <f t="shared" si="6"/>
        <v>9.8566509365603849E-2</v>
      </c>
      <c r="R14" s="2">
        <f t="shared" si="9"/>
        <v>0.24288391921299174</v>
      </c>
      <c r="S14" s="12">
        <v>57.720970977752756</v>
      </c>
      <c r="T14" s="2">
        <f t="shared" si="7"/>
        <v>33.806668140757075</v>
      </c>
      <c r="U14" s="2">
        <f t="shared" si="8"/>
        <v>0.51204485924292698</v>
      </c>
      <c r="V14" s="2">
        <f t="shared" si="10"/>
        <v>6.5547484469277215</v>
      </c>
    </row>
    <row r="15" spans="1:22" ht="15" customHeight="1" x14ac:dyDescent="0.25">
      <c r="A15" t="s">
        <v>42</v>
      </c>
      <c r="B15" s="2">
        <v>1.4999999999999999E-2</v>
      </c>
      <c r="C15" s="8">
        <v>0</v>
      </c>
      <c r="D15" s="8">
        <v>14.685</v>
      </c>
      <c r="E15" s="8">
        <v>2.4E-2</v>
      </c>
      <c r="F15" s="8">
        <v>1.077</v>
      </c>
      <c r="G15" s="8">
        <v>2.8000000000000001E-2</v>
      </c>
      <c r="H15" s="8">
        <v>-2E-3</v>
      </c>
      <c r="I15" s="8">
        <v>2.1999999999999999E-2</v>
      </c>
      <c r="J15" s="8">
        <v>0.12</v>
      </c>
      <c r="K15" s="8">
        <f t="shared" si="0"/>
        <v>0.19400000000000001</v>
      </c>
      <c r="L15" s="8">
        <f t="shared" si="1"/>
        <v>34.042579000000003</v>
      </c>
      <c r="M15" s="1">
        <f t="shared" si="2"/>
        <v>64.345147387447213</v>
      </c>
      <c r="N15" s="1">
        <f t="shared" si="3"/>
        <v>2.3096999742613474E+24</v>
      </c>
      <c r="O15" s="2">
        <f t="shared" si="4"/>
        <v>74.852278450341132</v>
      </c>
      <c r="P15" s="2">
        <f t="shared" si="5"/>
        <v>34.371025122483545</v>
      </c>
      <c r="Q15" s="2">
        <f t="shared" si="6"/>
        <v>-0.3284461224835411</v>
      </c>
      <c r="R15" s="2">
        <f t="shared" si="9"/>
        <v>2.8663209526642914</v>
      </c>
      <c r="S15" s="12">
        <v>61.890916250731067</v>
      </c>
      <c r="T15" s="2">
        <f t="shared" si="7"/>
        <v>33.958134560797326</v>
      </c>
      <c r="U15" s="2">
        <f t="shared" si="8"/>
        <v>8.4444439202677302E-2</v>
      </c>
      <c r="V15" s="2">
        <f t="shared" si="10"/>
        <v>0.18946921331317523</v>
      </c>
    </row>
    <row r="16" spans="1:22" ht="15" customHeight="1" x14ac:dyDescent="0.25">
      <c r="A16" t="s">
        <v>43</v>
      </c>
      <c r="B16" s="2">
        <v>1.4E-2</v>
      </c>
      <c r="C16" s="8">
        <v>1E-3</v>
      </c>
      <c r="D16" s="8">
        <v>15.646000000000001</v>
      </c>
      <c r="E16" s="8">
        <v>2.5000000000000001E-2</v>
      </c>
      <c r="F16" s="8">
        <v>0.86699999999999999</v>
      </c>
      <c r="G16" s="8">
        <v>2.1000000000000001E-2</v>
      </c>
      <c r="H16" s="8">
        <v>0.23599999999999999</v>
      </c>
      <c r="I16" s="8">
        <v>0.02</v>
      </c>
      <c r="J16" s="8">
        <v>0.12</v>
      </c>
      <c r="K16" s="8">
        <f t="shared" si="0"/>
        <v>0.186</v>
      </c>
      <c r="L16" s="8">
        <f t="shared" si="1"/>
        <v>34.227769000000002</v>
      </c>
      <c r="M16" s="1">
        <f t="shared" si="2"/>
        <v>70.07349838926153</v>
      </c>
      <c r="N16" s="1">
        <f t="shared" si="3"/>
        <v>2.154665426798858E+24</v>
      </c>
      <c r="O16" s="2">
        <f t="shared" si="4"/>
        <v>69.827950942264621</v>
      </c>
      <c r="P16" s="2">
        <f t="shared" si="5"/>
        <v>34.220146490634399</v>
      </c>
      <c r="Q16" s="2">
        <f t="shared" si="6"/>
        <v>7.6225093656034915E-3</v>
      </c>
      <c r="R16" s="2">
        <f t="shared" si="9"/>
        <v>1.6794614703639999E-3</v>
      </c>
      <c r="S16" s="12">
        <v>57.720970977752756</v>
      </c>
      <c r="T16" s="2">
        <f t="shared" si="7"/>
        <v>33.806668140757075</v>
      </c>
      <c r="U16" s="2">
        <f t="shared" si="8"/>
        <v>0.42110085924292662</v>
      </c>
      <c r="V16" s="2">
        <f t="shared" si="10"/>
        <v>5.1256195414247632</v>
      </c>
    </row>
    <row r="17" spans="1:22" ht="15" customHeight="1" x14ac:dyDescent="0.25">
      <c r="A17" t="s">
        <v>44</v>
      </c>
      <c r="B17" s="2">
        <v>1.4E-2</v>
      </c>
      <c r="C17" s="8">
        <v>0</v>
      </c>
      <c r="D17" s="8">
        <v>14.702999999999999</v>
      </c>
      <c r="E17" s="8">
        <v>3.7999999999999999E-2</v>
      </c>
      <c r="F17" s="8">
        <v>0.86699999999999999</v>
      </c>
      <c r="G17" s="8">
        <v>0.02</v>
      </c>
      <c r="H17" s="8">
        <v>-5.6000000000000001E-2</v>
      </c>
      <c r="I17" s="8">
        <v>2.4E-2</v>
      </c>
      <c r="J17" s="8">
        <v>0.12</v>
      </c>
      <c r="K17" s="8">
        <f t="shared" si="0"/>
        <v>0.20199999999999999</v>
      </c>
      <c r="L17" s="8">
        <f t="shared" si="1"/>
        <v>34.198729</v>
      </c>
      <c r="M17" s="1">
        <f t="shared" si="2"/>
        <v>69.142614888634384</v>
      </c>
      <c r="N17" s="1">
        <f t="shared" si="3"/>
        <v>2.154665426798858E+24</v>
      </c>
      <c r="O17" s="2">
        <f t="shared" si="4"/>
        <v>69.827950942264621</v>
      </c>
      <c r="P17" s="2">
        <f t="shared" si="5"/>
        <v>34.220146490634399</v>
      </c>
      <c r="Q17" s="2">
        <f t="shared" si="6"/>
        <v>-2.1417490634398462E-2</v>
      </c>
      <c r="R17" s="2">
        <f t="shared" si="9"/>
        <v>1.1241763186808791E-2</v>
      </c>
      <c r="S17" s="12">
        <v>57.720970977752756</v>
      </c>
      <c r="T17" s="2">
        <f t="shared" si="7"/>
        <v>33.806668140757075</v>
      </c>
      <c r="U17" s="2">
        <f t="shared" si="8"/>
        <v>0.39206085924292466</v>
      </c>
      <c r="V17" s="2">
        <f t="shared" si="10"/>
        <v>3.7670747316513191</v>
      </c>
    </row>
    <row r="18" spans="1:22" ht="15" customHeight="1" x14ac:dyDescent="0.25">
      <c r="A18" t="s">
        <v>45</v>
      </c>
      <c r="B18" s="2">
        <v>1.4999999999999999E-2</v>
      </c>
      <c r="C18" s="8">
        <v>0</v>
      </c>
      <c r="D18" s="8">
        <v>15.09</v>
      </c>
      <c r="E18" s="8">
        <v>3.6999999999999998E-2</v>
      </c>
      <c r="F18" s="8">
        <v>0.78700000000000003</v>
      </c>
      <c r="G18" s="8">
        <v>1.7999999999999999E-2</v>
      </c>
      <c r="H18" s="8">
        <v>-2.3E-2</v>
      </c>
      <c r="I18" s="8">
        <v>2.1000000000000001E-2</v>
      </c>
      <c r="J18" s="8">
        <v>0.12</v>
      </c>
      <c r="K18" s="8">
        <f t="shared" si="0"/>
        <v>0.19600000000000001</v>
      </c>
      <c r="L18" s="8">
        <f t="shared" si="1"/>
        <v>34.470678999999997</v>
      </c>
      <c r="M18" s="1">
        <f t="shared" si="2"/>
        <v>78.36746525124002</v>
      </c>
      <c r="N18" s="1">
        <f t="shared" si="3"/>
        <v>2.3096999742613474E+24</v>
      </c>
      <c r="O18" s="2">
        <f t="shared" si="4"/>
        <v>74.852278450341132</v>
      </c>
      <c r="P18" s="2">
        <f t="shared" si="5"/>
        <v>34.371025122483545</v>
      </c>
      <c r="Q18" s="2">
        <f t="shared" si="6"/>
        <v>9.9653877516452383E-2</v>
      </c>
      <c r="R18" s="2">
        <f t="shared" si="9"/>
        <v>0.25850935297959426</v>
      </c>
      <c r="S18" s="12">
        <v>61.890916250731067</v>
      </c>
      <c r="T18" s="2">
        <f t="shared" si="7"/>
        <v>33.958134560797326</v>
      </c>
      <c r="U18" s="2">
        <f t="shared" si="8"/>
        <v>0.51254443920267079</v>
      </c>
      <c r="V18" s="2">
        <f t="shared" si="10"/>
        <v>6.8383434547475073</v>
      </c>
    </row>
    <row r="19" spans="1:22" ht="15" customHeight="1" x14ac:dyDescent="0.25">
      <c r="A19" t="s">
        <v>46</v>
      </c>
      <c r="B19" s="2">
        <v>1.4E-2</v>
      </c>
      <c r="C19" s="8">
        <v>0</v>
      </c>
      <c r="D19" s="8">
        <v>14.409000000000001</v>
      </c>
      <c r="E19" s="8">
        <v>3.6999999999999998E-2</v>
      </c>
      <c r="F19" s="8">
        <v>1.103</v>
      </c>
      <c r="G19" s="8">
        <v>7.0000000000000001E-3</v>
      </c>
      <c r="H19" s="8">
        <v>7.4999999999999997E-2</v>
      </c>
      <c r="I19" s="8">
        <v>1.9E-2</v>
      </c>
      <c r="J19" s="8">
        <v>0.12</v>
      </c>
      <c r="K19" s="8">
        <f t="shared" si="0"/>
        <v>0.183</v>
      </c>
      <c r="L19" s="8">
        <f t="shared" si="1"/>
        <v>33.529391000000004</v>
      </c>
      <c r="M19" s="1">
        <f t="shared" si="2"/>
        <v>50.801694675579675</v>
      </c>
      <c r="N19" s="1">
        <f t="shared" si="3"/>
        <v>2.154665426798858E+24</v>
      </c>
      <c r="O19" s="2">
        <f t="shared" si="4"/>
        <v>69.827950942264621</v>
      </c>
      <c r="P19" s="2">
        <f t="shared" si="5"/>
        <v>34.220146490634399</v>
      </c>
      <c r="Q19" s="2">
        <f t="shared" si="6"/>
        <v>-0.69075549063439468</v>
      </c>
      <c r="R19" s="2">
        <f t="shared" si="9"/>
        <v>14.247757408150836</v>
      </c>
      <c r="S19" s="12">
        <v>57.720970977752756</v>
      </c>
      <c r="T19" s="2">
        <f t="shared" si="7"/>
        <v>33.806668140757075</v>
      </c>
      <c r="U19" s="2">
        <f t="shared" si="8"/>
        <v>-0.27727714075707155</v>
      </c>
      <c r="V19" s="2">
        <f t="shared" si="10"/>
        <v>2.2957571974802731</v>
      </c>
    </row>
    <row r="20" spans="1:22" ht="15" customHeight="1" x14ac:dyDescent="0.25">
      <c r="A20" t="s">
        <v>47</v>
      </c>
      <c r="B20" s="2">
        <v>1.6E-2</v>
      </c>
      <c r="C20" s="8">
        <v>0</v>
      </c>
      <c r="D20" s="8">
        <v>14.728</v>
      </c>
      <c r="E20" s="8">
        <v>2.1999999999999999E-2</v>
      </c>
      <c r="F20" s="8">
        <v>1.1200000000000001</v>
      </c>
      <c r="G20" s="8">
        <v>7.0000000000000001E-3</v>
      </c>
      <c r="H20" s="8">
        <v>-5.1999999999999998E-2</v>
      </c>
      <c r="I20" s="8">
        <v>1.7999999999999999E-2</v>
      </c>
      <c r="J20" s="8">
        <v>0.12</v>
      </c>
      <c r="K20" s="8">
        <f t="shared" si="0"/>
        <v>0.16699999999999998</v>
      </c>
      <c r="L20" s="8">
        <f t="shared" si="1"/>
        <v>34.248400000000004</v>
      </c>
      <c r="M20" s="1">
        <f t="shared" si="2"/>
        <v>70.742434278278921</v>
      </c>
      <c r="N20" s="1">
        <f t="shared" si="3"/>
        <v>2.4648839759724769E+24</v>
      </c>
      <c r="O20" s="2">
        <f t="shared" si="4"/>
        <v>79.881449440757095</v>
      </c>
      <c r="P20" s="2">
        <f t="shared" si="5"/>
        <v>34.512229682496312</v>
      </c>
      <c r="Q20" s="2">
        <f t="shared" si="6"/>
        <v>-0.26382968249630778</v>
      </c>
      <c r="R20" s="2">
        <f t="shared" si="9"/>
        <v>2.4958263604325213</v>
      </c>
      <c r="S20" s="12">
        <v>66.067095156055515</v>
      </c>
      <c r="T20" s="2">
        <f t="shared" si="7"/>
        <v>34.099926060647491</v>
      </c>
      <c r="U20" s="2">
        <f t="shared" si="8"/>
        <v>0.14847393935251318</v>
      </c>
      <c r="V20" s="2">
        <f t="shared" si="10"/>
        <v>0.79043747236737671</v>
      </c>
    </row>
    <row r="21" spans="1:22" x14ac:dyDescent="0.25">
      <c r="A21" t="s">
        <v>48</v>
      </c>
      <c r="B21" s="2">
        <v>1.4E-2</v>
      </c>
      <c r="C21" s="8">
        <v>0</v>
      </c>
      <c r="D21" s="8">
        <v>14.499000000000001</v>
      </c>
      <c r="E21" s="8">
        <v>2.5999999999999999E-2</v>
      </c>
      <c r="F21" s="8">
        <v>0.95899999999999996</v>
      </c>
      <c r="G21" s="8">
        <v>1.7999999999999999E-2</v>
      </c>
      <c r="H21" s="8">
        <v>-8.6999999999999994E-2</v>
      </c>
      <c r="I21" s="8">
        <v>2.3E-2</v>
      </c>
      <c r="J21" s="8">
        <v>0.12</v>
      </c>
      <c r="K21" s="8">
        <f t="shared" si="0"/>
        <v>0.187</v>
      </c>
      <c r="L21" s="8">
        <f t="shared" si="1"/>
        <v>34.105283</v>
      </c>
      <c r="M21" s="1">
        <f t="shared" si="2"/>
        <v>66.230281356335922</v>
      </c>
      <c r="N21" s="1">
        <f t="shared" si="3"/>
        <v>2.154665426798858E+24</v>
      </c>
      <c r="O21" s="2">
        <f t="shared" si="4"/>
        <v>69.827950942264621</v>
      </c>
      <c r="P21" s="2">
        <f t="shared" si="5"/>
        <v>34.220146490634399</v>
      </c>
      <c r="Q21" s="2">
        <f t="shared" si="6"/>
        <v>-0.1148634906343986</v>
      </c>
      <c r="R21" s="2">
        <f t="shared" si="9"/>
        <v>0.37729478911946512</v>
      </c>
      <c r="S21" s="12">
        <v>57.720970977752756</v>
      </c>
      <c r="T21" s="2">
        <f t="shared" si="7"/>
        <v>33.806668140757075</v>
      </c>
      <c r="U21" s="2">
        <f t="shared" si="8"/>
        <v>0.29861485924292452</v>
      </c>
      <c r="V21" s="2">
        <f t="shared" si="10"/>
        <v>2.5499966873708604</v>
      </c>
    </row>
    <row r="22" spans="1:22" x14ac:dyDescent="0.25">
      <c r="A22" t="s">
        <v>49</v>
      </c>
      <c r="B22" s="2">
        <v>1.4E-2</v>
      </c>
      <c r="C22" s="8">
        <v>0</v>
      </c>
      <c r="D22" s="8">
        <v>15.317</v>
      </c>
      <c r="E22" s="8">
        <v>2.9000000000000001E-2</v>
      </c>
      <c r="F22" s="8">
        <v>0.89900000000000002</v>
      </c>
      <c r="G22" s="8">
        <v>0.01</v>
      </c>
      <c r="H22" s="8">
        <v>0.18</v>
      </c>
      <c r="I22" s="8">
        <v>2.1999999999999999E-2</v>
      </c>
      <c r="J22" s="8">
        <v>0.12</v>
      </c>
      <c r="K22" s="8">
        <f t="shared" si="0"/>
        <v>0.18099999999999999</v>
      </c>
      <c r="L22" s="8">
        <f t="shared" si="1"/>
        <v>34.078752999999999</v>
      </c>
      <c r="M22" s="1">
        <f t="shared" si="2"/>
        <v>65.426034752892662</v>
      </c>
      <c r="N22" s="1">
        <f t="shared" si="3"/>
        <v>2.154665426798858E+24</v>
      </c>
      <c r="O22" s="2">
        <f t="shared" si="4"/>
        <v>69.827950942264621</v>
      </c>
      <c r="P22" s="2">
        <f t="shared" si="5"/>
        <v>34.220146490634399</v>
      </c>
      <c r="Q22" s="2">
        <f t="shared" si="6"/>
        <v>-0.14139349063439965</v>
      </c>
      <c r="R22" s="2">
        <f t="shared" si="9"/>
        <v>0.61024142101218115</v>
      </c>
      <c r="S22" s="12">
        <v>57.720970977752756</v>
      </c>
      <c r="T22" s="2">
        <f t="shared" si="7"/>
        <v>33.806668140757075</v>
      </c>
      <c r="U22" s="2">
        <f t="shared" si="8"/>
        <v>0.27208485924292347</v>
      </c>
      <c r="V22" s="2">
        <f t="shared" si="10"/>
        <v>2.25970424068989</v>
      </c>
    </row>
    <row r="23" spans="1:22" x14ac:dyDescent="0.25">
      <c r="A23" t="s">
        <v>50</v>
      </c>
      <c r="B23" s="2">
        <v>1.4999999999999999E-2</v>
      </c>
      <c r="C23" s="8">
        <v>0</v>
      </c>
      <c r="D23" s="8">
        <v>14.842000000000001</v>
      </c>
      <c r="E23" s="8">
        <v>3.9E-2</v>
      </c>
      <c r="F23" s="8">
        <v>0.83799999999999997</v>
      </c>
      <c r="G23" s="8">
        <v>0.01</v>
      </c>
      <c r="H23" s="8">
        <v>-0.08</v>
      </c>
      <c r="I23" s="8">
        <v>2.1000000000000001E-2</v>
      </c>
      <c r="J23" s="8">
        <v>0.12</v>
      </c>
      <c r="K23" s="8">
        <f t="shared" si="0"/>
        <v>0.19</v>
      </c>
      <c r="L23" s="8">
        <f t="shared" si="1"/>
        <v>34.408586</v>
      </c>
      <c r="M23" s="1">
        <f t="shared" si="2"/>
        <v>76.158292776011223</v>
      </c>
      <c r="N23" s="1">
        <f t="shared" si="3"/>
        <v>2.3096999742613474E+24</v>
      </c>
      <c r="O23" s="2">
        <f t="shared" si="4"/>
        <v>74.852278450341132</v>
      </c>
      <c r="P23" s="2">
        <f t="shared" si="5"/>
        <v>34.371025122483545</v>
      </c>
      <c r="Q23" s="2">
        <f t="shared" si="6"/>
        <v>3.7560877516455093E-2</v>
      </c>
      <c r="R23" s="2">
        <f t="shared" si="9"/>
        <v>3.9080873124823869E-2</v>
      </c>
      <c r="S23" s="12">
        <v>61.890916250731067</v>
      </c>
      <c r="T23" s="2">
        <f t="shared" si="7"/>
        <v>33.958134560797326</v>
      </c>
      <c r="U23" s="2">
        <f t="shared" si="8"/>
        <v>0.4504514392026735</v>
      </c>
      <c r="V23" s="2">
        <f t="shared" si="10"/>
        <v>5.6206786448686943</v>
      </c>
    </row>
    <row r="24" spans="1:22" x14ac:dyDescent="0.25">
      <c r="A24" t="s">
        <v>51</v>
      </c>
      <c r="B24" s="2">
        <v>1.4E-2</v>
      </c>
      <c r="C24" s="8">
        <v>0</v>
      </c>
      <c r="D24" s="8">
        <v>14.881</v>
      </c>
      <c r="E24" s="8">
        <v>2.8000000000000001E-2</v>
      </c>
      <c r="F24" s="8">
        <v>0.99099999999999999</v>
      </c>
      <c r="G24" s="8">
        <v>2.3E-2</v>
      </c>
      <c r="H24" s="8">
        <v>8.5999999999999993E-2</v>
      </c>
      <c r="I24" s="8">
        <v>2.7E-2</v>
      </c>
      <c r="J24" s="8">
        <v>0.12</v>
      </c>
      <c r="K24" s="8">
        <f t="shared" si="0"/>
        <v>0.19800000000000001</v>
      </c>
      <c r="L24" s="8">
        <f t="shared" si="1"/>
        <v>33.950496999999999</v>
      </c>
      <c r="M24" s="1">
        <f t="shared" si="2"/>
        <v>61.673614240126895</v>
      </c>
      <c r="N24" s="1">
        <f t="shared" si="3"/>
        <v>2.154665426798858E+24</v>
      </c>
      <c r="O24" s="2">
        <f t="shared" si="4"/>
        <v>69.827950942264621</v>
      </c>
      <c r="P24" s="2">
        <f t="shared" si="5"/>
        <v>34.220146490634399</v>
      </c>
      <c r="Q24" s="2">
        <f t="shared" si="6"/>
        <v>-0.26964949063440002</v>
      </c>
      <c r="R24" s="2">
        <f t="shared" si="9"/>
        <v>1.8546793133198494</v>
      </c>
      <c r="S24" s="12">
        <v>57.720970977752756</v>
      </c>
      <c r="T24" s="2">
        <f t="shared" si="7"/>
        <v>33.806668140757075</v>
      </c>
      <c r="U24" s="2">
        <f t="shared" si="8"/>
        <v>0.1438288592429231</v>
      </c>
      <c r="V24" s="2">
        <f t="shared" si="10"/>
        <v>0.52766913455567244</v>
      </c>
    </row>
    <row r="25" spans="1:22" x14ac:dyDescent="0.25">
      <c r="A25" t="s">
        <v>52</v>
      </c>
      <c r="B25" s="2">
        <v>1.6E-2</v>
      </c>
      <c r="C25" s="8">
        <v>0</v>
      </c>
      <c r="D25" s="8">
        <v>14.596</v>
      </c>
      <c r="E25" s="8">
        <v>2.4E-2</v>
      </c>
      <c r="F25" s="8">
        <v>1.111</v>
      </c>
      <c r="G25" s="8">
        <v>1.2E-2</v>
      </c>
      <c r="H25" s="8">
        <v>2.5000000000000001E-2</v>
      </c>
      <c r="I25" s="8">
        <v>0.02</v>
      </c>
      <c r="J25" s="8">
        <v>0.12</v>
      </c>
      <c r="K25" s="8">
        <f t="shared" si="0"/>
        <v>0.17599999999999999</v>
      </c>
      <c r="L25" s="8">
        <f t="shared" si="1"/>
        <v>33.874066999999997</v>
      </c>
      <c r="M25" s="1">
        <f t="shared" si="2"/>
        <v>59.540626489037528</v>
      </c>
      <c r="N25" s="1">
        <f t="shared" si="3"/>
        <v>2.4648839759724769E+24</v>
      </c>
      <c r="O25" s="2">
        <f t="shared" si="4"/>
        <v>79.881449440757095</v>
      </c>
      <c r="P25" s="2">
        <f t="shared" si="5"/>
        <v>34.512229682496312</v>
      </c>
      <c r="Q25" s="2">
        <f t="shared" si="6"/>
        <v>-0.63816268249631491</v>
      </c>
      <c r="R25" s="2">
        <f t="shared" si="9"/>
        <v>13.147327264039658</v>
      </c>
      <c r="S25" s="12">
        <v>66.067095156055515</v>
      </c>
      <c r="T25" s="2">
        <f t="shared" si="7"/>
        <v>34.099926060647491</v>
      </c>
      <c r="U25" s="2">
        <f t="shared" si="8"/>
        <v>-0.22585906064749395</v>
      </c>
      <c r="V25" s="2">
        <f t="shared" si="10"/>
        <v>1.6468335251991333</v>
      </c>
    </row>
    <row r="26" spans="1:22" x14ac:dyDescent="0.25">
      <c r="A26" t="s">
        <v>53</v>
      </c>
      <c r="B26" s="2">
        <v>1.4999999999999999E-2</v>
      </c>
      <c r="C26" s="8">
        <v>0</v>
      </c>
      <c r="D26" s="8">
        <v>15.502000000000001</v>
      </c>
      <c r="E26" s="8">
        <v>4.2999999999999997E-2</v>
      </c>
      <c r="F26" s="8">
        <v>0.93300000000000005</v>
      </c>
      <c r="G26" s="8">
        <v>8.0000000000000002E-3</v>
      </c>
      <c r="H26" s="8">
        <v>0.17599999999999999</v>
      </c>
      <c r="I26" s="8">
        <v>2.1000000000000001E-2</v>
      </c>
      <c r="J26" s="8">
        <v>0.12</v>
      </c>
      <c r="K26" s="8">
        <f t="shared" si="0"/>
        <v>0.192</v>
      </c>
      <c r="L26" s="8">
        <f t="shared" si="1"/>
        <v>34.281271000000004</v>
      </c>
      <c r="M26" s="1">
        <f t="shared" si="2"/>
        <v>71.821455154709071</v>
      </c>
      <c r="N26" s="1">
        <f t="shared" si="3"/>
        <v>2.3096999742613474E+24</v>
      </c>
      <c r="O26" s="2">
        <f t="shared" si="4"/>
        <v>74.852278450341132</v>
      </c>
      <c r="P26" s="2">
        <f t="shared" si="5"/>
        <v>34.371025122483545</v>
      </c>
      <c r="Q26" s="2">
        <f t="shared" si="6"/>
        <v>-8.9754122483540755E-2</v>
      </c>
      <c r="R26" s="2">
        <f t="shared" si="9"/>
        <v>0.21852762865642461</v>
      </c>
      <c r="S26" s="12">
        <v>61.890916250731067</v>
      </c>
      <c r="T26" s="2">
        <f t="shared" si="7"/>
        <v>33.958134560797326</v>
      </c>
      <c r="U26" s="2">
        <f t="shared" si="8"/>
        <v>0.32313643920267765</v>
      </c>
      <c r="V26" s="2">
        <f t="shared" si="10"/>
        <v>2.8324966997771752</v>
      </c>
    </row>
    <row r="27" spans="1:22" x14ac:dyDescent="0.25">
      <c r="A27" t="s">
        <v>54</v>
      </c>
      <c r="B27" s="2">
        <v>1.4999999999999999E-2</v>
      </c>
      <c r="C27" s="8">
        <v>0</v>
      </c>
      <c r="D27" s="8">
        <v>14.801</v>
      </c>
      <c r="E27" s="8">
        <v>2.9000000000000001E-2</v>
      </c>
      <c r="F27" s="8">
        <v>1.0309999999999999</v>
      </c>
      <c r="G27" s="8">
        <v>3.3000000000000002E-2</v>
      </c>
      <c r="H27" s="8">
        <v>-3.6999999999999998E-2</v>
      </c>
      <c r="I27" s="8">
        <v>2.5999999999999999E-2</v>
      </c>
      <c r="J27" s="8">
        <v>0.12</v>
      </c>
      <c r="K27" s="8">
        <f t="shared" si="0"/>
        <v>0.20799999999999999</v>
      </c>
      <c r="L27" s="8">
        <f t="shared" si="1"/>
        <v>34.261367</v>
      </c>
      <c r="M27" s="1">
        <f t="shared" si="2"/>
        <v>71.166138255333365</v>
      </c>
      <c r="N27" s="1">
        <f t="shared" si="3"/>
        <v>2.3096999742613474E+24</v>
      </c>
      <c r="O27" s="2">
        <f t="shared" si="4"/>
        <v>74.852278450341132</v>
      </c>
      <c r="P27" s="2">
        <f t="shared" si="5"/>
        <v>34.371025122483545</v>
      </c>
      <c r="Q27" s="2">
        <f t="shared" si="6"/>
        <v>-0.10965812248354467</v>
      </c>
      <c r="R27" s="2">
        <f t="shared" si="9"/>
        <v>0.27794248859597093</v>
      </c>
      <c r="S27" s="12">
        <v>61.890916250731067</v>
      </c>
      <c r="T27" s="2">
        <f t="shared" si="7"/>
        <v>33.958134560797326</v>
      </c>
      <c r="U27" s="2">
        <f t="shared" si="8"/>
        <v>0.30323243920267373</v>
      </c>
      <c r="V27" s="2">
        <f t="shared" si="10"/>
        <v>2.125321564922412</v>
      </c>
    </row>
    <row r="28" spans="1:22" x14ac:dyDescent="0.25">
      <c r="A28" t="s">
        <v>55</v>
      </c>
      <c r="B28" s="2">
        <v>1.6E-2</v>
      </c>
      <c r="C28" s="8">
        <v>0</v>
      </c>
      <c r="D28" s="8">
        <v>15.083</v>
      </c>
      <c r="E28" s="8">
        <v>3.4000000000000002E-2</v>
      </c>
      <c r="F28" s="8">
        <v>1.0069999999999999</v>
      </c>
      <c r="G28" s="8">
        <v>1.4999999999999999E-2</v>
      </c>
      <c r="H28" s="8">
        <v>7.0999999999999994E-2</v>
      </c>
      <c r="I28" s="8">
        <v>2.1000000000000001E-2</v>
      </c>
      <c r="J28" s="8">
        <v>0.12</v>
      </c>
      <c r="K28" s="8">
        <f t="shared" si="0"/>
        <v>0.19</v>
      </c>
      <c r="L28" s="8">
        <f t="shared" si="1"/>
        <v>34.201799000000001</v>
      </c>
      <c r="M28" s="1">
        <f t="shared" si="2"/>
        <v>69.240436969306231</v>
      </c>
      <c r="N28" s="1">
        <f t="shared" si="3"/>
        <v>2.4648839759724769E+24</v>
      </c>
      <c r="O28" s="2">
        <f t="shared" si="4"/>
        <v>79.881449440757095</v>
      </c>
      <c r="P28" s="2">
        <f t="shared" si="5"/>
        <v>34.512229682496312</v>
      </c>
      <c r="Q28" s="2">
        <f t="shared" si="6"/>
        <v>-0.31043068249631034</v>
      </c>
      <c r="R28" s="2">
        <f t="shared" si="9"/>
        <v>2.6694517627458456</v>
      </c>
      <c r="S28" s="12">
        <v>66.067095156055515</v>
      </c>
      <c r="T28" s="2">
        <f t="shared" si="7"/>
        <v>34.099926060647491</v>
      </c>
      <c r="U28" s="2">
        <f t="shared" si="8"/>
        <v>0.10187293935251063</v>
      </c>
      <c r="V28" s="2">
        <f t="shared" si="10"/>
        <v>0.28748187734959302</v>
      </c>
    </row>
    <row r="29" spans="1:22" x14ac:dyDescent="0.25">
      <c r="A29" t="s">
        <v>56</v>
      </c>
      <c r="B29" s="2">
        <v>1.4999999999999999E-2</v>
      </c>
      <c r="C29" s="8">
        <v>1E-3</v>
      </c>
      <c r="D29" s="8">
        <v>15.305999999999999</v>
      </c>
      <c r="E29" s="8">
        <v>3.1E-2</v>
      </c>
      <c r="F29" s="8">
        <v>0.93300000000000005</v>
      </c>
      <c r="G29" s="8">
        <v>0.02</v>
      </c>
      <c r="H29" s="8">
        <v>0.14499999999999999</v>
      </c>
      <c r="I29" s="8">
        <v>0.02</v>
      </c>
      <c r="J29" s="8">
        <v>0.12</v>
      </c>
      <c r="K29" s="8">
        <f t="shared" si="0"/>
        <v>0.191</v>
      </c>
      <c r="L29" s="8">
        <f t="shared" si="1"/>
        <v>34.182301000000002</v>
      </c>
      <c r="M29" s="1">
        <f t="shared" si="2"/>
        <v>68.621498880735416</v>
      </c>
      <c r="N29" s="1">
        <f t="shared" si="3"/>
        <v>2.3096999742613474E+24</v>
      </c>
      <c r="O29" s="2">
        <f t="shared" si="4"/>
        <v>74.852278450341132</v>
      </c>
      <c r="P29" s="2">
        <f t="shared" si="5"/>
        <v>34.371025122483545</v>
      </c>
      <c r="Q29" s="2">
        <f t="shared" si="6"/>
        <v>-0.18872412248354209</v>
      </c>
      <c r="R29" s="2">
        <f t="shared" si="9"/>
        <v>0.97631080308058982</v>
      </c>
      <c r="S29" s="12">
        <v>61.890916250731067</v>
      </c>
      <c r="T29" s="2">
        <f t="shared" si="7"/>
        <v>33.958134560797326</v>
      </c>
      <c r="U29" s="2">
        <f t="shared" si="8"/>
        <v>0.22416643920267632</v>
      </c>
      <c r="V29" s="2">
        <f t="shared" si="10"/>
        <v>1.3774455871496718</v>
      </c>
    </row>
    <row r="30" spans="1:22" x14ac:dyDescent="0.25">
      <c r="A30" t="s">
        <v>57</v>
      </c>
      <c r="B30" s="2">
        <v>1.4999999999999999E-2</v>
      </c>
      <c r="C30" s="8">
        <v>0</v>
      </c>
      <c r="D30" s="8">
        <v>14.718999999999999</v>
      </c>
      <c r="E30" s="8">
        <v>3.9E-2</v>
      </c>
      <c r="F30" s="8">
        <v>1.1000000000000001</v>
      </c>
      <c r="G30" s="8">
        <v>3.4000000000000002E-2</v>
      </c>
      <c r="H30" s="8">
        <v>0</v>
      </c>
      <c r="I30" s="8">
        <v>2.1999999999999999E-2</v>
      </c>
      <c r="J30" s="8">
        <v>0.12</v>
      </c>
      <c r="K30" s="8">
        <f t="shared" si="0"/>
        <v>0.215</v>
      </c>
      <c r="L30" s="8">
        <f t="shared" si="1"/>
        <v>34.073700000000002</v>
      </c>
      <c r="M30" s="1">
        <f t="shared" si="2"/>
        <v>65.273965861250986</v>
      </c>
      <c r="N30" s="1">
        <f t="shared" si="3"/>
        <v>2.3096999742613474E+24</v>
      </c>
      <c r="O30" s="2">
        <f t="shared" si="4"/>
        <v>74.852278450341132</v>
      </c>
      <c r="P30" s="2">
        <f t="shared" si="5"/>
        <v>34.371025122483545</v>
      </c>
      <c r="Q30" s="2">
        <f t="shared" si="6"/>
        <v>-0.29732512248354226</v>
      </c>
      <c r="R30" s="2">
        <f t="shared" si="9"/>
        <v>1.9124332819870939</v>
      </c>
      <c r="S30" s="12">
        <v>61.890916250731067</v>
      </c>
      <c r="T30" s="2">
        <f t="shared" si="7"/>
        <v>33.958134560797326</v>
      </c>
      <c r="U30" s="2">
        <f t="shared" si="8"/>
        <v>0.11556543920267615</v>
      </c>
      <c r="V30" s="2">
        <f t="shared" si="10"/>
        <v>0.28892094620026909</v>
      </c>
    </row>
    <row r="31" spans="1:22" x14ac:dyDescent="0.25">
      <c r="A31" t="s">
        <v>58</v>
      </c>
      <c r="B31" s="2">
        <v>1.4999999999999999E-2</v>
      </c>
      <c r="C31" s="8">
        <v>0</v>
      </c>
      <c r="D31" s="8">
        <v>15.103999999999999</v>
      </c>
      <c r="E31" s="8">
        <v>3.5999999999999997E-2</v>
      </c>
      <c r="F31" s="8">
        <v>0.88</v>
      </c>
      <c r="G31" s="8">
        <v>5.0000000000000001E-3</v>
      </c>
      <c r="H31" s="8">
        <v>5.8000000000000003E-2</v>
      </c>
      <c r="I31" s="8">
        <v>1.9E-2</v>
      </c>
      <c r="J31" s="8">
        <v>0.12</v>
      </c>
      <c r="K31" s="8">
        <f t="shared" si="0"/>
        <v>0.18</v>
      </c>
      <c r="L31" s="8">
        <f t="shared" si="1"/>
        <v>34.244819999999997</v>
      </c>
      <c r="M31" s="1">
        <f t="shared" si="2"/>
        <v>70.625900786377059</v>
      </c>
      <c r="N31" s="1">
        <f t="shared" si="3"/>
        <v>2.3096999742613474E+24</v>
      </c>
      <c r="O31" s="2">
        <f t="shared" si="4"/>
        <v>74.852278450341132</v>
      </c>
      <c r="P31" s="2">
        <f t="shared" si="5"/>
        <v>34.371025122483545</v>
      </c>
      <c r="Q31" s="2">
        <f t="shared" si="6"/>
        <v>-0.12620512248354743</v>
      </c>
      <c r="R31" s="2">
        <f t="shared" si="9"/>
        <v>0.4915966957125682</v>
      </c>
      <c r="S31" s="12">
        <v>61.890916250731067</v>
      </c>
      <c r="T31" s="2">
        <f t="shared" si="7"/>
        <v>33.958134560797326</v>
      </c>
      <c r="U31" s="2">
        <f t="shared" si="8"/>
        <v>0.28668543920267098</v>
      </c>
      <c r="V31" s="2">
        <f t="shared" si="10"/>
        <v>2.5366833657663075</v>
      </c>
    </row>
    <row r="32" spans="1:22" x14ac:dyDescent="0.25">
      <c r="A32" t="s">
        <v>59</v>
      </c>
      <c r="B32" s="2">
        <v>1.6E-2</v>
      </c>
      <c r="C32" s="8">
        <v>1E-3</v>
      </c>
      <c r="D32" s="8">
        <v>14.676</v>
      </c>
      <c r="E32" s="8">
        <v>5.1999999999999998E-2</v>
      </c>
      <c r="F32" s="8">
        <v>1.0009999999999999</v>
      </c>
      <c r="G32" s="8">
        <v>8.9999999999999993E-3</v>
      </c>
      <c r="H32" s="8">
        <v>-0.107</v>
      </c>
      <c r="I32" s="8">
        <v>0.02</v>
      </c>
      <c r="J32" s="8">
        <v>0.12</v>
      </c>
      <c r="K32" s="8">
        <f t="shared" si="0"/>
        <v>0.20100000000000001</v>
      </c>
      <c r="L32" s="8">
        <f t="shared" si="1"/>
        <v>34.351056999999997</v>
      </c>
      <c r="M32" s="1">
        <f t="shared" si="2"/>
        <v>74.167117412195594</v>
      </c>
      <c r="N32" s="1">
        <f t="shared" si="3"/>
        <v>2.4648839759724769E+24</v>
      </c>
      <c r="O32" s="2">
        <f t="shared" si="4"/>
        <v>79.881449440757095</v>
      </c>
      <c r="P32" s="2">
        <f t="shared" si="5"/>
        <v>34.512229682496312</v>
      </c>
      <c r="Q32" s="2">
        <f t="shared" si="6"/>
        <v>-0.16117268249631422</v>
      </c>
      <c r="R32" s="2">
        <f t="shared" si="9"/>
        <v>0.64297006467804529</v>
      </c>
      <c r="S32" s="12">
        <v>66.067095156055515</v>
      </c>
      <c r="T32" s="2">
        <f t="shared" si="7"/>
        <v>34.099926060647491</v>
      </c>
      <c r="U32" s="2">
        <f t="shared" si="8"/>
        <v>0.25113093935250674</v>
      </c>
      <c r="V32" s="2">
        <f t="shared" si="10"/>
        <v>1.5610194970439448</v>
      </c>
    </row>
    <row r="33" spans="1:22" x14ac:dyDescent="0.25">
      <c r="A33" t="s">
        <v>60</v>
      </c>
      <c r="B33" s="2">
        <v>1.4999999999999999E-2</v>
      </c>
      <c r="C33" s="8">
        <v>0</v>
      </c>
      <c r="D33" s="8">
        <v>15.095000000000001</v>
      </c>
      <c r="E33" s="8">
        <v>7.6999999999999999E-2</v>
      </c>
      <c r="F33" s="8">
        <v>0.877</v>
      </c>
      <c r="G33" s="8">
        <v>8.6999999999999994E-2</v>
      </c>
      <c r="H33" s="8">
        <v>3.7999999999999999E-2</v>
      </c>
      <c r="I33" s="8">
        <v>2.5000000000000001E-2</v>
      </c>
      <c r="J33" s="8">
        <v>0.12</v>
      </c>
      <c r="K33" s="8">
        <f t="shared" si="0"/>
        <v>0.30899999999999994</v>
      </c>
      <c r="L33" s="8">
        <f t="shared" si="1"/>
        <v>34.297978999999998</v>
      </c>
      <c r="M33" s="1">
        <f t="shared" si="2"/>
        <v>72.376203764123289</v>
      </c>
      <c r="N33" s="1">
        <f t="shared" si="3"/>
        <v>2.3096999742613474E+24</v>
      </c>
      <c r="O33" s="2">
        <f t="shared" si="4"/>
        <v>74.852278450341132</v>
      </c>
      <c r="P33" s="2">
        <f t="shared" si="5"/>
        <v>34.371025122483545</v>
      </c>
      <c r="Q33" s="2">
        <f t="shared" si="6"/>
        <v>-7.3046122483546583E-2</v>
      </c>
      <c r="R33" s="2">
        <f t="shared" si="9"/>
        <v>5.588269927924186E-2</v>
      </c>
      <c r="S33" s="12">
        <v>61.890916250731067</v>
      </c>
      <c r="T33" s="2">
        <f t="shared" si="7"/>
        <v>33.958134560797326</v>
      </c>
      <c r="U33" s="2">
        <f t="shared" si="8"/>
        <v>0.33984443920267182</v>
      </c>
      <c r="V33" s="2">
        <f t="shared" si="10"/>
        <v>1.2096044538387589</v>
      </c>
    </row>
    <row r="34" spans="1:22" x14ac:dyDescent="0.25">
      <c r="A34" t="s">
        <v>61</v>
      </c>
      <c r="B34" s="2">
        <v>1.6E-2</v>
      </c>
      <c r="C34" s="8">
        <v>0</v>
      </c>
      <c r="D34" s="8">
        <v>15.734999999999999</v>
      </c>
      <c r="E34" s="8">
        <v>3.5000000000000003E-2</v>
      </c>
      <c r="F34" s="8">
        <v>0.84099999999999997</v>
      </c>
      <c r="G34" s="8">
        <v>0.03</v>
      </c>
      <c r="H34" s="8">
        <v>0.123</v>
      </c>
      <c r="I34" s="8">
        <v>2.3E-2</v>
      </c>
      <c r="J34" s="8">
        <v>0.12</v>
      </c>
      <c r="K34" s="8">
        <f t="shared" si="0"/>
        <v>0.20799999999999999</v>
      </c>
      <c r="L34" s="8">
        <f t="shared" si="1"/>
        <v>34.666637000000001</v>
      </c>
      <c r="M34" s="1">
        <f t="shared" si="2"/>
        <v>85.76841808253829</v>
      </c>
      <c r="N34" s="1">
        <f t="shared" si="3"/>
        <v>2.4648839759724769E+24</v>
      </c>
      <c r="O34" s="2">
        <f t="shared" si="4"/>
        <v>79.881449440757095</v>
      </c>
      <c r="P34" s="2">
        <f t="shared" si="5"/>
        <v>34.512229682496312</v>
      </c>
      <c r="Q34" s="2">
        <f t="shared" si="6"/>
        <v>0.15440731750368997</v>
      </c>
      <c r="R34" s="2">
        <f t="shared" si="9"/>
        <v>0.55107294052064826</v>
      </c>
      <c r="S34" s="12">
        <v>66.067095156055515</v>
      </c>
      <c r="T34" s="2">
        <f t="shared" si="7"/>
        <v>34.099926060647491</v>
      </c>
      <c r="U34" s="2">
        <f t="shared" si="8"/>
        <v>0.56671093935251093</v>
      </c>
      <c r="V34" s="2">
        <f t="shared" si="10"/>
        <v>7.4232916231001607</v>
      </c>
    </row>
    <row r="35" spans="1:22" x14ac:dyDescent="0.25">
      <c r="A35" t="s">
        <v>62</v>
      </c>
      <c r="B35" s="2">
        <v>1.7000000000000001E-2</v>
      </c>
      <c r="C35" s="8">
        <v>0</v>
      </c>
      <c r="D35" s="8">
        <v>15.353</v>
      </c>
      <c r="E35" s="8">
        <v>4.8000000000000001E-2</v>
      </c>
      <c r="F35" s="8">
        <v>1.0640000000000001</v>
      </c>
      <c r="G35" s="8">
        <v>0.04</v>
      </c>
      <c r="H35" s="8">
        <v>0.16200000000000001</v>
      </c>
      <c r="I35" s="8">
        <v>2.5999999999999999E-2</v>
      </c>
      <c r="J35" s="8">
        <v>0.12</v>
      </c>
      <c r="K35" s="8">
        <f t="shared" si="0"/>
        <v>0.23399999999999999</v>
      </c>
      <c r="L35" s="8">
        <f t="shared" si="1"/>
        <v>34.195348000000003</v>
      </c>
      <c r="M35" s="1">
        <f t="shared" si="2"/>
        <v>69.035043048196584</v>
      </c>
      <c r="N35" s="1">
        <f t="shared" si="3"/>
        <v>2.620217209640354E+24</v>
      </c>
      <c r="O35" s="2">
        <f t="shared" si="4"/>
        <v>84.915456709522914</v>
      </c>
      <c r="P35" s="2">
        <f t="shared" si="5"/>
        <v>34.644933748785888</v>
      </c>
      <c r="Q35" s="2">
        <f t="shared" si="6"/>
        <v>-0.44958574878588564</v>
      </c>
      <c r="R35" s="2">
        <f t="shared" si="9"/>
        <v>3.6914191232260483</v>
      </c>
      <c r="S35" s="12">
        <v>70.249501035104061</v>
      </c>
      <c r="T35" s="2">
        <f t="shared" si="7"/>
        <v>34.2332162195069</v>
      </c>
      <c r="U35" s="2">
        <f t="shared" si="8"/>
        <v>-3.786821950689756E-2</v>
      </c>
      <c r="V35" s="2">
        <f t="shared" si="10"/>
        <v>2.6188948217959258E-2</v>
      </c>
    </row>
    <row r="36" spans="1:22" x14ac:dyDescent="0.25">
      <c r="A36" t="s">
        <v>63</v>
      </c>
      <c r="B36" s="2">
        <v>1.7000000000000001E-2</v>
      </c>
      <c r="C36" s="8">
        <v>0</v>
      </c>
      <c r="D36" s="8">
        <v>14.984</v>
      </c>
      <c r="E36" s="8">
        <v>2.7E-2</v>
      </c>
      <c r="F36" s="8">
        <v>1.0009999999999999</v>
      </c>
      <c r="G36" s="8">
        <v>8.0000000000000002E-3</v>
      </c>
      <c r="H36" s="8">
        <v>-9.0999999999999998E-2</v>
      </c>
      <c r="I36" s="8">
        <v>1.9E-2</v>
      </c>
      <c r="J36" s="8">
        <v>0.12</v>
      </c>
      <c r="K36" s="8">
        <f t="shared" si="0"/>
        <v>0.17399999999999999</v>
      </c>
      <c r="L36" s="8">
        <f t="shared" si="1"/>
        <v>34.608976999999996</v>
      </c>
      <c r="M36" s="1">
        <f t="shared" si="2"/>
        <v>83.520945091792626</v>
      </c>
      <c r="N36" s="1">
        <f t="shared" si="3"/>
        <v>2.620217209640354E+24</v>
      </c>
      <c r="O36" s="2">
        <f t="shared" si="4"/>
        <v>84.915456709522914</v>
      </c>
      <c r="P36" s="2">
        <f t="shared" si="5"/>
        <v>34.644933748785888</v>
      </c>
      <c r="Q36" s="2">
        <f t="shared" si="6"/>
        <v>-3.5956748785892501E-2</v>
      </c>
      <c r="R36" s="2">
        <f t="shared" si="9"/>
        <v>4.2703388269645322E-2</v>
      </c>
      <c r="S36" s="12">
        <v>70.249501035104061</v>
      </c>
      <c r="T36" s="2">
        <f t="shared" si="7"/>
        <v>34.2332162195069</v>
      </c>
      <c r="U36" s="2">
        <f t="shared" si="8"/>
        <v>0.37576078049309558</v>
      </c>
      <c r="V36" s="2">
        <f t="shared" si="10"/>
        <v>4.6636333781470594</v>
      </c>
    </row>
    <row r="37" spans="1:22" x14ac:dyDescent="0.25">
      <c r="A37" t="s">
        <v>64</v>
      </c>
      <c r="B37" s="2">
        <v>1.7000000000000001E-2</v>
      </c>
      <c r="C37" s="8">
        <v>0</v>
      </c>
      <c r="D37" s="8">
        <v>15.464</v>
      </c>
      <c r="E37" s="8">
        <v>6.9000000000000006E-2</v>
      </c>
      <c r="F37" s="8">
        <v>0.77800000000000002</v>
      </c>
      <c r="G37" s="8">
        <v>0.183</v>
      </c>
      <c r="H37" s="8">
        <v>7.8E-2</v>
      </c>
      <c r="I37" s="8">
        <v>0.04</v>
      </c>
      <c r="J37" s="8">
        <v>0.12</v>
      </c>
      <c r="K37" s="8">
        <f t="shared" si="0"/>
        <v>0.41199999999999998</v>
      </c>
      <c r="L37" s="8">
        <f t="shared" si="1"/>
        <v>34.527225999999999</v>
      </c>
      <c r="M37" s="1">
        <f t="shared" si="2"/>
        <v>80.435024789651493</v>
      </c>
      <c r="N37" s="1">
        <f t="shared" si="3"/>
        <v>2.620217209640354E+24</v>
      </c>
      <c r="O37" s="2">
        <f t="shared" si="4"/>
        <v>84.915456709522914</v>
      </c>
      <c r="P37" s="2">
        <f t="shared" si="5"/>
        <v>34.644933748785888</v>
      </c>
      <c r="Q37" s="2">
        <f t="shared" si="6"/>
        <v>-0.11770774878588952</v>
      </c>
      <c r="R37" s="2">
        <f t="shared" si="9"/>
        <v>8.1623586838074261E-2</v>
      </c>
      <c r="S37" s="12">
        <v>70.249501035104061</v>
      </c>
      <c r="T37" s="2">
        <f t="shared" si="7"/>
        <v>34.2332162195069</v>
      </c>
      <c r="U37" s="2">
        <f t="shared" si="8"/>
        <v>0.29400978049309856</v>
      </c>
      <c r="V37" s="2">
        <f t="shared" si="10"/>
        <v>0.50924775559430679</v>
      </c>
    </row>
    <row r="38" spans="1:22" x14ac:dyDescent="0.25">
      <c r="A38" t="s">
        <v>65</v>
      </c>
      <c r="B38" s="2">
        <v>1.7999999999999999E-2</v>
      </c>
      <c r="C38" s="8">
        <v>0</v>
      </c>
      <c r="D38" s="8">
        <v>15.361000000000001</v>
      </c>
      <c r="E38" s="8">
        <v>2.9000000000000001E-2</v>
      </c>
      <c r="F38" s="8">
        <v>0.76800000000000002</v>
      </c>
      <c r="G38" s="8">
        <v>1.4E-2</v>
      </c>
      <c r="H38" s="8">
        <v>-1E-3</v>
      </c>
      <c r="I38" s="8">
        <v>2.1000000000000001E-2</v>
      </c>
      <c r="J38" s="8">
        <v>0.12</v>
      </c>
      <c r="K38" s="8">
        <f t="shared" si="0"/>
        <v>0.184</v>
      </c>
      <c r="L38" s="8">
        <f t="shared" si="1"/>
        <v>34.670026</v>
      </c>
      <c r="M38" s="1">
        <f t="shared" si="2"/>
        <v>85.90238069159642</v>
      </c>
      <c r="N38" s="1">
        <f t="shared" si="3"/>
        <v>2.7756994534137053E+24</v>
      </c>
      <c r="O38" s="2">
        <f t="shared" si="4"/>
        <v>89.954293066928443</v>
      </c>
      <c r="P38" s="2">
        <f t="shared" si="5"/>
        <v>34.770109474360396</v>
      </c>
      <c r="Q38" s="2">
        <f t="shared" si="6"/>
        <v>-0.100083474360396</v>
      </c>
      <c r="R38" s="2">
        <f t="shared" si="9"/>
        <v>0.29586193998251548</v>
      </c>
      <c r="S38" s="12">
        <v>74.438127230453844</v>
      </c>
      <c r="T38" s="2">
        <f t="shared" si="7"/>
        <v>34.358977191469435</v>
      </c>
      <c r="U38" s="2">
        <f t="shared" si="8"/>
        <v>0.31104880853056471</v>
      </c>
      <c r="V38" s="2">
        <f t="shared" si="10"/>
        <v>2.8577316070499736</v>
      </c>
    </row>
    <row r="39" spans="1:22" x14ac:dyDescent="0.25">
      <c r="A39" t="s">
        <v>66</v>
      </c>
      <c r="B39" s="2">
        <v>1.7000000000000001E-2</v>
      </c>
      <c r="C39" s="8">
        <v>0</v>
      </c>
      <c r="D39" s="8">
        <v>15.105</v>
      </c>
      <c r="E39" s="8">
        <v>6.2E-2</v>
      </c>
      <c r="F39" s="8">
        <v>0.98299999999999998</v>
      </c>
      <c r="G39" s="8">
        <v>3.5000000000000003E-2</v>
      </c>
      <c r="H39" s="8">
        <v>4.0000000000000001E-3</v>
      </c>
      <c r="I39" s="8">
        <v>2.5999999999999999E-2</v>
      </c>
      <c r="J39" s="8">
        <v>0.12</v>
      </c>
      <c r="K39" s="8">
        <f t="shared" si="0"/>
        <v>0.24299999999999999</v>
      </c>
      <c r="L39" s="8">
        <f t="shared" si="1"/>
        <v>34.429980999999998</v>
      </c>
      <c r="M39" s="1">
        <f t="shared" si="2"/>
        <v>76.912371056056344</v>
      </c>
      <c r="N39" s="1">
        <f t="shared" si="3"/>
        <v>2.620217209640354E+24</v>
      </c>
      <c r="O39" s="2">
        <f t="shared" si="4"/>
        <v>84.915456709522914</v>
      </c>
      <c r="P39" s="2">
        <f t="shared" si="5"/>
        <v>34.644933748785888</v>
      </c>
      <c r="Q39" s="2">
        <f t="shared" si="6"/>
        <v>-0.21495274878589044</v>
      </c>
      <c r="R39" s="2">
        <f t="shared" si="9"/>
        <v>0.7824803842674749</v>
      </c>
      <c r="S39" s="12">
        <v>70.249501035104061</v>
      </c>
      <c r="T39" s="2">
        <f t="shared" si="7"/>
        <v>34.2332162195069</v>
      </c>
      <c r="U39" s="2">
        <f t="shared" si="8"/>
        <v>0.19676478049309765</v>
      </c>
      <c r="V39" s="2">
        <f t="shared" si="10"/>
        <v>0.65566527532213759</v>
      </c>
    </row>
    <row r="40" spans="1:22" x14ac:dyDescent="0.25">
      <c r="A40" t="s">
        <v>67</v>
      </c>
      <c r="B40" s="2">
        <v>1.7999999999999999E-2</v>
      </c>
      <c r="C40" s="8">
        <v>0</v>
      </c>
      <c r="D40" s="8">
        <v>14.832000000000001</v>
      </c>
      <c r="E40" s="8">
        <v>3.5000000000000003E-2</v>
      </c>
      <c r="F40" s="8">
        <v>0.89200000000000002</v>
      </c>
      <c r="G40" s="8">
        <v>2.5000000000000001E-2</v>
      </c>
      <c r="H40" s="8">
        <v>-6.8000000000000005E-2</v>
      </c>
      <c r="I40" s="8">
        <v>2.3E-2</v>
      </c>
      <c r="J40" s="8">
        <v>0.12</v>
      </c>
      <c r="K40" s="8">
        <f t="shared" si="0"/>
        <v>0.20300000000000001</v>
      </c>
      <c r="L40" s="8">
        <f t="shared" si="1"/>
        <v>34.368963999999998</v>
      </c>
      <c r="M40" s="1">
        <f t="shared" si="2"/>
        <v>74.781263724673366</v>
      </c>
      <c r="N40" s="1">
        <f t="shared" si="3"/>
        <v>2.7756994534137053E+24</v>
      </c>
      <c r="O40" s="2">
        <f t="shared" si="4"/>
        <v>89.954293066928443</v>
      </c>
      <c r="P40" s="2">
        <f t="shared" si="5"/>
        <v>34.770109474360396</v>
      </c>
      <c r="Q40" s="2">
        <f t="shared" si="6"/>
        <v>-0.40114547436039771</v>
      </c>
      <c r="R40" s="2">
        <f t="shared" si="9"/>
        <v>3.9049161979137685</v>
      </c>
      <c r="S40" s="12">
        <v>74.438127230453844</v>
      </c>
      <c r="T40" s="2">
        <f t="shared" si="7"/>
        <v>34.358977191469435</v>
      </c>
      <c r="U40" s="2">
        <f t="shared" si="8"/>
        <v>9.9868085305629961E-3</v>
      </c>
      <c r="V40" s="2">
        <f t="shared" si="10"/>
        <v>2.4202563669617275E-3</v>
      </c>
    </row>
    <row r="41" spans="1:22" x14ac:dyDescent="0.25">
      <c r="A41" t="s">
        <v>68</v>
      </c>
      <c r="B41" s="2">
        <v>1.9E-2</v>
      </c>
      <c r="C41" s="8">
        <v>0</v>
      </c>
      <c r="D41" s="8">
        <v>15.909000000000001</v>
      </c>
      <c r="E41" s="8">
        <v>2.9000000000000001E-2</v>
      </c>
      <c r="F41" s="8">
        <v>0.72899999999999998</v>
      </c>
      <c r="G41" s="8">
        <v>1.4E-2</v>
      </c>
      <c r="H41" s="8">
        <v>6.6000000000000003E-2</v>
      </c>
      <c r="I41" s="8">
        <v>2.5000000000000001E-2</v>
      </c>
      <c r="J41" s="8">
        <v>0.12</v>
      </c>
      <c r="K41" s="8">
        <f t="shared" si="0"/>
        <v>0.188</v>
      </c>
      <c r="L41" s="8">
        <f t="shared" si="1"/>
        <v>35.002583000000001</v>
      </c>
      <c r="M41" s="1">
        <f t="shared" si="2"/>
        <v>100.11902232131553</v>
      </c>
      <c r="N41" s="1">
        <f t="shared" si="3"/>
        <v>2.9313304858807826E+24</v>
      </c>
      <c r="O41" s="2">
        <f t="shared" si="4"/>
        <v>94.997951337507615</v>
      </c>
      <c r="P41" s="2">
        <f t="shared" si="5"/>
        <v>34.888571198422696</v>
      </c>
      <c r="Q41" s="2">
        <f t="shared" si="6"/>
        <v>0.1140118015773055</v>
      </c>
      <c r="R41" s="2">
        <f t="shared" si="9"/>
        <v>0.36777645141757814</v>
      </c>
      <c r="S41" s="12">
        <v>78.63296708590812</v>
      </c>
      <c r="T41" s="2">
        <f t="shared" si="7"/>
        <v>34.478023316823339</v>
      </c>
      <c r="U41" s="2">
        <f t="shared" si="8"/>
        <v>0.52455968317666191</v>
      </c>
      <c r="V41" s="2">
        <f t="shared" si="10"/>
        <v>7.7852778750113147</v>
      </c>
    </row>
    <row r="42" spans="1:22" x14ac:dyDescent="0.25">
      <c r="A42" t="s">
        <v>69</v>
      </c>
      <c r="B42" s="2">
        <v>1.9E-2</v>
      </c>
      <c r="C42" s="8">
        <v>0</v>
      </c>
      <c r="D42" s="8">
        <v>15.79</v>
      </c>
      <c r="E42" s="8">
        <v>2.7E-2</v>
      </c>
      <c r="F42" s="8">
        <v>0.77100000000000002</v>
      </c>
      <c r="G42" s="8">
        <v>1.0999999999999999E-2</v>
      </c>
      <c r="H42" s="8">
        <v>-0.03</v>
      </c>
      <c r="I42" s="8">
        <v>2.4E-2</v>
      </c>
      <c r="J42" s="8">
        <v>0.12</v>
      </c>
      <c r="K42" s="8">
        <f t="shared" si="0"/>
        <v>0.182</v>
      </c>
      <c r="L42" s="8">
        <f t="shared" si="1"/>
        <v>35.190236999999996</v>
      </c>
      <c r="M42" s="1">
        <f t="shared" si="2"/>
        <v>109.15594655130438</v>
      </c>
      <c r="N42" s="1">
        <f t="shared" si="3"/>
        <v>2.9313304858807826E+24</v>
      </c>
      <c r="O42" s="2">
        <f t="shared" si="4"/>
        <v>94.997951337507615</v>
      </c>
      <c r="P42" s="2">
        <f t="shared" si="5"/>
        <v>34.888571198422696</v>
      </c>
      <c r="Q42" s="2">
        <f t="shared" si="6"/>
        <v>0.30166580157730039</v>
      </c>
      <c r="R42" s="2">
        <f t="shared" si="9"/>
        <v>2.7473208501773687</v>
      </c>
      <c r="S42" s="12">
        <v>78.63296708590812</v>
      </c>
      <c r="T42" s="2">
        <f t="shared" si="7"/>
        <v>34.478023316823339</v>
      </c>
      <c r="U42" s="2">
        <f t="shared" si="8"/>
        <v>0.71221368317665679</v>
      </c>
      <c r="V42" s="2">
        <f t="shared" si="10"/>
        <v>15.313619445237871</v>
      </c>
    </row>
    <row r="43" spans="1:22" x14ac:dyDescent="0.25">
      <c r="A43" t="s">
        <v>70</v>
      </c>
      <c r="B43" s="2">
        <v>0.02</v>
      </c>
      <c r="C43" s="8">
        <v>0</v>
      </c>
      <c r="D43" s="8">
        <v>15.664</v>
      </c>
      <c r="E43" s="8">
        <v>4.4999999999999998E-2</v>
      </c>
      <c r="F43" s="8">
        <v>0.86199999999999999</v>
      </c>
      <c r="G43" s="8">
        <v>3.4000000000000002E-2</v>
      </c>
      <c r="H43" s="8">
        <v>-3.2000000000000001E-2</v>
      </c>
      <c r="I43" s="8">
        <v>2.3E-2</v>
      </c>
      <c r="J43" s="8">
        <v>0.12</v>
      </c>
      <c r="K43" s="8">
        <f t="shared" si="0"/>
        <v>0.222</v>
      </c>
      <c r="L43" s="8">
        <f t="shared" si="1"/>
        <v>35.083874000000002</v>
      </c>
      <c r="M43" s="1">
        <f t="shared" si="2"/>
        <v>103.93810631627954</v>
      </c>
      <c r="N43" s="1">
        <f t="shared" si="3"/>
        <v>3.0871100860682811E+24</v>
      </c>
      <c r="O43" s="2">
        <f t="shared" si="4"/>
        <v>100.04642436000333</v>
      </c>
      <c r="P43" s="2">
        <f t="shared" si="5"/>
        <v>35.001007858240996</v>
      </c>
      <c r="Q43" s="2">
        <f t="shared" si="6"/>
        <v>8.2866141759005529E-2</v>
      </c>
      <c r="R43" s="2">
        <f t="shared" si="9"/>
        <v>0.13933117137455564</v>
      </c>
      <c r="S43" s="12">
        <v>82.83401394652347</v>
      </c>
      <c r="T43" s="2">
        <f t="shared" si="7"/>
        <v>34.591043533921791</v>
      </c>
      <c r="U43" s="2">
        <f t="shared" si="8"/>
        <v>0.49283046607821035</v>
      </c>
      <c r="V43" s="2">
        <f t="shared" si="10"/>
        <v>4.9282093234085309</v>
      </c>
    </row>
    <row r="44" spans="1:22" x14ac:dyDescent="0.25">
      <c r="A44" t="s">
        <v>71</v>
      </c>
      <c r="B44" s="2">
        <v>0.02</v>
      </c>
      <c r="C44" s="8">
        <v>0</v>
      </c>
      <c r="D44" s="8">
        <v>15.536</v>
      </c>
      <c r="E44" s="8">
        <v>2.3E-2</v>
      </c>
      <c r="F44" s="8">
        <v>0.84399999999999997</v>
      </c>
      <c r="G44" s="8">
        <v>7.0000000000000001E-3</v>
      </c>
      <c r="H44" s="8">
        <v>-6.7000000000000004E-2</v>
      </c>
      <c r="I44" s="8">
        <v>2.1000000000000001E-2</v>
      </c>
      <c r="J44" s="8">
        <v>0.12</v>
      </c>
      <c r="K44" s="8">
        <f t="shared" si="0"/>
        <v>0.17099999999999999</v>
      </c>
      <c r="L44" s="8">
        <f t="shared" si="1"/>
        <v>35.062777999999994</v>
      </c>
      <c r="M44" s="1">
        <f t="shared" si="2"/>
        <v>102.93322977207376</v>
      </c>
      <c r="N44" s="1">
        <f t="shared" si="3"/>
        <v>3.0871100860682811E+24</v>
      </c>
      <c r="O44" s="2">
        <f t="shared" si="4"/>
        <v>100.04642436000333</v>
      </c>
      <c r="P44" s="2">
        <f t="shared" si="5"/>
        <v>35.001007858240996</v>
      </c>
      <c r="Q44" s="2">
        <f t="shared" si="6"/>
        <v>6.177014175899842E-2</v>
      </c>
      <c r="R44" s="2">
        <f t="shared" si="9"/>
        <v>0.13048631759949253</v>
      </c>
      <c r="S44" s="12">
        <v>82.83401394652347</v>
      </c>
      <c r="T44" s="2">
        <f t="shared" si="7"/>
        <v>34.591043533921791</v>
      </c>
      <c r="U44" s="2">
        <f t="shared" si="8"/>
        <v>0.47173446607820324</v>
      </c>
      <c r="V44" s="2">
        <f t="shared" si="10"/>
        <v>7.6103213462633805</v>
      </c>
    </row>
    <row r="45" spans="1:22" x14ac:dyDescent="0.25">
      <c r="A45" t="s">
        <v>72</v>
      </c>
      <c r="B45" s="2">
        <v>2.1000000000000001E-2</v>
      </c>
      <c r="C45" s="8">
        <v>0</v>
      </c>
      <c r="D45" s="8">
        <v>15.89</v>
      </c>
      <c r="E45" s="8">
        <v>2.4E-2</v>
      </c>
      <c r="F45" s="8">
        <v>0.99299999999999999</v>
      </c>
      <c r="G45" s="8">
        <v>1.4E-2</v>
      </c>
      <c r="H45" s="8">
        <v>0.13400000000000001</v>
      </c>
      <c r="I45" s="8">
        <v>0.02</v>
      </c>
      <c r="J45" s="8">
        <v>0.12</v>
      </c>
      <c r="K45" s="8">
        <f t="shared" si="0"/>
        <v>0.17799999999999999</v>
      </c>
      <c r="L45" s="8">
        <f t="shared" si="1"/>
        <v>34.809550999999999</v>
      </c>
      <c r="M45" s="1">
        <f t="shared" si="2"/>
        <v>91.603106083433232</v>
      </c>
      <c r="N45" s="1">
        <f t="shared" si="3"/>
        <v>3.2430380334402463E+24</v>
      </c>
      <c r="O45" s="2">
        <f t="shared" si="4"/>
        <v>105.09970498733203</v>
      </c>
      <c r="P45" s="2">
        <f t="shared" si="5"/>
        <v>35.108007484872246</v>
      </c>
      <c r="Q45" s="2">
        <f t="shared" si="6"/>
        <v>-0.29845648487224707</v>
      </c>
      <c r="R45" s="2">
        <f t="shared" si="9"/>
        <v>2.8113960788504562</v>
      </c>
      <c r="S45" s="12">
        <v>87.04126115863663</v>
      </c>
      <c r="T45" s="2">
        <f t="shared" si="7"/>
        <v>34.698625874906362</v>
      </c>
      <c r="U45" s="2">
        <f t="shared" si="8"/>
        <v>0.11092512509363672</v>
      </c>
      <c r="V45" s="2">
        <f t="shared" si="10"/>
        <v>0.38834690623150353</v>
      </c>
    </row>
    <row r="46" spans="1:22" x14ac:dyDescent="0.25">
      <c r="A46" t="s">
        <v>73</v>
      </c>
      <c r="B46" s="2">
        <v>2.1000000000000001E-2</v>
      </c>
      <c r="C46" s="8">
        <v>0</v>
      </c>
      <c r="D46" s="8">
        <v>15.145</v>
      </c>
      <c r="E46" s="8">
        <v>2.1999999999999999E-2</v>
      </c>
      <c r="F46" s="8">
        <v>1.081</v>
      </c>
      <c r="G46" s="8">
        <v>1.0999999999999999E-2</v>
      </c>
      <c r="H46" s="8">
        <v>-8.5999999999999993E-2</v>
      </c>
      <c r="I46" s="8">
        <v>0.02</v>
      </c>
      <c r="J46" s="8">
        <v>0.12</v>
      </c>
      <c r="K46" s="8">
        <f t="shared" si="0"/>
        <v>0.17299999999999999</v>
      </c>
      <c r="L46" s="8">
        <f t="shared" si="1"/>
        <v>34.766086999999999</v>
      </c>
      <c r="M46" s="1">
        <f t="shared" si="2"/>
        <v>89.78781436595213</v>
      </c>
      <c r="N46" s="1">
        <f t="shared" si="3"/>
        <v>3.2430380334402463E+24</v>
      </c>
      <c r="O46" s="2">
        <f t="shared" si="4"/>
        <v>105.09970498733203</v>
      </c>
      <c r="P46" s="2">
        <f t="shared" si="5"/>
        <v>35.108007484872246</v>
      </c>
      <c r="Q46" s="2">
        <f t="shared" si="6"/>
        <v>-0.34192048487224724</v>
      </c>
      <c r="R46" s="2">
        <f t="shared" si="9"/>
        <v>3.9062320149444578</v>
      </c>
      <c r="S46" s="12">
        <v>87.04126115863663</v>
      </c>
      <c r="T46" s="2">
        <f t="shared" si="7"/>
        <v>34.698625874906362</v>
      </c>
      <c r="U46" s="2">
        <f t="shared" si="8"/>
        <v>6.7461125093636554E-2</v>
      </c>
      <c r="V46" s="2">
        <f t="shared" si="10"/>
        <v>0.1520599886030031</v>
      </c>
    </row>
    <row r="47" spans="1:22" x14ac:dyDescent="0.25">
      <c r="A47" t="s">
        <v>74</v>
      </c>
      <c r="B47" s="2">
        <v>0.02</v>
      </c>
      <c r="C47" s="8">
        <v>0</v>
      </c>
      <c r="D47" s="8">
        <v>15.779</v>
      </c>
      <c r="E47" s="8">
        <v>3.3000000000000002E-2</v>
      </c>
      <c r="F47" s="8">
        <v>0.85299999999999998</v>
      </c>
      <c r="G47" s="8">
        <v>2.5999999999999999E-2</v>
      </c>
      <c r="H47" s="8">
        <v>2.5999999999999999E-2</v>
      </c>
      <c r="I47" s="8">
        <v>2.5000000000000001E-2</v>
      </c>
      <c r="J47" s="8">
        <v>0.12</v>
      </c>
      <c r="K47" s="8">
        <f t="shared" si="0"/>
        <v>0.20399999999999999</v>
      </c>
      <c r="L47" s="8">
        <f t="shared" si="1"/>
        <v>35.016010999999999</v>
      </c>
      <c r="M47" s="1">
        <f t="shared" si="2"/>
        <v>100.74005879745931</v>
      </c>
      <c r="N47" s="1">
        <f t="shared" si="3"/>
        <v>3.0871100860682811E+24</v>
      </c>
      <c r="O47" s="2">
        <f t="shared" si="4"/>
        <v>100.04642436000333</v>
      </c>
      <c r="P47" s="2">
        <f t="shared" si="5"/>
        <v>35.001007858240996</v>
      </c>
      <c r="Q47" s="2">
        <f t="shared" si="6"/>
        <v>1.5003141759002858E-2</v>
      </c>
      <c r="R47" s="2">
        <f t="shared" si="9"/>
        <v>5.4088394521514659E-3</v>
      </c>
      <c r="S47" s="12">
        <v>82.83401394652347</v>
      </c>
      <c r="T47" s="2">
        <f t="shared" si="7"/>
        <v>34.591043533921791</v>
      </c>
      <c r="U47" s="2">
        <f t="shared" si="8"/>
        <v>0.42496746607820768</v>
      </c>
      <c r="V47" s="2">
        <f t="shared" si="10"/>
        <v>4.3396133031750441</v>
      </c>
    </row>
    <row r="48" spans="1:22" x14ac:dyDescent="0.25">
      <c r="A48" t="s">
        <v>75</v>
      </c>
      <c r="B48" s="2">
        <v>2.1999999999999999E-2</v>
      </c>
      <c r="C48" s="8">
        <v>0</v>
      </c>
      <c r="D48" s="8">
        <v>15.912000000000001</v>
      </c>
      <c r="E48" s="8">
        <v>2.5000000000000001E-2</v>
      </c>
      <c r="F48" s="8">
        <v>0.85199999999999998</v>
      </c>
      <c r="G48" s="8">
        <v>2.1999999999999999E-2</v>
      </c>
      <c r="H48" s="8">
        <v>1.0999999999999999E-2</v>
      </c>
      <c r="I48" s="8">
        <v>2.4E-2</v>
      </c>
      <c r="J48" s="8">
        <v>0.12</v>
      </c>
      <c r="K48" s="8">
        <f t="shared" si="0"/>
        <v>0.191</v>
      </c>
      <c r="L48" s="8">
        <f t="shared" si="1"/>
        <v>35.195813999999999</v>
      </c>
      <c r="M48" s="1">
        <f t="shared" si="2"/>
        <v>109.43665245601915</v>
      </c>
      <c r="N48" s="1">
        <f t="shared" si="3"/>
        <v>3.3991141078969973E+24</v>
      </c>
      <c r="O48" s="2">
        <f t="shared" si="4"/>
        <v>110.15778608654885</v>
      </c>
      <c r="P48" s="2">
        <f t="shared" si="5"/>
        <v>35.210075995174208</v>
      </c>
      <c r="Q48" s="2">
        <f t="shared" si="6"/>
        <v>-1.4261995174209119E-2</v>
      </c>
      <c r="R48" s="2">
        <f t="shared" si="9"/>
        <v>5.5756285833492561E-3</v>
      </c>
      <c r="S48" s="12">
        <v>91.254702069891636</v>
      </c>
      <c r="T48" s="2">
        <f t="shared" si="7"/>
        <v>34.801276257719024</v>
      </c>
      <c r="U48" s="2">
        <f t="shared" si="8"/>
        <v>0.39453774228097416</v>
      </c>
      <c r="V48" s="2">
        <f t="shared" si="10"/>
        <v>4.2668794738128994</v>
      </c>
    </row>
    <row r="49" spans="1:22" x14ac:dyDescent="0.25">
      <c r="A49" t="s">
        <v>76</v>
      </c>
      <c r="B49" s="2">
        <v>2.1999999999999999E-2</v>
      </c>
      <c r="C49" s="8">
        <v>1E-3</v>
      </c>
      <c r="D49" s="8">
        <v>15.757999999999999</v>
      </c>
      <c r="E49" s="8">
        <v>0.03</v>
      </c>
      <c r="F49" s="8">
        <v>1.109</v>
      </c>
      <c r="G49" s="8">
        <v>2.8000000000000001E-2</v>
      </c>
      <c r="H49" s="8">
        <v>-8.0000000000000002E-3</v>
      </c>
      <c r="I49" s="8">
        <v>2.1999999999999999E-2</v>
      </c>
      <c r="J49" s="8">
        <v>0.12</v>
      </c>
      <c r="K49" s="8">
        <f t="shared" si="0"/>
        <v>0.19999999999999998</v>
      </c>
      <c r="L49" s="8">
        <f t="shared" si="1"/>
        <v>35.139063</v>
      </c>
      <c r="M49" s="1">
        <f t="shared" si="2"/>
        <v>106.61359795451364</v>
      </c>
      <c r="N49" s="1">
        <f t="shared" si="3"/>
        <v>3.3991141078969973E+24</v>
      </c>
      <c r="O49" s="2">
        <f t="shared" si="4"/>
        <v>110.15778608654885</v>
      </c>
      <c r="P49" s="2">
        <f t="shared" si="5"/>
        <v>35.210075995174208</v>
      </c>
      <c r="Q49" s="2">
        <f t="shared" si="6"/>
        <v>-7.101299517420756E-2</v>
      </c>
      <c r="R49" s="2">
        <f t="shared" si="9"/>
        <v>0.12607113709030068</v>
      </c>
      <c r="S49" s="12">
        <v>91.254702069891636</v>
      </c>
      <c r="T49" s="2">
        <f t="shared" si="7"/>
        <v>34.801276257719024</v>
      </c>
      <c r="U49" s="2">
        <f t="shared" si="8"/>
        <v>0.33778674228097572</v>
      </c>
      <c r="V49" s="2">
        <f t="shared" si="10"/>
        <v>2.852497081519858</v>
      </c>
    </row>
    <row r="50" spans="1:22" x14ac:dyDescent="0.25">
      <c r="A50" t="s">
        <v>77</v>
      </c>
      <c r="B50" s="2">
        <v>2.1999999999999999E-2</v>
      </c>
      <c r="C50" s="8">
        <v>0</v>
      </c>
      <c r="D50" s="8">
        <v>15.739000000000001</v>
      </c>
      <c r="E50" s="8">
        <v>2.3E-2</v>
      </c>
      <c r="F50" s="8">
        <v>1.034</v>
      </c>
      <c r="G50" s="8">
        <v>1.4999999999999999E-2</v>
      </c>
      <c r="H50" s="8">
        <v>1.2999999999999999E-2</v>
      </c>
      <c r="I50" s="8">
        <v>0.02</v>
      </c>
      <c r="J50" s="8">
        <v>0.12</v>
      </c>
      <c r="K50" s="8">
        <f t="shared" si="0"/>
        <v>0.17799999999999999</v>
      </c>
      <c r="L50" s="8">
        <f t="shared" si="1"/>
        <v>35.043308000000003</v>
      </c>
      <c r="M50" s="1">
        <f t="shared" si="2"/>
        <v>102.01442828239168</v>
      </c>
      <c r="N50" s="1">
        <f t="shared" si="3"/>
        <v>3.3991141078969973E+24</v>
      </c>
      <c r="O50" s="2">
        <f t="shared" si="4"/>
        <v>110.15778608654885</v>
      </c>
      <c r="P50" s="2">
        <f t="shared" si="5"/>
        <v>35.210075995174208</v>
      </c>
      <c r="Q50" s="2">
        <f t="shared" si="6"/>
        <v>-0.16676799517420449</v>
      </c>
      <c r="R50" s="2">
        <f t="shared" si="9"/>
        <v>0.877779453807079</v>
      </c>
      <c r="S50" s="12">
        <v>91.254702069891636</v>
      </c>
      <c r="T50" s="2">
        <f t="shared" si="7"/>
        <v>34.801276257719024</v>
      </c>
      <c r="U50" s="2">
        <f t="shared" si="8"/>
        <v>0.24203174228097879</v>
      </c>
      <c r="V50" s="2">
        <f t="shared" si="10"/>
        <v>1.8488626521766869</v>
      </c>
    </row>
    <row r="51" spans="1:22" x14ac:dyDescent="0.25">
      <c r="A51" t="s">
        <v>78</v>
      </c>
      <c r="B51" s="2">
        <v>2.1999999999999999E-2</v>
      </c>
      <c r="C51" s="8">
        <v>0</v>
      </c>
      <c r="D51" s="8">
        <v>16.190999999999999</v>
      </c>
      <c r="E51" s="8">
        <v>3.3000000000000002E-2</v>
      </c>
      <c r="F51" s="8">
        <v>0.84799999999999998</v>
      </c>
      <c r="G51" s="8">
        <v>1.7999999999999999E-2</v>
      </c>
      <c r="H51" s="8">
        <v>7.9000000000000001E-2</v>
      </c>
      <c r="I51" s="8">
        <v>0.02</v>
      </c>
      <c r="J51" s="8">
        <v>0.12</v>
      </c>
      <c r="K51" s="8">
        <f t="shared" si="0"/>
        <v>0.191</v>
      </c>
      <c r="L51" s="8">
        <f t="shared" si="1"/>
        <v>35.261386000000002</v>
      </c>
      <c r="M51" s="1">
        <f t="shared" si="2"/>
        <v>112.7917149578883</v>
      </c>
      <c r="N51" s="1">
        <f t="shared" si="3"/>
        <v>3.3991141078969973E+24</v>
      </c>
      <c r="O51" s="2">
        <f t="shared" si="4"/>
        <v>110.15778608654885</v>
      </c>
      <c r="P51" s="2">
        <f t="shared" si="5"/>
        <v>35.210075995174208</v>
      </c>
      <c r="Q51" s="2">
        <f t="shared" si="6"/>
        <v>5.1310004825793953E-2</v>
      </c>
      <c r="R51" s="2">
        <f t="shared" si="9"/>
        <v>7.2166788060168269E-2</v>
      </c>
      <c r="S51" s="12">
        <v>91.254702069891636</v>
      </c>
      <c r="T51" s="2">
        <f t="shared" si="7"/>
        <v>34.801276257719024</v>
      </c>
      <c r="U51" s="2">
        <f t="shared" si="8"/>
        <v>0.46010974228097723</v>
      </c>
      <c r="V51" s="2">
        <f t="shared" si="10"/>
        <v>5.803047475175223</v>
      </c>
    </row>
    <row r="52" spans="1:22" x14ac:dyDescent="0.25">
      <c r="A52" t="s">
        <v>79</v>
      </c>
      <c r="B52" s="2">
        <v>2.1999999999999999E-2</v>
      </c>
      <c r="C52" s="8">
        <v>0</v>
      </c>
      <c r="D52" s="8">
        <v>16.003</v>
      </c>
      <c r="E52" s="8">
        <v>0.03</v>
      </c>
      <c r="F52" s="8">
        <v>1.1100000000000001</v>
      </c>
      <c r="G52" s="8">
        <v>3.9E-2</v>
      </c>
      <c r="H52" s="8">
        <v>0.16600000000000001</v>
      </c>
      <c r="I52" s="8">
        <v>2.5999999999999999E-2</v>
      </c>
      <c r="J52" s="8">
        <v>0.12</v>
      </c>
      <c r="K52" s="8">
        <f t="shared" si="0"/>
        <v>0.215</v>
      </c>
      <c r="L52" s="8">
        <f t="shared" si="1"/>
        <v>34.839590000000001</v>
      </c>
      <c r="M52" s="1">
        <f t="shared" si="2"/>
        <v>92.879100335706866</v>
      </c>
      <c r="N52" s="1">
        <f t="shared" si="3"/>
        <v>3.3991141078969973E+24</v>
      </c>
      <c r="O52" s="2">
        <f t="shared" si="4"/>
        <v>110.15778608654885</v>
      </c>
      <c r="P52" s="2">
        <f t="shared" si="5"/>
        <v>35.210075995174208</v>
      </c>
      <c r="Q52" s="2">
        <f t="shared" si="6"/>
        <v>-0.37048599517420655</v>
      </c>
      <c r="R52" s="2">
        <f t="shared" si="9"/>
        <v>2.9693861031957214</v>
      </c>
      <c r="S52" s="12">
        <v>91.254702069891636</v>
      </c>
      <c r="T52" s="2">
        <f t="shared" si="7"/>
        <v>34.801276257719024</v>
      </c>
      <c r="U52" s="2">
        <f t="shared" si="8"/>
        <v>3.8313742280976726E-2</v>
      </c>
      <c r="V52" s="2">
        <f t="shared" si="10"/>
        <v>3.1756470472106085E-2</v>
      </c>
    </row>
    <row r="53" spans="1:22" x14ac:dyDescent="0.25">
      <c r="A53" t="s">
        <v>80</v>
      </c>
      <c r="B53" s="2">
        <v>2.3E-2</v>
      </c>
      <c r="C53" s="8">
        <v>0</v>
      </c>
      <c r="D53" s="8">
        <v>16.015000000000001</v>
      </c>
      <c r="E53" s="8">
        <v>3.1E-2</v>
      </c>
      <c r="F53" s="8">
        <v>1.052</v>
      </c>
      <c r="G53" s="8">
        <v>1.4999999999999999E-2</v>
      </c>
      <c r="H53" s="8">
        <v>9.9000000000000005E-2</v>
      </c>
      <c r="I53" s="8">
        <v>2.1999999999999999E-2</v>
      </c>
      <c r="J53" s="8">
        <v>0.12</v>
      </c>
      <c r="K53" s="8">
        <f t="shared" si="0"/>
        <v>0.188</v>
      </c>
      <c r="L53" s="8">
        <f t="shared" si="1"/>
        <v>35.052773999999999</v>
      </c>
      <c r="M53" s="1">
        <f t="shared" si="2"/>
        <v>102.46010580194832</v>
      </c>
      <c r="N53" s="1">
        <f t="shared" si="3"/>
        <v>3.5553380897740484E+24</v>
      </c>
      <c r="O53" s="2">
        <f t="shared" si="4"/>
        <v>115.22066053881264</v>
      </c>
      <c r="P53" s="2">
        <f t="shared" si="5"/>
        <v>35.307651803139365</v>
      </c>
      <c r="Q53" s="2">
        <f t="shared" si="6"/>
        <v>-0.25487780313936526</v>
      </c>
      <c r="R53" s="2">
        <f t="shared" si="9"/>
        <v>1.8380119548763305</v>
      </c>
      <c r="S53" s="12">
        <v>95.474330029266582</v>
      </c>
      <c r="T53" s="2">
        <f t="shared" si="7"/>
        <v>34.899433097436074</v>
      </c>
      <c r="U53" s="2">
        <f t="shared" si="8"/>
        <v>0.15334090256392585</v>
      </c>
      <c r="V53" s="2">
        <f t="shared" si="10"/>
        <v>0.6652736645291818</v>
      </c>
    </row>
    <row r="54" spans="1:22" x14ac:dyDescent="0.25">
      <c r="A54" t="s">
        <v>81</v>
      </c>
      <c r="B54" s="2">
        <v>2.3E-2</v>
      </c>
      <c r="C54" s="8">
        <v>0</v>
      </c>
      <c r="D54" s="8">
        <v>16.486000000000001</v>
      </c>
      <c r="E54" s="8">
        <v>2.5999999999999999E-2</v>
      </c>
      <c r="F54" s="8">
        <v>0.90300000000000002</v>
      </c>
      <c r="G54" s="8">
        <v>2.9000000000000001E-2</v>
      </c>
      <c r="H54" s="8">
        <v>0.128</v>
      </c>
      <c r="I54" s="8">
        <v>2.3E-2</v>
      </c>
      <c r="J54" s="8">
        <v>0.12</v>
      </c>
      <c r="K54" s="8">
        <f t="shared" si="0"/>
        <v>0.19800000000000001</v>
      </c>
      <c r="L54" s="8">
        <f t="shared" si="1"/>
        <v>35.411101000000002</v>
      </c>
      <c r="M54" s="1">
        <f t="shared" si="2"/>
        <v>120.84263873124272</v>
      </c>
      <c r="N54" s="1">
        <f t="shared" si="3"/>
        <v>3.5553380897740484E+24</v>
      </c>
      <c r="O54" s="2">
        <f t="shared" si="4"/>
        <v>115.22066053881264</v>
      </c>
      <c r="P54" s="2">
        <f t="shared" si="5"/>
        <v>35.307651803139365</v>
      </c>
      <c r="Q54" s="2">
        <f t="shared" si="6"/>
        <v>0.10344919686063747</v>
      </c>
      <c r="R54" s="2">
        <f t="shared" si="9"/>
        <v>0.2729756231790359</v>
      </c>
      <c r="S54" s="12">
        <v>95.474330029266582</v>
      </c>
      <c r="T54" s="2">
        <f t="shared" si="7"/>
        <v>34.899433097436074</v>
      </c>
      <c r="U54" s="2">
        <f t="shared" si="8"/>
        <v>0.51166790256392858</v>
      </c>
      <c r="V54" s="2">
        <f t="shared" si="10"/>
        <v>6.6779931260628986</v>
      </c>
    </row>
    <row r="55" spans="1:22" x14ac:dyDescent="0.25">
      <c r="A55" t="s">
        <v>82</v>
      </c>
      <c r="B55" s="2">
        <v>2.1999999999999999E-2</v>
      </c>
      <c r="C55" s="8">
        <v>0</v>
      </c>
      <c r="D55" s="8">
        <v>15.981999999999999</v>
      </c>
      <c r="E55" s="8">
        <v>7.1999999999999995E-2</v>
      </c>
      <c r="F55" s="8">
        <v>0.85</v>
      </c>
      <c r="G55" s="8">
        <v>4.9000000000000002E-2</v>
      </c>
      <c r="H55" s="8">
        <v>1.0999999999999999E-2</v>
      </c>
      <c r="I55" s="8">
        <v>3.6999999999999998E-2</v>
      </c>
      <c r="J55" s="8">
        <v>0.12</v>
      </c>
      <c r="K55" s="8">
        <f t="shared" si="0"/>
        <v>0.27800000000000002</v>
      </c>
      <c r="L55" s="8">
        <f t="shared" si="1"/>
        <v>35.265519999999995</v>
      </c>
      <c r="M55" s="1">
        <f t="shared" si="2"/>
        <v>113.00664979976912</v>
      </c>
      <c r="N55" s="1">
        <f t="shared" si="3"/>
        <v>3.3991141078969973E+24</v>
      </c>
      <c r="O55" s="2">
        <f t="shared" si="4"/>
        <v>110.15778608654885</v>
      </c>
      <c r="P55" s="2">
        <f t="shared" si="5"/>
        <v>35.210075995174208</v>
      </c>
      <c r="Q55" s="2">
        <f t="shared" si="6"/>
        <v>5.5444004825787374E-2</v>
      </c>
      <c r="R55" s="2">
        <f t="shared" si="9"/>
        <v>3.9775861382976202E-2</v>
      </c>
      <c r="S55" s="12">
        <v>91.254702069891636</v>
      </c>
      <c r="T55" s="2">
        <f t="shared" si="7"/>
        <v>34.801276257719024</v>
      </c>
      <c r="U55" s="2">
        <f t="shared" si="8"/>
        <v>0.46424374228097065</v>
      </c>
      <c r="V55" s="2">
        <f t="shared" si="10"/>
        <v>2.7887046768676602</v>
      </c>
    </row>
    <row r="56" spans="1:22" x14ac:dyDescent="0.25">
      <c r="A56" t="s">
        <v>83</v>
      </c>
      <c r="B56" s="2">
        <v>2.3E-2</v>
      </c>
      <c r="C56" s="8">
        <v>2E-3</v>
      </c>
      <c r="D56" s="8">
        <v>16.009</v>
      </c>
      <c r="E56" s="8">
        <v>2.4E-2</v>
      </c>
      <c r="F56" s="8">
        <v>1.0920000000000001</v>
      </c>
      <c r="G56" s="8">
        <v>2.1999999999999999E-2</v>
      </c>
      <c r="H56" s="8">
        <v>3.5999999999999997E-2</v>
      </c>
      <c r="I56" s="8">
        <v>2.1999999999999999E-2</v>
      </c>
      <c r="J56" s="8">
        <v>0.12</v>
      </c>
      <c r="K56" s="8">
        <f t="shared" si="0"/>
        <v>0.188</v>
      </c>
      <c r="L56" s="8">
        <f t="shared" si="1"/>
        <v>35.249844000000003</v>
      </c>
      <c r="M56" s="1">
        <f t="shared" si="2"/>
        <v>112.19378506567409</v>
      </c>
      <c r="N56" s="1">
        <f t="shared" si="3"/>
        <v>3.5553380897740484E+24</v>
      </c>
      <c r="O56" s="2">
        <f t="shared" si="4"/>
        <v>115.22066053881264</v>
      </c>
      <c r="P56" s="2">
        <f t="shared" si="5"/>
        <v>35.307651803139365</v>
      </c>
      <c r="Q56" s="2">
        <f t="shared" si="6"/>
        <v>-5.7807803139361624E-2</v>
      </c>
      <c r="R56" s="2">
        <f t="shared" si="9"/>
        <v>9.4549063597758817E-2</v>
      </c>
      <c r="S56" s="12">
        <v>95.474330029266582</v>
      </c>
      <c r="T56" s="2">
        <f t="shared" si="7"/>
        <v>34.899433097436074</v>
      </c>
      <c r="U56" s="2">
        <f t="shared" si="8"/>
        <v>0.35041090256392948</v>
      </c>
      <c r="V56" s="2">
        <f t="shared" si="10"/>
        <v>3.4740776549249572</v>
      </c>
    </row>
    <row r="57" spans="1:22" x14ac:dyDescent="0.25">
      <c r="A57" t="s">
        <v>84</v>
      </c>
      <c r="B57" s="2">
        <v>2.5000000000000001E-2</v>
      </c>
      <c r="C57" s="8">
        <v>1E-3</v>
      </c>
      <c r="D57" s="8">
        <v>15.833</v>
      </c>
      <c r="E57" s="8">
        <v>2.5999999999999999E-2</v>
      </c>
      <c r="F57" s="8">
        <v>1.044</v>
      </c>
      <c r="G57" s="8">
        <v>1.9E-2</v>
      </c>
      <c r="H57" s="8">
        <v>-3.0000000000000001E-3</v>
      </c>
      <c r="I57" s="8">
        <v>0.02</v>
      </c>
      <c r="J57" s="8">
        <v>0.12</v>
      </c>
      <c r="K57" s="8">
        <f t="shared" si="0"/>
        <v>0.185</v>
      </c>
      <c r="L57" s="8">
        <f t="shared" si="1"/>
        <v>35.188857999999996</v>
      </c>
      <c r="M57" s="1">
        <f t="shared" si="2"/>
        <v>109.08664874961777</v>
      </c>
      <c r="N57" s="1">
        <f t="shared" si="3"/>
        <v>3.8682288993006393E+24</v>
      </c>
      <c r="O57" s="2">
        <f t="shared" si="4"/>
        <v>125.36076109742612</v>
      </c>
      <c r="P57" s="2">
        <f t="shared" si="5"/>
        <v>35.490808100910236</v>
      </c>
      <c r="Q57" s="2">
        <f t="shared" si="6"/>
        <v>-0.30195010091023988</v>
      </c>
      <c r="R57" s="2">
        <f t="shared" si="9"/>
        <v>2.6639551041549758</v>
      </c>
      <c r="S57" s="12">
        <v>103.93212049511982</v>
      </c>
      <c r="T57" s="2">
        <f t="shared" si="7"/>
        <v>35.08374894076762</v>
      </c>
      <c r="U57" s="2">
        <f t="shared" si="8"/>
        <v>0.10510905923237601</v>
      </c>
      <c r="V57" s="2">
        <f t="shared" si="10"/>
        <v>0.3228024640676444</v>
      </c>
    </row>
    <row r="58" spans="1:22" x14ac:dyDescent="0.25">
      <c r="A58" t="s">
        <v>85</v>
      </c>
      <c r="B58" s="2">
        <v>2.3E-2</v>
      </c>
      <c r="C58" s="8">
        <v>0</v>
      </c>
      <c r="D58" s="8">
        <v>16.193000000000001</v>
      </c>
      <c r="E58" s="8">
        <v>2.1999999999999999E-2</v>
      </c>
      <c r="F58" s="8">
        <v>0.89500000000000002</v>
      </c>
      <c r="G58" s="8">
        <v>1.2E-2</v>
      </c>
      <c r="H58" s="8">
        <v>0.08</v>
      </c>
      <c r="I58" s="8">
        <v>0.02</v>
      </c>
      <c r="J58" s="8">
        <v>0.12</v>
      </c>
      <c r="K58" s="8">
        <f t="shared" si="0"/>
        <v>0.17399999999999999</v>
      </c>
      <c r="L58" s="8">
        <f t="shared" si="1"/>
        <v>35.267164999999999</v>
      </c>
      <c r="M58" s="1">
        <f t="shared" si="2"/>
        <v>113.09229047780407</v>
      </c>
      <c r="N58" s="1">
        <f t="shared" si="3"/>
        <v>3.5553380897740484E+24</v>
      </c>
      <c r="O58" s="2">
        <f t="shared" si="4"/>
        <v>115.22066053881264</v>
      </c>
      <c r="P58" s="2">
        <f t="shared" si="5"/>
        <v>35.307651803139365</v>
      </c>
      <c r="Q58" s="2">
        <f t="shared" si="6"/>
        <v>-4.0486803139366145E-2</v>
      </c>
      <c r="R58" s="2">
        <f t="shared" si="9"/>
        <v>5.4141274555614627E-2</v>
      </c>
      <c r="S58" s="12">
        <v>95.474330029266582</v>
      </c>
      <c r="T58" s="2">
        <f t="shared" si="7"/>
        <v>34.899433097436074</v>
      </c>
      <c r="U58" s="2">
        <f t="shared" si="8"/>
        <v>0.36773190256392496</v>
      </c>
      <c r="V58" s="2">
        <f t="shared" si="10"/>
        <v>4.4664669098719783</v>
      </c>
    </row>
    <row r="59" spans="1:22" x14ac:dyDescent="0.25">
      <c r="A59" t="s">
        <v>86</v>
      </c>
      <c r="B59" s="2">
        <v>2.5000000000000001E-2</v>
      </c>
      <c r="C59" s="8">
        <v>0</v>
      </c>
      <c r="D59" s="8">
        <v>16.277999999999999</v>
      </c>
      <c r="E59" s="8">
        <v>3.9E-2</v>
      </c>
      <c r="F59" s="8">
        <v>0.83</v>
      </c>
      <c r="G59" s="8">
        <v>2.4E-2</v>
      </c>
      <c r="H59" s="8">
        <v>4.2999999999999997E-2</v>
      </c>
      <c r="I59" s="8">
        <v>2.5000000000000001E-2</v>
      </c>
      <c r="J59" s="8">
        <v>0.12</v>
      </c>
      <c r="K59" s="8">
        <f t="shared" si="0"/>
        <v>0.20799999999999999</v>
      </c>
      <c r="L59" s="8">
        <f t="shared" si="1"/>
        <v>35.458420000000004</v>
      </c>
      <c r="M59" s="1">
        <f t="shared" si="2"/>
        <v>123.50484643097693</v>
      </c>
      <c r="N59" s="1">
        <f t="shared" si="3"/>
        <v>3.8682288993006393E+24</v>
      </c>
      <c r="O59" s="2">
        <f t="shared" si="4"/>
        <v>125.36076109742612</v>
      </c>
      <c r="P59" s="2">
        <f t="shared" si="5"/>
        <v>35.490808100910236</v>
      </c>
      <c r="Q59" s="2">
        <f t="shared" si="6"/>
        <v>-3.2388100910232254E-2</v>
      </c>
      <c r="R59" s="2">
        <f t="shared" si="9"/>
        <v>2.4246234295751373E-2</v>
      </c>
      <c r="S59" s="12">
        <v>103.93212049511982</v>
      </c>
      <c r="T59" s="2">
        <f t="shared" si="7"/>
        <v>35.08374894076762</v>
      </c>
      <c r="U59" s="2">
        <f t="shared" si="8"/>
        <v>0.37467105923238364</v>
      </c>
      <c r="V59" s="2">
        <f t="shared" si="10"/>
        <v>3.2446931080417052</v>
      </c>
    </row>
    <row r="60" spans="1:22" x14ac:dyDescent="0.25">
      <c r="A60" t="s">
        <v>87</v>
      </c>
      <c r="B60" s="2">
        <v>2.4E-2</v>
      </c>
      <c r="C60" s="8">
        <v>0</v>
      </c>
      <c r="D60" s="8">
        <v>16.553999999999998</v>
      </c>
      <c r="E60" s="8">
        <v>2.9000000000000001E-2</v>
      </c>
      <c r="F60" s="8">
        <v>0.755</v>
      </c>
      <c r="G60" s="8">
        <v>1.7999999999999999E-2</v>
      </c>
      <c r="H60" s="8">
        <v>0.115</v>
      </c>
      <c r="I60" s="8">
        <v>2.1999999999999999E-2</v>
      </c>
      <c r="J60" s="8">
        <v>0.12</v>
      </c>
      <c r="K60" s="8">
        <f t="shared" si="0"/>
        <v>0.189</v>
      </c>
      <c r="L60" s="8">
        <f t="shared" si="1"/>
        <v>35.498035000000002</v>
      </c>
      <c r="M60" s="1">
        <f t="shared" si="2"/>
        <v>125.77867054143005</v>
      </c>
      <c r="N60" s="1">
        <f t="shared" si="3"/>
        <v>3.7117097598410359E+24</v>
      </c>
      <c r="O60" s="2">
        <f t="shared" si="4"/>
        <v>120.28832123935113</v>
      </c>
      <c r="P60" s="2">
        <f t="shared" si="5"/>
        <v>35.401117319262902</v>
      </c>
      <c r="Q60" s="2">
        <f t="shared" si="6"/>
        <v>9.6917680737099943E-2</v>
      </c>
      <c r="R60" s="2">
        <f t="shared" si="9"/>
        <v>0.2629555958528158</v>
      </c>
      <c r="S60" s="12">
        <v>99.700138387100452</v>
      </c>
      <c r="T60" s="2">
        <f t="shared" si="7"/>
        <v>34.99347880563613</v>
      </c>
      <c r="U60" s="2">
        <f t="shared" si="8"/>
        <v>0.50455619436387167</v>
      </c>
      <c r="V60" s="2">
        <f t="shared" si="10"/>
        <v>7.1268148503948101</v>
      </c>
    </row>
    <row r="61" spans="1:22" x14ac:dyDescent="0.25">
      <c r="A61" t="s">
        <v>88</v>
      </c>
      <c r="B61" s="2">
        <v>2.4E-2</v>
      </c>
      <c r="C61" s="8">
        <v>0</v>
      </c>
      <c r="D61" s="8">
        <v>15.914</v>
      </c>
      <c r="E61" s="8">
        <v>3.6999999999999998E-2</v>
      </c>
      <c r="F61" s="8">
        <v>1.0589999999999999</v>
      </c>
      <c r="G61" s="8">
        <v>0.01</v>
      </c>
      <c r="H61" s="8">
        <v>-0.02</v>
      </c>
      <c r="I61" s="8">
        <v>0.02</v>
      </c>
      <c r="J61" s="8">
        <v>0.12</v>
      </c>
      <c r="K61" s="8">
        <f t="shared" si="0"/>
        <v>0.187</v>
      </c>
      <c r="L61" s="8">
        <f t="shared" si="1"/>
        <v>35.325272999999996</v>
      </c>
      <c r="M61" s="1">
        <f t="shared" si="2"/>
        <v>116.15946416703835</v>
      </c>
      <c r="N61" s="1">
        <f t="shared" si="3"/>
        <v>3.7117097598410359E+24</v>
      </c>
      <c r="O61" s="2">
        <f t="shared" si="4"/>
        <v>120.28832123935113</v>
      </c>
      <c r="P61" s="2">
        <f t="shared" si="5"/>
        <v>35.401117319262902</v>
      </c>
      <c r="Q61" s="2">
        <f t="shared" si="6"/>
        <v>-7.5844319262905913E-2</v>
      </c>
      <c r="R61" s="2">
        <f t="shared" si="9"/>
        <v>0.1644988636922303</v>
      </c>
      <c r="S61" s="12">
        <v>99.700138387100452</v>
      </c>
      <c r="T61" s="2">
        <f t="shared" si="7"/>
        <v>34.99347880563613</v>
      </c>
      <c r="U61" s="2">
        <f t="shared" si="8"/>
        <v>0.33179419436386581</v>
      </c>
      <c r="V61" s="2">
        <f t="shared" si="10"/>
        <v>3.1481422806933788</v>
      </c>
    </row>
    <row r="62" spans="1:22" x14ac:dyDescent="0.25">
      <c r="A62" t="s">
        <v>89</v>
      </c>
      <c r="B62" s="2">
        <v>2.3E-2</v>
      </c>
      <c r="C62" s="8">
        <v>0</v>
      </c>
      <c r="D62" s="8">
        <v>15.606</v>
      </c>
      <c r="E62" s="8">
        <v>2.9000000000000001E-2</v>
      </c>
      <c r="F62" s="8">
        <v>1.0620000000000001</v>
      </c>
      <c r="G62" s="8">
        <v>2.4E-2</v>
      </c>
      <c r="H62" s="8">
        <v>-7.2999999999999995E-2</v>
      </c>
      <c r="I62" s="8">
        <v>2.1000000000000001E-2</v>
      </c>
      <c r="J62" s="8">
        <v>0.12</v>
      </c>
      <c r="K62" s="8">
        <f t="shared" si="0"/>
        <v>0.19400000000000001</v>
      </c>
      <c r="L62" s="8">
        <f t="shared" si="1"/>
        <v>35.183604000000003</v>
      </c>
      <c r="M62" s="1">
        <f t="shared" si="2"/>
        <v>108.82302650182643</v>
      </c>
      <c r="N62" s="1">
        <f t="shared" si="3"/>
        <v>3.5553380897740484E+24</v>
      </c>
      <c r="O62" s="2">
        <f t="shared" si="4"/>
        <v>115.22066053881264</v>
      </c>
      <c r="P62" s="2">
        <f t="shared" si="5"/>
        <v>35.307651803139365</v>
      </c>
      <c r="Q62" s="2">
        <f t="shared" si="6"/>
        <v>-0.12404780313936214</v>
      </c>
      <c r="R62" s="2">
        <f t="shared" si="9"/>
        <v>0.40886006652412432</v>
      </c>
      <c r="S62" s="12">
        <v>95.474330029266582</v>
      </c>
      <c r="T62" s="2">
        <f t="shared" si="7"/>
        <v>34.899433097436074</v>
      </c>
      <c r="U62" s="2">
        <f t="shared" si="8"/>
        <v>0.28417090256392896</v>
      </c>
      <c r="V62" s="2">
        <f t="shared" si="10"/>
        <v>2.1456345484110426</v>
      </c>
    </row>
    <row r="63" spans="1:22" x14ac:dyDescent="0.25">
      <c r="A63" t="s">
        <v>90</v>
      </c>
      <c r="B63" s="2">
        <v>2.4E-2</v>
      </c>
      <c r="C63" s="8">
        <v>1E-3</v>
      </c>
      <c r="D63" s="8">
        <v>16.074000000000002</v>
      </c>
      <c r="E63" s="8">
        <v>2.3E-2</v>
      </c>
      <c r="F63" s="8">
        <v>1.0589999999999999</v>
      </c>
      <c r="G63" s="8">
        <v>8.0000000000000002E-3</v>
      </c>
      <c r="H63" s="8">
        <v>6.7000000000000004E-2</v>
      </c>
      <c r="I63" s="8">
        <v>0.02</v>
      </c>
      <c r="J63" s="8">
        <v>0.12</v>
      </c>
      <c r="K63" s="8">
        <f t="shared" si="0"/>
        <v>0.17099999999999999</v>
      </c>
      <c r="L63" s="8">
        <f t="shared" si="1"/>
        <v>35.212963000000002</v>
      </c>
      <c r="M63" s="1">
        <f t="shared" si="2"/>
        <v>110.30433990069987</v>
      </c>
      <c r="N63" s="1">
        <f t="shared" si="3"/>
        <v>3.7117097598410359E+24</v>
      </c>
      <c r="O63" s="2">
        <f t="shared" si="4"/>
        <v>120.28832123935113</v>
      </c>
      <c r="P63" s="2">
        <f t="shared" si="5"/>
        <v>35.401117319262902</v>
      </c>
      <c r="Q63" s="2">
        <f t="shared" si="6"/>
        <v>-0.18815431926289961</v>
      </c>
      <c r="R63" s="2">
        <f t="shared" si="9"/>
        <v>1.2106989452236638</v>
      </c>
      <c r="S63" s="12">
        <v>99.700138387100452</v>
      </c>
      <c r="T63" s="2">
        <f t="shared" si="7"/>
        <v>34.99347880563613</v>
      </c>
      <c r="U63" s="2">
        <f t="shared" si="8"/>
        <v>0.21948419436387212</v>
      </c>
      <c r="V63" s="2">
        <f t="shared" si="10"/>
        <v>1.647457733167744</v>
      </c>
    </row>
    <row r="64" spans="1:22" x14ac:dyDescent="0.25">
      <c r="A64" t="s">
        <v>91</v>
      </c>
      <c r="B64" s="2">
        <v>2.4E-2</v>
      </c>
      <c r="C64" s="8">
        <v>0</v>
      </c>
      <c r="D64" s="8">
        <v>16.157</v>
      </c>
      <c r="E64" s="8">
        <v>3.4000000000000002E-2</v>
      </c>
      <c r="F64" s="8">
        <v>0.85199999999999998</v>
      </c>
      <c r="G64" s="8">
        <v>1.9E-2</v>
      </c>
      <c r="H64" s="8">
        <v>1.0999999999999999E-2</v>
      </c>
      <c r="I64" s="8">
        <v>2.1999999999999999E-2</v>
      </c>
      <c r="J64" s="8">
        <v>0.12</v>
      </c>
      <c r="K64" s="8">
        <f t="shared" si="0"/>
        <v>0.19500000000000001</v>
      </c>
      <c r="L64" s="8">
        <f t="shared" si="1"/>
        <v>35.440814000000003</v>
      </c>
      <c r="M64" s="1">
        <f t="shared" si="2"/>
        <v>122.50753459909662</v>
      </c>
      <c r="N64" s="1">
        <f t="shared" si="3"/>
        <v>3.7117097598410359E+24</v>
      </c>
      <c r="O64" s="2">
        <f t="shared" si="4"/>
        <v>120.28832123935113</v>
      </c>
      <c r="P64" s="2">
        <f t="shared" si="5"/>
        <v>35.401117319262902</v>
      </c>
      <c r="Q64" s="2">
        <f t="shared" si="6"/>
        <v>3.9696680737101531E-2</v>
      </c>
      <c r="R64" s="2">
        <f t="shared" si="9"/>
        <v>4.1441853032041225E-2</v>
      </c>
      <c r="S64" s="12">
        <v>99.700138387100452</v>
      </c>
      <c r="T64" s="2">
        <f t="shared" si="7"/>
        <v>34.99347880563613</v>
      </c>
      <c r="U64" s="2">
        <f t="shared" si="8"/>
        <v>0.44733519436387326</v>
      </c>
      <c r="V64" s="2">
        <f t="shared" si="10"/>
        <v>5.2625582147682906</v>
      </c>
    </row>
    <row r="65" spans="1:22" x14ac:dyDescent="0.25">
      <c r="A65" t="s">
        <v>92</v>
      </c>
      <c r="B65" s="2">
        <v>2.4E-2</v>
      </c>
      <c r="C65" s="8">
        <v>0</v>
      </c>
      <c r="D65" s="8">
        <v>16.765999999999998</v>
      </c>
      <c r="E65" s="8">
        <v>3.3000000000000002E-2</v>
      </c>
      <c r="F65" s="8">
        <v>0.72599999999999998</v>
      </c>
      <c r="G65" s="8">
        <v>1.4999999999999999E-2</v>
      </c>
      <c r="H65" s="8">
        <v>0.17899999999999999</v>
      </c>
      <c r="I65" s="8">
        <v>2.5000000000000001E-2</v>
      </c>
      <c r="J65" s="8">
        <v>0.12</v>
      </c>
      <c r="K65" s="8">
        <f t="shared" si="0"/>
        <v>0.193</v>
      </c>
      <c r="L65" s="8">
        <f t="shared" si="1"/>
        <v>35.505451999999998</v>
      </c>
      <c r="M65" s="1">
        <f t="shared" si="2"/>
        <v>126.20902159892788</v>
      </c>
      <c r="N65" s="1">
        <f t="shared" si="3"/>
        <v>3.7117097598410359E+24</v>
      </c>
      <c r="O65" s="2">
        <f t="shared" si="4"/>
        <v>120.28832123935113</v>
      </c>
      <c r="P65" s="2">
        <f t="shared" si="5"/>
        <v>35.401117319262902</v>
      </c>
      <c r="Q65" s="2">
        <f t="shared" si="6"/>
        <v>0.10433468073709662</v>
      </c>
      <c r="R65" s="2">
        <f t="shared" si="9"/>
        <v>0.29224208984165695</v>
      </c>
      <c r="S65" s="12">
        <v>99.700138387100452</v>
      </c>
      <c r="T65" s="2">
        <f t="shared" si="7"/>
        <v>34.99347880563613</v>
      </c>
      <c r="U65" s="2">
        <f t="shared" si="8"/>
        <v>0.51197319436386834</v>
      </c>
      <c r="V65" s="2">
        <f t="shared" si="10"/>
        <v>7.0368748623357211</v>
      </c>
    </row>
    <row r="66" spans="1:22" x14ac:dyDescent="0.25">
      <c r="A66" t="s">
        <v>93</v>
      </c>
      <c r="B66" s="2">
        <v>2.5000000000000001E-2</v>
      </c>
      <c r="C66" s="8">
        <v>0</v>
      </c>
      <c r="D66" s="8">
        <v>16.358000000000001</v>
      </c>
      <c r="E66" s="8">
        <v>5.0999999999999997E-2</v>
      </c>
      <c r="F66" s="8">
        <v>0.93600000000000005</v>
      </c>
      <c r="G66" s="8">
        <v>0.03</v>
      </c>
      <c r="H66" s="8">
        <v>0.16900000000000001</v>
      </c>
      <c r="I66" s="8">
        <v>3.1E-2</v>
      </c>
      <c r="J66" s="8">
        <v>0.12</v>
      </c>
      <c r="K66" s="8">
        <f t="shared" si="0"/>
        <v>0.23199999999999998</v>
      </c>
      <c r="L66" s="8">
        <f t="shared" si="1"/>
        <v>35.159621999999999</v>
      </c>
      <c r="M66" s="1">
        <f t="shared" si="2"/>
        <v>107.62778437903465</v>
      </c>
      <c r="N66" s="1">
        <f t="shared" si="3"/>
        <v>3.8682288993006393E+24</v>
      </c>
      <c r="O66" s="2">
        <f t="shared" si="4"/>
        <v>125.36076109742612</v>
      </c>
      <c r="P66" s="2">
        <f t="shared" si="5"/>
        <v>35.490808100910236</v>
      </c>
      <c r="Q66" s="2">
        <f t="shared" si="6"/>
        <v>-0.33118610091023726</v>
      </c>
      <c r="R66" s="2">
        <f t="shared" si="9"/>
        <v>2.0378313287032896</v>
      </c>
      <c r="S66" s="12">
        <v>103.93212049511982</v>
      </c>
      <c r="T66" s="2">
        <f t="shared" si="7"/>
        <v>35.08374894076762</v>
      </c>
      <c r="U66" s="2">
        <f t="shared" si="8"/>
        <v>7.5873059232378637E-2</v>
      </c>
      <c r="V66" s="2">
        <f t="shared" si="10"/>
        <v>0.10695453918846683</v>
      </c>
    </row>
    <row r="67" spans="1:22" x14ac:dyDescent="0.25">
      <c r="A67" t="s">
        <v>94</v>
      </c>
      <c r="B67" s="2">
        <v>2.5000000000000001E-2</v>
      </c>
      <c r="C67" s="8">
        <v>0</v>
      </c>
      <c r="D67" s="8">
        <v>16.271000000000001</v>
      </c>
      <c r="E67" s="8">
        <v>4.2999999999999997E-2</v>
      </c>
      <c r="F67" s="8">
        <v>0.82</v>
      </c>
      <c r="G67" s="8">
        <v>2.1999999999999999E-2</v>
      </c>
      <c r="H67" s="8">
        <v>-1.2E-2</v>
      </c>
      <c r="I67" s="8">
        <v>2.9000000000000001E-2</v>
      </c>
      <c r="J67" s="8">
        <v>0.12</v>
      </c>
      <c r="K67" s="8">
        <f t="shared" si="0"/>
        <v>0.214</v>
      </c>
      <c r="L67" s="8">
        <f t="shared" si="1"/>
        <v>35.622100000000003</v>
      </c>
      <c r="M67" s="1">
        <f t="shared" si="2"/>
        <v>133.17417038297521</v>
      </c>
      <c r="N67" s="1">
        <f t="shared" si="3"/>
        <v>3.8682288993006393E+24</v>
      </c>
      <c r="O67" s="2">
        <f t="shared" si="4"/>
        <v>125.36076109742612</v>
      </c>
      <c r="P67" s="2">
        <f t="shared" si="5"/>
        <v>35.490808100910236</v>
      </c>
      <c r="Q67" s="2">
        <f t="shared" si="6"/>
        <v>0.13129189908976713</v>
      </c>
      <c r="R67" s="2">
        <f t="shared" si="9"/>
        <v>0.3763988725346667</v>
      </c>
      <c r="S67" s="12">
        <v>103.93212049511982</v>
      </c>
      <c r="T67" s="2">
        <f t="shared" si="7"/>
        <v>35.08374894076762</v>
      </c>
      <c r="U67" s="2">
        <f t="shared" si="8"/>
        <v>0.53835105923238302</v>
      </c>
      <c r="V67" s="2">
        <f t="shared" si="10"/>
        <v>6.3285409856019914</v>
      </c>
    </row>
    <row r="68" spans="1:22" x14ac:dyDescent="0.25">
      <c r="A68" t="s">
        <v>95</v>
      </c>
      <c r="B68" s="2">
        <v>2.5000000000000001E-2</v>
      </c>
      <c r="C68" s="8">
        <v>2E-3</v>
      </c>
      <c r="D68" s="8">
        <v>16.355</v>
      </c>
      <c r="E68" s="8">
        <v>4.1000000000000002E-2</v>
      </c>
      <c r="F68" s="8">
        <v>0.95</v>
      </c>
      <c r="G68" s="8">
        <v>3.3000000000000002E-2</v>
      </c>
      <c r="H68" s="8">
        <v>0.18</v>
      </c>
      <c r="I68" s="8">
        <v>3.6999999999999998E-2</v>
      </c>
      <c r="J68" s="8">
        <v>0.12</v>
      </c>
      <c r="K68" s="8">
        <f t="shared" si="0"/>
        <v>0.23100000000000001</v>
      </c>
      <c r="L68" s="8">
        <f t="shared" si="1"/>
        <v>35.124250000000004</v>
      </c>
      <c r="M68" s="1">
        <f t="shared" si="2"/>
        <v>105.88879350750462</v>
      </c>
      <c r="N68" s="1">
        <f t="shared" si="3"/>
        <v>3.8682288993006393E+24</v>
      </c>
      <c r="O68" s="2">
        <f t="shared" si="4"/>
        <v>125.36076109742612</v>
      </c>
      <c r="P68" s="2">
        <f t="shared" si="5"/>
        <v>35.490808100910236</v>
      </c>
      <c r="Q68" s="2">
        <f t="shared" si="6"/>
        <v>-0.36655810091023255</v>
      </c>
      <c r="R68" s="2">
        <f t="shared" si="9"/>
        <v>2.5180345447595851</v>
      </c>
      <c r="S68" s="12">
        <v>103.93212049511982</v>
      </c>
      <c r="T68" s="2">
        <f t="shared" si="7"/>
        <v>35.08374894076762</v>
      </c>
      <c r="U68" s="2">
        <f t="shared" si="8"/>
        <v>4.0501059232383341E-2</v>
      </c>
      <c r="V68" s="2">
        <f t="shared" si="10"/>
        <v>3.0740349673825895E-2</v>
      </c>
    </row>
    <row r="69" spans="1:22" x14ac:dyDescent="0.25">
      <c r="A69" t="s">
        <v>96</v>
      </c>
      <c r="B69" s="2">
        <v>2.7E-2</v>
      </c>
      <c r="C69" s="8">
        <v>0</v>
      </c>
      <c r="D69" s="8">
        <v>16.18</v>
      </c>
      <c r="E69" s="8">
        <v>2.4E-2</v>
      </c>
      <c r="F69" s="8">
        <v>1.0449999999999999</v>
      </c>
      <c r="G69" s="8">
        <v>1.6E-2</v>
      </c>
      <c r="H69" s="8">
        <v>-0.01</v>
      </c>
      <c r="I69" s="8">
        <v>2.1000000000000001E-2</v>
      </c>
      <c r="J69" s="8">
        <v>0.12</v>
      </c>
      <c r="K69" s="8">
        <f t="shared" si="0"/>
        <v>0.18099999999999999</v>
      </c>
      <c r="L69" s="8">
        <f t="shared" si="1"/>
        <v>35.557915000000001</v>
      </c>
      <c r="M69" s="1">
        <f t="shared" si="2"/>
        <v>129.29537794920287</v>
      </c>
      <c r="N69" s="1">
        <f t="shared" si="3"/>
        <v>4.1817087133672496E+24</v>
      </c>
      <c r="O69" s="2">
        <f t="shared" si="4"/>
        <v>135.51994999319567</v>
      </c>
      <c r="P69" s="2">
        <f t="shared" si="5"/>
        <v>35.660016163660906</v>
      </c>
      <c r="Q69" s="2">
        <f t="shared" si="6"/>
        <v>-0.1021011636609046</v>
      </c>
      <c r="R69" s="2">
        <f t="shared" si="9"/>
        <v>0.31820297368550493</v>
      </c>
      <c r="S69" s="12">
        <v>112.41457937571926</v>
      </c>
      <c r="T69" s="2">
        <f t="shared" si="7"/>
        <v>35.254113199039573</v>
      </c>
      <c r="U69" s="2">
        <f t="shared" si="8"/>
        <v>0.30380180096042864</v>
      </c>
      <c r="V69" s="2">
        <f t="shared" si="10"/>
        <v>2.8172380045419829</v>
      </c>
    </row>
    <row r="70" spans="1:22" x14ac:dyDescent="0.25">
      <c r="A70" t="s">
        <v>97</v>
      </c>
      <c r="B70" s="2">
        <v>2.8000000000000001E-2</v>
      </c>
      <c r="C70" s="8">
        <v>0</v>
      </c>
      <c r="D70" s="8">
        <v>16.097000000000001</v>
      </c>
      <c r="E70" s="8">
        <v>3.2000000000000001E-2</v>
      </c>
      <c r="F70" s="8">
        <v>1.079</v>
      </c>
      <c r="G70" s="8">
        <v>8.4000000000000005E-2</v>
      </c>
      <c r="H70" s="8">
        <v>-6.3E-2</v>
      </c>
      <c r="I70" s="8">
        <v>3.5000000000000003E-2</v>
      </c>
      <c r="J70" s="8">
        <v>0.12</v>
      </c>
      <c r="K70" s="8">
        <f t="shared" si="0"/>
        <v>0.27100000000000002</v>
      </c>
      <c r="L70" s="8">
        <f t="shared" si="1"/>
        <v>35.645803000000001</v>
      </c>
      <c r="M70" s="1">
        <f t="shared" si="2"/>
        <v>134.63581387424148</v>
      </c>
      <c r="N70" s="1">
        <f t="shared" si="3"/>
        <v>4.3386689525352566E+24</v>
      </c>
      <c r="O70" s="2">
        <f t="shared" si="4"/>
        <v>140.60668491927328</v>
      </c>
      <c r="P70" s="2">
        <f t="shared" si="5"/>
        <v>35.740029845045513</v>
      </c>
      <c r="Q70" s="2">
        <f t="shared" si="6"/>
        <v>-9.4226845045511709E-2</v>
      </c>
      <c r="R70" s="2">
        <f t="shared" si="9"/>
        <v>0.12089566219456263</v>
      </c>
      <c r="S70" s="12">
        <v>116.66504285893015</v>
      </c>
      <c r="T70" s="2">
        <f t="shared" si="7"/>
        <v>35.334703724625321</v>
      </c>
      <c r="U70" s="2">
        <f t="shared" si="8"/>
        <v>0.31109927537467996</v>
      </c>
      <c r="V70" s="2">
        <f t="shared" si="10"/>
        <v>1.3178300831776657</v>
      </c>
    </row>
    <row r="71" spans="1:22" x14ac:dyDescent="0.25">
      <c r="A71" t="s">
        <v>98</v>
      </c>
      <c r="B71" s="2">
        <v>2.5000000000000001E-2</v>
      </c>
      <c r="C71" s="8">
        <v>0</v>
      </c>
      <c r="D71" s="8">
        <v>15.85</v>
      </c>
      <c r="E71" s="8">
        <v>3.7999999999999999E-2</v>
      </c>
      <c r="F71" s="8">
        <v>0.93799999999999994</v>
      </c>
      <c r="G71" s="8">
        <v>1.7999999999999999E-2</v>
      </c>
      <c r="H71" s="8">
        <v>3.0000000000000001E-3</v>
      </c>
      <c r="I71" s="8">
        <v>2.1999999999999999E-2</v>
      </c>
      <c r="J71" s="8">
        <v>0.12</v>
      </c>
      <c r="K71" s="8">
        <f t="shared" ref="K71:K134" si="11">PeakMagnitudeError+StretchError+ColorError+ScatterError</f>
        <v>0.19799999999999998</v>
      </c>
      <c r="L71" s="8">
        <f t="shared" ref="L71:L134" si="12">PeakMagnitude+α*(Stretch-1)-β*Color-Mb</f>
        <v>35.171495999999998</v>
      </c>
      <c r="M71" s="1">
        <f t="shared" ref="M71:M134" si="13">10^((ObservedDistanceModuli-25)/5)</f>
        <v>108.2179244030648</v>
      </c>
      <c r="N71" s="1">
        <f t="shared" ref="N71:N134" si="14">(RedShift*Age*(2*InitialTangentVelocity-UniverseAcceleration*Age))/(2+RedShift)*(1+RedShift)</f>
        <v>3.8682288993006393E+24</v>
      </c>
      <c r="O71" s="2">
        <f t="shared" ref="O71:O134" si="15">N71/Mpc</f>
        <v>125.36076109742612</v>
      </c>
      <c r="P71" s="2">
        <f t="shared" ref="P71:P134" si="16">(LOG10(T2LuminousDistance)*5+25)</f>
        <v>35.490808100910236</v>
      </c>
      <c r="Q71" s="2">
        <f t="shared" ref="Q71:Q134" si="17">ObservedDistanceModuli-T2DistanceModuli</f>
        <v>-0.31931210091023843</v>
      </c>
      <c r="R71" s="2">
        <f t="shared" ref="R71:R134" si="18">(ObservedDistanceModuli-T2DistanceModuli)^2/TotalError^2</f>
        <v>2.6007605802395242</v>
      </c>
      <c r="S71" s="12">
        <v>103.93212049511982</v>
      </c>
      <c r="T71" s="2">
        <f t="shared" ref="T71:T134" si="19">(LOG10(ΛCDMLuminousDistance)*5+25)</f>
        <v>35.08374894076762</v>
      </c>
      <c r="U71" s="2">
        <f t="shared" ref="U71:U134" si="20">ObservedDistanceModuli-ΛCDMDistanceModuli</f>
        <v>8.7747059232377467E-2</v>
      </c>
      <c r="V71" s="2">
        <f t="shared" ref="V71:V134" si="21">(ObservedDistanceModuli-ΛCDMDistanceModuli)^2/TotalError^2</f>
        <v>0.19639695959418324</v>
      </c>
    </row>
    <row r="72" spans="1:22" x14ac:dyDescent="0.25">
      <c r="A72" t="s">
        <v>99</v>
      </c>
      <c r="B72" s="2">
        <v>2.7E-2</v>
      </c>
      <c r="C72" s="8">
        <v>0</v>
      </c>
      <c r="D72" s="8">
        <v>15.933999999999999</v>
      </c>
      <c r="E72" s="8">
        <v>0.03</v>
      </c>
      <c r="F72" s="8">
        <v>0.95</v>
      </c>
      <c r="G72" s="8">
        <v>1.2E-2</v>
      </c>
      <c r="H72" s="8">
        <v>-7.8E-2</v>
      </c>
      <c r="I72" s="8">
        <v>2.1000000000000001E-2</v>
      </c>
      <c r="J72" s="8">
        <v>0.12</v>
      </c>
      <c r="K72" s="8">
        <f t="shared" si="11"/>
        <v>0.183</v>
      </c>
      <c r="L72" s="8">
        <f t="shared" si="12"/>
        <v>35.51079</v>
      </c>
      <c r="M72" s="1">
        <f t="shared" si="13"/>
        <v>126.51965529429147</v>
      </c>
      <c r="N72" s="1">
        <f t="shared" si="14"/>
        <v>4.1817087133672496E+24</v>
      </c>
      <c r="O72" s="2">
        <f t="shared" si="15"/>
        <v>135.51994999319567</v>
      </c>
      <c r="P72" s="2">
        <f t="shared" si="16"/>
        <v>35.660016163660906</v>
      </c>
      <c r="Q72" s="2">
        <f t="shared" si="17"/>
        <v>-0.1492261636609058</v>
      </c>
      <c r="R72" s="2">
        <f t="shared" si="18"/>
        <v>0.66494812986208729</v>
      </c>
      <c r="S72" s="12">
        <v>112.41457937571926</v>
      </c>
      <c r="T72" s="2">
        <f t="shared" si="19"/>
        <v>35.254113199039573</v>
      </c>
      <c r="U72" s="2">
        <f t="shared" si="20"/>
        <v>0.25667680096042744</v>
      </c>
      <c r="V72" s="2">
        <f t="shared" si="21"/>
        <v>1.9673021037140221</v>
      </c>
    </row>
    <row r="73" spans="1:22" x14ac:dyDescent="0.25">
      <c r="A73" t="s">
        <v>100</v>
      </c>
      <c r="B73" s="2">
        <v>2.7E-2</v>
      </c>
      <c r="C73" s="8">
        <v>1E-3</v>
      </c>
      <c r="D73" s="8">
        <v>17.146000000000001</v>
      </c>
      <c r="E73" s="8">
        <v>2.1999999999999999E-2</v>
      </c>
      <c r="F73" s="8">
        <v>0.76800000000000002</v>
      </c>
      <c r="G73" s="8">
        <v>8.9999999999999993E-3</v>
      </c>
      <c r="H73" s="8">
        <v>0.16700000000000001</v>
      </c>
      <c r="I73" s="8">
        <v>2.1000000000000001E-2</v>
      </c>
      <c r="J73" s="8">
        <v>0.12</v>
      </c>
      <c r="K73" s="8">
        <f t="shared" si="11"/>
        <v>0.17199999999999999</v>
      </c>
      <c r="L73" s="8">
        <f t="shared" si="12"/>
        <v>35.929186000000001</v>
      </c>
      <c r="M73" s="1">
        <f t="shared" si="13"/>
        <v>153.40418227771059</v>
      </c>
      <c r="N73" s="1">
        <f t="shared" si="14"/>
        <v>4.1817087133672496E+24</v>
      </c>
      <c r="O73" s="2">
        <f t="shared" si="15"/>
        <v>135.51994999319567</v>
      </c>
      <c r="P73" s="2">
        <f t="shared" si="16"/>
        <v>35.660016163660906</v>
      </c>
      <c r="Q73" s="2">
        <f t="shared" si="17"/>
        <v>0.26916983633909553</v>
      </c>
      <c r="R73" s="2">
        <f t="shared" si="18"/>
        <v>2.4490400484997119</v>
      </c>
      <c r="S73" s="12">
        <v>112.41457937571926</v>
      </c>
      <c r="T73" s="2">
        <f t="shared" si="19"/>
        <v>35.254113199039573</v>
      </c>
      <c r="U73" s="2">
        <f t="shared" si="20"/>
        <v>0.67507280096042876</v>
      </c>
      <c r="V73" s="2">
        <f t="shared" si="21"/>
        <v>15.404383673491035</v>
      </c>
    </row>
    <row r="74" spans="1:22" x14ac:dyDescent="0.25">
      <c r="A74" t="s">
        <v>101</v>
      </c>
      <c r="B74" s="2">
        <v>2.7E-2</v>
      </c>
      <c r="C74" s="8">
        <v>0</v>
      </c>
      <c r="D74" s="8">
        <v>16.044</v>
      </c>
      <c r="E74" s="8">
        <v>2.5999999999999999E-2</v>
      </c>
      <c r="F74" s="8">
        <v>1.1819999999999999</v>
      </c>
      <c r="G74" s="8">
        <v>1.4E-2</v>
      </c>
      <c r="H74" s="8">
        <v>2.9000000000000001E-2</v>
      </c>
      <c r="I74" s="8">
        <v>2.5999999999999999E-2</v>
      </c>
      <c r="J74" s="8">
        <v>0.12</v>
      </c>
      <c r="K74" s="8">
        <f t="shared" si="11"/>
        <v>0.186</v>
      </c>
      <c r="L74" s="8">
        <f t="shared" si="12"/>
        <v>35.319984000000005</v>
      </c>
      <c r="M74" s="1">
        <f t="shared" si="13"/>
        <v>115.87688179994919</v>
      </c>
      <c r="N74" s="1">
        <f t="shared" si="14"/>
        <v>4.1817087133672496E+24</v>
      </c>
      <c r="O74" s="2">
        <f t="shared" si="15"/>
        <v>135.51994999319567</v>
      </c>
      <c r="P74" s="2">
        <f t="shared" si="16"/>
        <v>35.660016163660906</v>
      </c>
      <c r="Q74" s="2">
        <f t="shared" si="17"/>
        <v>-0.34003216366090072</v>
      </c>
      <c r="R74" s="2">
        <f t="shared" si="18"/>
        <v>3.3420589757172383</v>
      </c>
      <c r="S74" s="12">
        <v>112.41457937571926</v>
      </c>
      <c r="T74" s="2">
        <f t="shared" si="19"/>
        <v>35.254113199039573</v>
      </c>
      <c r="U74" s="2">
        <f t="shared" si="20"/>
        <v>6.5870800960432518E-2</v>
      </c>
      <c r="V74" s="2">
        <f t="shared" si="21"/>
        <v>0.12541803732133533</v>
      </c>
    </row>
    <row r="75" spans="1:22" x14ac:dyDescent="0.25">
      <c r="A75" t="s">
        <v>102</v>
      </c>
      <c r="B75" s="2">
        <v>2.7E-2</v>
      </c>
      <c r="C75" s="8">
        <v>0</v>
      </c>
      <c r="D75" s="8">
        <v>16.491</v>
      </c>
      <c r="E75" s="8">
        <v>3.6999999999999998E-2</v>
      </c>
      <c r="F75" s="8">
        <v>0.96399999999999997</v>
      </c>
      <c r="G75" s="8">
        <v>0.01</v>
      </c>
      <c r="H75" s="8">
        <v>9.8000000000000004E-2</v>
      </c>
      <c r="I75" s="8">
        <v>1.9E-2</v>
      </c>
      <c r="J75" s="8">
        <v>0.12</v>
      </c>
      <c r="K75" s="8">
        <f t="shared" si="11"/>
        <v>0.186</v>
      </c>
      <c r="L75" s="8">
        <f t="shared" si="12"/>
        <v>35.518968000000001</v>
      </c>
      <c r="M75" s="1">
        <f t="shared" si="13"/>
        <v>126.99704038047254</v>
      </c>
      <c r="N75" s="1">
        <f t="shared" si="14"/>
        <v>4.1817087133672496E+24</v>
      </c>
      <c r="O75" s="2">
        <f t="shared" si="15"/>
        <v>135.51994999319567</v>
      </c>
      <c r="P75" s="2">
        <f t="shared" si="16"/>
        <v>35.660016163660906</v>
      </c>
      <c r="Q75" s="2">
        <f t="shared" si="17"/>
        <v>-0.14104816366090489</v>
      </c>
      <c r="R75" s="2">
        <f t="shared" si="18"/>
        <v>0.57505447080915162</v>
      </c>
      <c r="S75" s="12">
        <v>112.41457937571926</v>
      </c>
      <c r="T75" s="2">
        <f t="shared" si="19"/>
        <v>35.254113199039573</v>
      </c>
      <c r="U75" s="2">
        <f t="shared" si="20"/>
        <v>0.26485480096042835</v>
      </c>
      <c r="V75" s="2">
        <f t="shared" si="21"/>
        <v>2.0276351483347241</v>
      </c>
    </row>
    <row r="76" spans="1:22" x14ac:dyDescent="0.25">
      <c r="A76" t="s">
        <v>103</v>
      </c>
      <c r="B76" s="2">
        <v>2.8000000000000001E-2</v>
      </c>
      <c r="C76" s="8">
        <v>0</v>
      </c>
      <c r="D76" s="8">
        <v>16.088999999999999</v>
      </c>
      <c r="E76" s="8">
        <v>0.03</v>
      </c>
      <c r="F76" s="8">
        <v>0.98199999999999998</v>
      </c>
      <c r="G76" s="8">
        <v>1.9E-2</v>
      </c>
      <c r="H76" s="8">
        <v>6.6000000000000003E-2</v>
      </c>
      <c r="I76" s="8">
        <v>2.5000000000000001E-2</v>
      </c>
      <c r="J76" s="8">
        <v>0.12</v>
      </c>
      <c r="K76" s="8">
        <f t="shared" si="11"/>
        <v>0.19400000000000001</v>
      </c>
      <c r="L76" s="8">
        <f t="shared" si="12"/>
        <v>35.219774000000001</v>
      </c>
      <c r="M76" s="1">
        <f t="shared" si="13"/>
        <v>110.65086160575582</v>
      </c>
      <c r="N76" s="1">
        <f t="shared" si="14"/>
        <v>4.3386689525352566E+24</v>
      </c>
      <c r="O76" s="2">
        <f t="shared" si="15"/>
        <v>140.60668491927328</v>
      </c>
      <c r="P76" s="2">
        <f t="shared" si="16"/>
        <v>35.740029845045513</v>
      </c>
      <c r="Q76" s="2">
        <f t="shared" si="17"/>
        <v>-0.52025584504551148</v>
      </c>
      <c r="R76" s="2">
        <f t="shared" si="18"/>
        <v>7.191682014667319</v>
      </c>
      <c r="S76" s="12">
        <v>116.66504285893015</v>
      </c>
      <c r="T76" s="2">
        <f t="shared" si="19"/>
        <v>35.334703724625321</v>
      </c>
      <c r="U76" s="2">
        <f t="shared" si="20"/>
        <v>-0.11492972462531981</v>
      </c>
      <c r="V76" s="2">
        <f t="shared" si="21"/>
        <v>0.35096295043181641</v>
      </c>
    </row>
    <row r="77" spans="1:22" x14ac:dyDescent="0.25">
      <c r="A77" t="s">
        <v>104</v>
      </c>
      <c r="B77" s="2">
        <v>2.8000000000000001E-2</v>
      </c>
      <c r="C77" s="8">
        <v>0</v>
      </c>
      <c r="D77" s="8">
        <v>16.699000000000002</v>
      </c>
      <c r="E77" s="8">
        <v>2.4E-2</v>
      </c>
      <c r="F77" s="8">
        <v>1.0620000000000001</v>
      </c>
      <c r="G77" s="8">
        <v>5.7000000000000002E-2</v>
      </c>
      <c r="H77" s="8">
        <v>0.13900000000000001</v>
      </c>
      <c r="I77" s="8">
        <v>2.1999999999999999E-2</v>
      </c>
      <c r="J77" s="8">
        <v>0.12</v>
      </c>
      <c r="K77" s="8">
        <f t="shared" si="11"/>
        <v>0.223</v>
      </c>
      <c r="L77" s="8">
        <f t="shared" si="12"/>
        <v>35.613044000000002</v>
      </c>
      <c r="M77" s="1">
        <f t="shared" si="13"/>
        <v>132.61993172687821</v>
      </c>
      <c r="N77" s="1">
        <f t="shared" si="14"/>
        <v>4.3386689525352566E+24</v>
      </c>
      <c r="O77" s="2">
        <f t="shared" si="15"/>
        <v>140.60668491927328</v>
      </c>
      <c r="P77" s="2">
        <f t="shared" si="16"/>
        <v>35.740029845045513</v>
      </c>
      <c r="Q77" s="2">
        <f t="shared" si="17"/>
        <v>-0.12698584504551036</v>
      </c>
      <c r="R77" s="2">
        <f t="shared" si="18"/>
        <v>0.3242656164797677</v>
      </c>
      <c r="S77" s="12">
        <v>116.66504285893015</v>
      </c>
      <c r="T77" s="2">
        <f t="shared" si="19"/>
        <v>35.334703724625321</v>
      </c>
      <c r="U77" s="2">
        <f t="shared" si="20"/>
        <v>0.27834027537468131</v>
      </c>
      <c r="V77" s="2">
        <f t="shared" si="21"/>
        <v>1.5579100503861614</v>
      </c>
    </row>
    <row r="78" spans="1:22" x14ac:dyDescent="0.25">
      <c r="A78" t="s">
        <v>105</v>
      </c>
      <c r="B78" s="2">
        <v>2.9000000000000001E-2</v>
      </c>
      <c r="C78" s="8">
        <v>1E-3</v>
      </c>
      <c r="D78" s="8">
        <v>16.521000000000001</v>
      </c>
      <c r="E78" s="8">
        <v>3.9E-2</v>
      </c>
      <c r="F78" s="8">
        <v>0.79100000000000004</v>
      </c>
      <c r="G78" s="8">
        <v>3.5999999999999997E-2</v>
      </c>
      <c r="H78" s="8">
        <v>3.0000000000000001E-3</v>
      </c>
      <c r="I78" s="8">
        <v>3.2000000000000001E-2</v>
      </c>
      <c r="J78" s="8">
        <v>0.12</v>
      </c>
      <c r="K78" s="8">
        <f t="shared" si="11"/>
        <v>0.22699999999999998</v>
      </c>
      <c r="L78" s="8">
        <f t="shared" si="12"/>
        <v>35.820886999999999</v>
      </c>
      <c r="M78" s="1">
        <f t="shared" si="13"/>
        <v>145.94102763971043</v>
      </c>
      <c r="N78" s="1">
        <f t="shared" si="14"/>
        <v>4.4957757902157551E+24</v>
      </c>
      <c r="O78" s="2">
        <f t="shared" si="15"/>
        <v>145.69817077958467</v>
      </c>
      <c r="P78" s="2">
        <f t="shared" si="16"/>
        <v>35.817270496484838</v>
      </c>
      <c r="Q78" s="2">
        <f t="shared" si="17"/>
        <v>3.6165035151611846E-3</v>
      </c>
      <c r="R78" s="2">
        <f t="shared" si="18"/>
        <v>2.5382013381150824E-4</v>
      </c>
      <c r="S78" s="12">
        <v>120.92165351364117</v>
      </c>
      <c r="T78" s="2">
        <f t="shared" si="19"/>
        <v>35.412520386001454</v>
      </c>
      <c r="U78" s="2">
        <f t="shared" si="20"/>
        <v>0.40836661399854535</v>
      </c>
      <c r="V78" s="2">
        <f t="shared" si="21"/>
        <v>3.2362997812617547</v>
      </c>
    </row>
    <row r="79" spans="1:22" x14ac:dyDescent="0.25">
      <c r="A79" t="s">
        <v>106</v>
      </c>
      <c r="B79" s="2">
        <v>2.9000000000000001E-2</v>
      </c>
      <c r="C79" s="8">
        <v>0</v>
      </c>
      <c r="D79" s="8">
        <v>16.321999999999999</v>
      </c>
      <c r="E79" s="8">
        <v>0.03</v>
      </c>
      <c r="F79" s="8">
        <v>1.159</v>
      </c>
      <c r="G79" s="8">
        <v>1.4E-2</v>
      </c>
      <c r="H79" s="8">
        <v>2.5999999999999999E-2</v>
      </c>
      <c r="I79" s="8">
        <v>0.02</v>
      </c>
      <c r="J79" s="8">
        <v>0.12</v>
      </c>
      <c r="K79" s="8">
        <f t="shared" si="11"/>
        <v>0.184</v>
      </c>
      <c r="L79" s="8">
        <f t="shared" si="12"/>
        <v>35.603993000000003</v>
      </c>
      <c r="M79" s="1">
        <f t="shared" si="13"/>
        <v>132.06830377604587</v>
      </c>
      <c r="N79" s="1">
        <f t="shared" si="14"/>
        <v>4.4957757902157551E+24</v>
      </c>
      <c r="O79" s="2">
        <f t="shared" si="15"/>
        <v>145.69817077958467</v>
      </c>
      <c r="P79" s="2">
        <f t="shared" si="16"/>
        <v>35.817270496484838</v>
      </c>
      <c r="Q79" s="2">
        <f t="shared" si="17"/>
        <v>-0.21327749648483518</v>
      </c>
      <c r="R79" s="2">
        <f t="shared" si="18"/>
        <v>1.343551822626385</v>
      </c>
      <c r="S79" s="12">
        <v>120.92165351364117</v>
      </c>
      <c r="T79" s="2">
        <f t="shared" si="19"/>
        <v>35.412520386001454</v>
      </c>
      <c r="U79" s="2">
        <f t="shared" si="20"/>
        <v>0.19147261399854898</v>
      </c>
      <c r="V79" s="2">
        <f t="shared" si="21"/>
        <v>1.0828734023935886</v>
      </c>
    </row>
    <row r="80" spans="1:22" x14ac:dyDescent="0.25">
      <c r="A80" t="s">
        <v>107</v>
      </c>
      <c r="B80" s="2">
        <v>0.03</v>
      </c>
      <c r="C80" s="8">
        <v>0</v>
      </c>
      <c r="D80" s="8">
        <v>16.244</v>
      </c>
      <c r="E80" s="8">
        <v>2.9000000000000001E-2</v>
      </c>
      <c r="F80" s="8">
        <v>1.008</v>
      </c>
      <c r="G80" s="8">
        <v>1.6E-2</v>
      </c>
      <c r="H80" s="8">
        <v>-9.5000000000000001E-2</v>
      </c>
      <c r="I80" s="8">
        <v>3.1E-2</v>
      </c>
      <c r="J80" s="8">
        <v>0.12</v>
      </c>
      <c r="K80" s="8">
        <f t="shared" si="11"/>
        <v>0.19600000000000001</v>
      </c>
      <c r="L80" s="8">
        <f t="shared" si="12"/>
        <v>35.882525999999999</v>
      </c>
      <c r="M80" s="1">
        <f t="shared" si="13"/>
        <v>150.1430382936847</v>
      </c>
      <c r="N80" s="1">
        <f t="shared" si="14"/>
        <v>4.6530290097606972E+24</v>
      </c>
      <c r="O80" s="2">
        <f t="shared" si="15"/>
        <v>150.79440055304474</v>
      </c>
      <c r="P80" s="2">
        <f t="shared" si="16"/>
        <v>35.891926075902731</v>
      </c>
      <c r="Q80" s="2">
        <f t="shared" si="17"/>
        <v>-9.4000759027323966E-3</v>
      </c>
      <c r="R80" s="2">
        <f t="shared" si="18"/>
        <v>2.3001204440110958E-3</v>
      </c>
      <c r="S80" s="12">
        <v>125.18440469891527</v>
      </c>
      <c r="T80" s="2">
        <f t="shared" si="19"/>
        <v>35.487751142172783</v>
      </c>
      <c r="U80" s="2">
        <f t="shared" si="20"/>
        <v>0.39477485782721544</v>
      </c>
      <c r="V80" s="2">
        <f t="shared" si="21"/>
        <v>4.0568301846235464</v>
      </c>
    </row>
    <row r="81" spans="1:22" x14ac:dyDescent="0.25">
      <c r="A81" t="s">
        <v>108</v>
      </c>
      <c r="B81" s="2">
        <v>3.1E-2</v>
      </c>
      <c r="C81" s="8">
        <v>0</v>
      </c>
      <c r="D81" s="8">
        <v>16.654</v>
      </c>
      <c r="E81" s="8">
        <v>3.4000000000000002E-2</v>
      </c>
      <c r="F81" s="8">
        <v>1.073</v>
      </c>
      <c r="G81" s="8">
        <v>2.9000000000000001E-2</v>
      </c>
      <c r="H81" s="8">
        <v>8.6999999999999994E-2</v>
      </c>
      <c r="I81" s="8">
        <v>2.5000000000000001E-2</v>
      </c>
      <c r="J81" s="8">
        <v>0.12</v>
      </c>
      <c r="K81" s="8">
        <f t="shared" si="11"/>
        <v>0.20799999999999999</v>
      </c>
      <c r="L81" s="8">
        <f t="shared" si="12"/>
        <v>35.732421000000002</v>
      </c>
      <c r="M81" s="1">
        <f t="shared" si="13"/>
        <v>140.11486090431177</v>
      </c>
      <c r="N81" s="1">
        <f t="shared" si="14"/>
        <v>4.8104283949487175E+24</v>
      </c>
      <c r="O81" s="2">
        <f t="shared" si="15"/>
        <v>155.89536723239627</v>
      </c>
      <c r="P81" s="2">
        <f t="shared" si="16"/>
        <v>35.964166046909533</v>
      </c>
      <c r="Q81" s="2">
        <f t="shared" si="17"/>
        <v>-0.23174504690953057</v>
      </c>
      <c r="R81" s="2">
        <f t="shared" si="18"/>
        <v>1.2413500084851268</v>
      </c>
      <c r="S81" s="12">
        <v>129.45328977536229</v>
      </c>
      <c r="T81" s="2">
        <f t="shared" si="19"/>
        <v>35.560565457830208</v>
      </c>
      <c r="U81" s="2">
        <f t="shared" si="20"/>
        <v>0.17185554216979426</v>
      </c>
      <c r="V81" s="2">
        <f t="shared" si="21"/>
        <v>0.68265364678425333</v>
      </c>
    </row>
    <row r="82" spans="1:22" x14ac:dyDescent="0.25">
      <c r="A82" t="s">
        <v>109</v>
      </c>
      <c r="B82" s="2">
        <v>0.03</v>
      </c>
      <c r="C82" s="8">
        <v>0</v>
      </c>
      <c r="D82" s="8">
        <v>16.864999999999998</v>
      </c>
      <c r="E82" s="8">
        <v>2.5999999999999999E-2</v>
      </c>
      <c r="F82" s="8">
        <v>1.048</v>
      </c>
      <c r="G82" s="8">
        <v>1.2E-2</v>
      </c>
      <c r="H82" s="8">
        <v>0.192</v>
      </c>
      <c r="I82" s="8">
        <v>2.1999999999999999E-2</v>
      </c>
      <c r="J82" s="8">
        <v>0.12</v>
      </c>
      <c r="K82" s="8">
        <f t="shared" si="11"/>
        <v>0.18</v>
      </c>
      <c r="L82" s="8">
        <f t="shared" si="12"/>
        <v>35.611095999999996</v>
      </c>
      <c r="M82" s="1">
        <f t="shared" si="13"/>
        <v>132.50101343800554</v>
      </c>
      <c r="N82" s="1">
        <f t="shared" si="14"/>
        <v>4.6530290097606972E+24</v>
      </c>
      <c r="O82" s="2">
        <f t="shared" si="15"/>
        <v>150.79440055304474</v>
      </c>
      <c r="P82" s="2">
        <f t="shared" si="16"/>
        <v>35.891926075902731</v>
      </c>
      <c r="Q82" s="2">
        <f t="shared" si="17"/>
        <v>-0.28083007590273468</v>
      </c>
      <c r="R82" s="2">
        <f t="shared" si="18"/>
        <v>2.4341213435659173</v>
      </c>
      <c r="S82" s="12">
        <v>125.18440469891527</v>
      </c>
      <c r="T82" s="2">
        <f t="shared" si="19"/>
        <v>35.487751142172783</v>
      </c>
      <c r="U82" s="2">
        <f t="shared" si="20"/>
        <v>0.12334485782721316</v>
      </c>
      <c r="V82" s="2">
        <f t="shared" si="21"/>
        <v>0.46956648001282186</v>
      </c>
    </row>
    <row r="83" spans="1:22" x14ac:dyDescent="0.25">
      <c r="A83" t="s">
        <v>110</v>
      </c>
      <c r="B83" s="2">
        <v>0.03</v>
      </c>
      <c r="C83" s="8">
        <v>1E-3</v>
      </c>
      <c r="D83" s="8">
        <v>16.725000000000001</v>
      </c>
      <c r="E83" s="8">
        <v>3.1E-2</v>
      </c>
      <c r="F83" s="8">
        <v>0.84199999999999997</v>
      </c>
      <c r="G83" s="8">
        <v>2.5999999999999999E-2</v>
      </c>
      <c r="H83" s="8">
        <v>-1E-3</v>
      </c>
      <c r="I83" s="8">
        <v>2.3E-2</v>
      </c>
      <c r="J83" s="8">
        <v>0.12</v>
      </c>
      <c r="K83" s="8">
        <f t="shared" si="11"/>
        <v>0.19999999999999998</v>
      </c>
      <c r="L83" s="8">
        <f t="shared" si="12"/>
        <v>36.044904000000002</v>
      </c>
      <c r="M83" s="1">
        <f t="shared" si="13"/>
        <v>161.80085044984077</v>
      </c>
      <c r="N83" s="1">
        <f t="shared" si="14"/>
        <v>4.6530290097606972E+24</v>
      </c>
      <c r="O83" s="2">
        <f t="shared" si="15"/>
        <v>150.79440055304474</v>
      </c>
      <c r="P83" s="2">
        <f t="shared" si="16"/>
        <v>35.891926075902731</v>
      </c>
      <c r="Q83" s="2">
        <f t="shared" si="17"/>
        <v>0.15297792409727151</v>
      </c>
      <c r="R83" s="2">
        <f t="shared" si="18"/>
        <v>0.58505613152776414</v>
      </c>
      <c r="S83" s="12">
        <v>125.18440469891527</v>
      </c>
      <c r="T83" s="2">
        <f t="shared" si="19"/>
        <v>35.487751142172783</v>
      </c>
      <c r="U83" s="2">
        <f t="shared" si="20"/>
        <v>0.55715285782721935</v>
      </c>
      <c r="V83" s="2">
        <f t="shared" si="21"/>
        <v>7.7604826746259441</v>
      </c>
    </row>
    <row r="84" spans="1:22" x14ac:dyDescent="0.25">
      <c r="A84" t="s">
        <v>111</v>
      </c>
      <c r="B84" s="2">
        <v>0.03</v>
      </c>
      <c r="C84" s="8">
        <v>0</v>
      </c>
      <c r="D84" s="8">
        <v>16.266999999999999</v>
      </c>
      <c r="E84" s="8">
        <v>4.2000000000000003E-2</v>
      </c>
      <c r="F84" s="8">
        <v>1.0469999999999999</v>
      </c>
      <c r="G84" s="8">
        <v>3.6999999999999998E-2</v>
      </c>
      <c r="H84" s="8">
        <v>-1.7999999999999999E-2</v>
      </c>
      <c r="I84" s="8">
        <v>0.03</v>
      </c>
      <c r="J84" s="8">
        <v>0.12</v>
      </c>
      <c r="K84" s="8">
        <f t="shared" si="11"/>
        <v>0.22899999999999998</v>
      </c>
      <c r="L84" s="8">
        <f t="shared" si="12"/>
        <v>35.670248999999998</v>
      </c>
      <c r="M84" s="1">
        <f t="shared" si="13"/>
        <v>136.16008065601477</v>
      </c>
      <c r="N84" s="1">
        <f t="shared" si="14"/>
        <v>4.6530290097606972E+24</v>
      </c>
      <c r="O84" s="2">
        <f t="shared" si="15"/>
        <v>150.79440055304474</v>
      </c>
      <c r="P84" s="2">
        <f t="shared" si="16"/>
        <v>35.891926075902731</v>
      </c>
      <c r="Q84" s="2">
        <f t="shared" si="17"/>
        <v>-0.22167707590273267</v>
      </c>
      <c r="R84" s="2">
        <f t="shared" si="18"/>
        <v>0.93706691292663957</v>
      </c>
      <c r="S84" s="12">
        <v>125.18440469891527</v>
      </c>
      <c r="T84" s="2">
        <f t="shared" si="19"/>
        <v>35.487751142172783</v>
      </c>
      <c r="U84" s="2">
        <f t="shared" si="20"/>
        <v>0.18249785782721517</v>
      </c>
      <c r="V84" s="2">
        <f t="shared" si="21"/>
        <v>0.63510360426998813</v>
      </c>
    </row>
    <row r="85" spans="1:22" x14ac:dyDescent="0.25">
      <c r="A85" t="s">
        <v>112</v>
      </c>
      <c r="B85" s="2">
        <v>3.1E-2</v>
      </c>
      <c r="C85" s="8">
        <v>0</v>
      </c>
      <c r="D85" s="8">
        <v>16.84</v>
      </c>
      <c r="E85" s="8">
        <v>3.4000000000000002E-2</v>
      </c>
      <c r="F85" s="8">
        <v>0.94099999999999995</v>
      </c>
      <c r="G85" s="8">
        <v>3.6999999999999998E-2</v>
      </c>
      <c r="H85" s="8">
        <v>-2.4E-2</v>
      </c>
      <c r="I85" s="8">
        <v>2.4E-2</v>
      </c>
      <c r="J85" s="8">
        <v>0.12</v>
      </c>
      <c r="K85" s="8">
        <f t="shared" si="11"/>
        <v>0.215</v>
      </c>
      <c r="L85" s="8">
        <f t="shared" si="12"/>
        <v>36.246446999999996</v>
      </c>
      <c r="M85" s="1">
        <f t="shared" si="13"/>
        <v>177.53721382083666</v>
      </c>
      <c r="N85" s="1">
        <f t="shared" si="14"/>
        <v>4.8104283949487175E+24</v>
      </c>
      <c r="O85" s="2">
        <f t="shared" si="15"/>
        <v>155.89536723239627</v>
      </c>
      <c r="P85" s="2">
        <f t="shared" si="16"/>
        <v>35.964166046909533</v>
      </c>
      <c r="Q85" s="2">
        <f t="shared" si="17"/>
        <v>0.28228095309046353</v>
      </c>
      <c r="R85" s="2">
        <f t="shared" si="18"/>
        <v>1.7237974359688584</v>
      </c>
      <c r="S85" s="12">
        <v>129.45328977536229</v>
      </c>
      <c r="T85" s="2">
        <f t="shared" si="19"/>
        <v>35.560565457830208</v>
      </c>
      <c r="U85" s="2">
        <f t="shared" si="20"/>
        <v>0.68588154216978836</v>
      </c>
      <c r="V85" s="2">
        <f t="shared" si="21"/>
        <v>10.177036017073169</v>
      </c>
    </row>
    <row r="86" spans="1:22" x14ac:dyDescent="0.25">
      <c r="A86" t="s">
        <v>113</v>
      </c>
      <c r="B86" s="2">
        <v>3.1E-2</v>
      </c>
      <c r="C86" s="8">
        <v>0</v>
      </c>
      <c r="D86" s="8">
        <v>16.516999999999999</v>
      </c>
      <c r="E86" s="8">
        <v>0.02</v>
      </c>
      <c r="F86" s="8">
        <v>0.85799999999999998</v>
      </c>
      <c r="G86" s="8">
        <v>8.9999999999999993E-3</v>
      </c>
      <c r="H86" s="8">
        <v>-6.4000000000000001E-2</v>
      </c>
      <c r="I86" s="8">
        <v>1.9E-2</v>
      </c>
      <c r="J86" s="8">
        <v>0.12</v>
      </c>
      <c r="K86" s="8">
        <f t="shared" si="11"/>
        <v>0.16799999999999998</v>
      </c>
      <c r="L86" s="8">
        <f t="shared" si="12"/>
        <v>36.036445999999998</v>
      </c>
      <c r="M86" s="1">
        <f t="shared" si="13"/>
        <v>161.17185335479141</v>
      </c>
      <c r="N86" s="1">
        <f t="shared" si="14"/>
        <v>4.8104283949487175E+24</v>
      </c>
      <c r="O86" s="2">
        <f t="shared" si="15"/>
        <v>155.89536723239627</v>
      </c>
      <c r="P86" s="2">
        <f t="shared" si="16"/>
        <v>35.964166046909533</v>
      </c>
      <c r="Q86" s="2">
        <f t="shared" si="17"/>
        <v>7.2279953090465199E-2</v>
      </c>
      <c r="R86" s="2">
        <f t="shared" si="18"/>
        <v>0.18510457832907634</v>
      </c>
      <c r="S86" s="12">
        <v>129.45328977536229</v>
      </c>
      <c r="T86" s="2">
        <f t="shared" si="19"/>
        <v>35.560565457830208</v>
      </c>
      <c r="U86" s="2">
        <f t="shared" si="20"/>
        <v>0.47588054216979003</v>
      </c>
      <c r="V86" s="2">
        <f t="shared" si="21"/>
        <v>8.0237489518074465</v>
      </c>
    </row>
    <row r="87" spans="1:22" x14ac:dyDescent="0.25">
      <c r="A87" t="s">
        <v>114</v>
      </c>
      <c r="B87" s="2">
        <v>3.3000000000000002E-2</v>
      </c>
      <c r="C87" s="8">
        <v>0</v>
      </c>
      <c r="D87" s="8">
        <v>17.010999999999999</v>
      </c>
      <c r="E87" s="8">
        <v>2.5000000000000001E-2</v>
      </c>
      <c r="F87" s="8">
        <v>1.0489999999999999</v>
      </c>
      <c r="G87" s="8">
        <v>3.1E-2</v>
      </c>
      <c r="H87" s="8">
        <v>7.6999999999999999E-2</v>
      </c>
      <c r="I87" s="8">
        <v>2.4E-2</v>
      </c>
      <c r="J87" s="8">
        <v>0.12</v>
      </c>
      <c r="K87" s="8">
        <f t="shared" si="11"/>
        <v>0.2</v>
      </c>
      <c r="L87" s="8">
        <f t="shared" si="12"/>
        <v>36.117193</v>
      </c>
      <c r="M87" s="1">
        <f t="shared" si="13"/>
        <v>167.27791243008363</v>
      </c>
      <c r="N87" s="1">
        <f t="shared" si="14"/>
        <v>5.1256647994956487E+24</v>
      </c>
      <c r="O87" s="2">
        <f t="shared" si="15"/>
        <v>166.11148334867991</v>
      </c>
      <c r="P87" s="2">
        <f t="shared" si="16"/>
        <v>36.101998282141963</v>
      </c>
      <c r="Q87" s="2">
        <f t="shared" si="17"/>
        <v>1.5194717858037166E-2</v>
      </c>
      <c r="R87" s="2">
        <f t="shared" si="18"/>
        <v>5.7719862696338376E-3</v>
      </c>
      <c r="S87" s="12">
        <v>138.00943505210341</v>
      </c>
      <c r="T87" s="2">
        <f t="shared" si="19"/>
        <v>35.69954389037558</v>
      </c>
      <c r="U87" s="2">
        <f t="shared" si="20"/>
        <v>0.41764910962442059</v>
      </c>
      <c r="V87" s="2">
        <f t="shared" si="21"/>
        <v>4.3607694692517818</v>
      </c>
    </row>
    <row r="88" spans="1:22" x14ac:dyDescent="0.25">
      <c r="A88" t="s">
        <v>115</v>
      </c>
      <c r="B88" s="2">
        <v>3.2000000000000001E-2</v>
      </c>
      <c r="C88" s="8">
        <v>0</v>
      </c>
      <c r="D88" s="8">
        <v>16.614000000000001</v>
      </c>
      <c r="E88" s="8">
        <v>2.4E-2</v>
      </c>
      <c r="F88" s="8">
        <v>0.84399999999999997</v>
      </c>
      <c r="G88" s="8">
        <v>1.4E-2</v>
      </c>
      <c r="H88" s="8">
        <v>-2.1000000000000001E-2</v>
      </c>
      <c r="I88" s="8">
        <v>2.1999999999999999E-2</v>
      </c>
      <c r="J88" s="8">
        <v>0.12</v>
      </c>
      <c r="K88" s="8">
        <f t="shared" si="11"/>
        <v>0.18</v>
      </c>
      <c r="L88" s="8">
        <f t="shared" si="12"/>
        <v>35.996797999999998</v>
      </c>
      <c r="M88" s="1">
        <f t="shared" si="13"/>
        <v>158.25578700273803</v>
      </c>
      <c r="N88" s="1">
        <f t="shared" si="14"/>
        <v>4.9679737299840838E+24</v>
      </c>
      <c r="O88" s="2">
        <f t="shared" si="15"/>
        <v>161.00106382417582</v>
      </c>
      <c r="P88" s="2">
        <f t="shared" si="16"/>
        <v>36.034143728340702</v>
      </c>
      <c r="Q88" s="2">
        <f t="shared" si="17"/>
        <v>-3.7345728340703488E-2</v>
      </c>
      <c r="R88" s="2">
        <f t="shared" si="18"/>
        <v>4.304640201535876E-2</v>
      </c>
      <c r="S88" s="12">
        <v>133.7283021051646</v>
      </c>
      <c r="T88" s="2">
        <f t="shared" si="19"/>
        <v>35.631116652889332</v>
      </c>
      <c r="U88" s="2">
        <f t="shared" si="20"/>
        <v>0.36568134711066591</v>
      </c>
      <c r="V88" s="2">
        <f t="shared" si="21"/>
        <v>4.12724838347751</v>
      </c>
    </row>
    <row r="89" spans="1:22" x14ac:dyDescent="0.25">
      <c r="A89" t="s">
        <v>116</v>
      </c>
      <c r="B89" s="2">
        <v>3.2000000000000001E-2</v>
      </c>
      <c r="C89" s="8">
        <v>0</v>
      </c>
      <c r="D89" s="8">
        <v>16.783000000000001</v>
      </c>
      <c r="E89" s="8">
        <v>0.02</v>
      </c>
      <c r="F89" s="8">
        <v>0.81200000000000006</v>
      </c>
      <c r="G89" s="8">
        <v>1.4999999999999999E-2</v>
      </c>
      <c r="H89" s="8">
        <v>1.4999999999999999E-2</v>
      </c>
      <c r="I89" s="8">
        <v>1.9E-2</v>
      </c>
      <c r="J89" s="8">
        <v>0.12</v>
      </c>
      <c r="K89" s="8">
        <f t="shared" si="11"/>
        <v>0.17399999999999999</v>
      </c>
      <c r="L89" s="8">
        <f t="shared" si="12"/>
        <v>36.048414000000001</v>
      </c>
      <c r="M89" s="1">
        <f t="shared" si="13"/>
        <v>162.06259921898123</v>
      </c>
      <c r="N89" s="1">
        <f t="shared" si="14"/>
        <v>4.9679737299840838E+24</v>
      </c>
      <c r="O89" s="2">
        <f t="shared" si="15"/>
        <v>161.00106382417582</v>
      </c>
      <c r="P89" s="2">
        <f t="shared" si="16"/>
        <v>36.034143728340702</v>
      </c>
      <c r="Q89" s="2">
        <f t="shared" si="17"/>
        <v>1.4270271659299283E-2</v>
      </c>
      <c r="R89" s="2">
        <f t="shared" si="18"/>
        <v>6.726141274613566E-3</v>
      </c>
      <c r="S89" s="12">
        <v>133.7283021051646</v>
      </c>
      <c r="T89" s="2">
        <f t="shared" si="19"/>
        <v>35.631116652889332</v>
      </c>
      <c r="U89" s="2">
        <f t="shared" si="20"/>
        <v>0.41729734711066868</v>
      </c>
      <c r="V89" s="2">
        <f t="shared" si="21"/>
        <v>5.7516539802352327</v>
      </c>
    </row>
    <row r="90" spans="1:22" x14ac:dyDescent="0.25">
      <c r="A90" t="s">
        <v>117</v>
      </c>
      <c r="B90" s="2">
        <v>3.3000000000000002E-2</v>
      </c>
      <c r="C90" s="8">
        <v>0</v>
      </c>
      <c r="D90" s="8">
        <v>16.898</v>
      </c>
      <c r="E90" s="8">
        <v>0.02</v>
      </c>
      <c r="F90" s="8">
        <v>1.1120000000000001</v>
      </c>
      <c r="G90" s="8">
        <v>1.2999999999999999E-2</v>
      </c>
      <c r="H90" s="8">
        <v>7.3999999999999996E-2</v>
      </c>
      <c r="I90" s="8">
        <v>1.9E-2</v>
      </c>
      <c r="J90" s="8">
        <v>0.12</v>
      </c>
      <c r="K90" s="8">
        <f t="shared" si="11"/>
        <v>0.17199999999999999</v>
      </c>
      <c r="L90" s="8">
        <f t="shared" si="12"/>
        <v>36.022843999999999</v>
      </c>
      <c r="M90" s="1">
        <f t="shared" si="13"/>
        <v>160.16543588947061</v>
      </c>
      <c r="N90" s="1">
        <f t="shared" si="14"/>
        <v>5.1256647994956487E+24</v>
      </c>
      <c r="O90" s="2">
        <f t="shared" si="15"/>
        <v>166.11148334867991</v>
      </c>
      <c r="P90" s="2">
        <f t="shared" si="16"/>
        <v>36.101998282141963</v>
      </c>
      <c r="Q90" s="2">
        <f t="shared" si="17"/>
        <v>-7.9154282141963961E-2</v>
      </c>
      <c r="R90" s="2">
        <f t="shared" si="18"/>
        <v>0.21178340932293252</v>
      </c>
      <c r="S90" s="12">
        <v>138.00943505210341</v>
      </c>
      <c r="T90" s="2">
        <f t="shared" si="19"/>
        <v>35.69954389037558</v>
      </c>
      <c r="U90" s="2">
        <f t="shared" si="20"/>
        <v>0.32330010962441946</v>
      </c>
      <c r="V90" s="2">
        <f t="shared" si="21"/>
        <v>3.5330908897769624</v>
      </c>
    </row>
    <row r="91" spans="1:22" x14ac:dyDescent="0.25">
      <c r="A91" t="s">
        <v>118</v>
      </c>
      <c r="B91" s="2">
        <v>3.1E-2</v>
      </c>
      <c r="C91" s="8">
        <v>0</v>
      </c>
      <c r="D91" s="8">
        <v>16.971</v>
      </c>
      <c r="E91" s="8">
        <v>2.3E-2</v>
      </c>
      <c r="F91" s="8">
        <v>1.0109999999999999</v>
      </c>
      <c r="G91" s="8">
        <v>1.9E-2</v>
      </c>
      <c r="H91" s="8">
        <v>0.13</v>
      </c>
      <c r="I91" s="8">
        <v>1.9E-2</v>
      </c>
      <c r="J91" s="8">
        <v>0.12</v>
      </c>
      <c r="K91" s="8">
        <f t="shared" si="11"/>
        <v>0.18099999999999999</v>
      </c>
      <c r="L91" s="8">
        <f t="shared" si="12"/>
        <v>35.905716999999996</v>
      </c>
      <c r="M91" s="1">
        <f t="shared" si="13"/>
        <v>151.75513660936366</v>
      </c>
      <c r="N91" s="1">
        <f t="shared" si="14"/>
        <v>4.8104283949487175E+24</v>
      </c>
      <c r="O91" s="2">
        <f t="shared" si="15"/>
        <v>155.89536723239627</v>
      </c>
      <c r="P91" s="2">
        <f t="shared" si="16"/>
        <v>35.964166046909533</v>
      </c>
      <c r="Q91" s="2">
        <f t="shared" si="17"/>
        <v>-5.8449046909537117E-2</v>
      </c>
      <c r="R91" s="2">
        <f t="shared" si="18"/>
        <v>0.10427920651485824</v>
      </c>
      <c r="S91" s="12">
        <v>129.45328977536229</v>
      </c>
      <c r="T91" s="2">
        <f t="shared" si="19"/>
        <v>35.560565457830208</v>
      </c>
      <c r="U91" s="2">
        <f t="shared" si="20"/>
        <v>0.34515154216978772</v>
      </c>
      <c r="V91" s="2">
        <f t="shared" si="21"/>
        <v>3.6363232826282093</v>
      </c>
    </row>
    <row r="92" spans="1:22" x14ac:dyDescent="0.25">
      <c r="A92" t="s">
        <v>119</v>
      </c>
      <c r="B92" s="2">
        <v>3.3000000000000002E-2</v>
      </c>
      <c r="C92" s="8">
        <v>0</v>
      </c>
      <c r="D92" s="8">
        <v>17.385000000000002</v>
      </c>
      <c r="E92" s="8">
        <v>4.7E-2</v>
      </c>
      <c r="F92" s="8">
        <v>0.92500000000000004</v>
      </c>
      <c r="G92" s="8">
        <v>3.6999999999999998E-2</v>
      </c>
      <c r="H92" s="8">
        <v>0.192</v>
      </c>
      <c r="I92" s="8">
        <v>0.03</v>
      </c>
      <c r="J92" s="8">
        <v>0.12</v>
      </c>
      <c r="K92" s="8">
        <f t="shared" si="11"/>
        <v>0.23399999999999999</v>
      </c>
      <c r="L92" s="8">
        <f t="shared" si="12"/>
        <v>36.113015000000004</v>
      </c>
      <c r="M92" s="1">
        <f t="shared" si="13"/>
        <v>166.95637244521023</v>
      </c>
      <c r="N92" s="1">
        <f t="shared" si="14"/>
        <v>5.1256647994956487E+24</v>
      </c>
      <c r="O92" s="2">
        <f t="shared" si="15"/>
        <v>166.11148334867991</v>
      </c>
      <c r="P92" s="2">
        <f t="shared" si="16"/>
        <v>36.101998282141963</v>
      </c>
      <c r="Q92" s="2">
        <f t="shared" si="17"/>
        <v>1.1016717858041147E-2</v>
      </c>
      <c r="R92" s="2">
        <f t="shared" si="18"/>
        <v>2.2165255380904875E-3</v>
      </c>
      <c r="S92" s="12">
        <v>138.00943505210341</v>
      </c>
      <c r="T92" s="2">
        <f t="shared" si="19"/>
        <v>35.69954389037558</v>
      </c>
      <c r="U92" s="2">
        <f t="shared" si="20"/>
        <v>0.41347110962442457</v>
      </c>
      <c r="V92" s="2">
        <f t="shared" si="21"/>
        <v>3.1221849385282514</v>
      </c>
    </row>
    <row r="93" spans="1:22" x14ac:dyDescent="0.25">
      <c r="A93" t="s">
        <v>120</v>
      </c>
      <c r="B93" s="2">
        <v>3.4000000000000002E-2</v>
      </c>
      <c r="C93" s="8">
        <v>0</v>
      </c>
      <c r="D93" s="8">
        <v>16.760000000000002</v>
      </c>
      <c r="E93" s="8">
        <v>0.02</v>
      </c>
      <c r="F93" s="8">
        <v>0.878</v>
      </c>
      <c r="G93" s="8">
        <v>8.9999999999999993E-3</v>
      </c>
      <c r="H93" s="8">
        <v>-8.5000000000000006E-2</v>
      </c>
      <c r="I93" s="8">
        <v>2.1000000000000001E-2</v>
      </c>
      <c r="J93" s="8">
        <v>0.12</v>
      </c>
      <c r="K93" s="8">
        <f t="shared" si="11"/>
        <v>0.16999999999999998</v>
      </c>
      <c r="L93" s="8">
        <f t="shared" si="12"/>
        <v>36.348116000000005</v>
      </c>
      <c r="M93" s="1">
        <f t="shared" si="13"/>
        <v>186.04722643207745</v>
      </c>
      <c r="N93" s="1">
        <f t="shared" si="14"/>
        <v>5.2835013885358076E+24</v>
      </c>
      <c r="O93" s="2">
        <f t="shared" si="15"/>
        <v>171.22661883993104</v>
      </c>
      <c r="P93" s="2">
        <f t="shared" si="16"/>
        <v>36.167856404411886</v>
      </c>
      <c r="Q93" s="2">
        <f t="shared" si="17"/>
        <v>0.18025959558811877</v>
      </c>
      <c r="R93" s="2">
        <f t="shared" si="18"/>
        <v>1.1243433149339839</v>
      </c>
      <c r="S93" s="12">
        <v>142.29668198158512</v>
      </c>
      <c r="T93" s="2">
        <f t="shared" si="19"/>
        <v>35.765973867466798</v>
      </c>
      <c r="U93" s="2">
        <f t="shared" si="20"/>
        <v>0.58214213253320679</v>
      </c>
      <c r="V93" s="2">
        <f t="shared" si="21"/>
        <v>11.726278978211411</v>
      </c>
    </row>
    <row r="94" spans="1:22" x14ac:dyDescent="0.25">
      <c r="A94" t="s">
        <v>121</v>
      </c>
      <c r="B94" s="2">
        <v>3.5000000000000003E-2</v>
      </c>
      <c r="C94" s="8">
        <v>0</v>
      </c>
      <c r="D94" s="8">
        <v>17.03</v>
      </c>
      <c r="E94" s="8">
        <v>4.7E-2</v>
      </c>
      <c r="F94" s="8">
        <v>0.74099999999999999</v>
      </c>
      <c r="G94" s="8">
        <v>5.5E-2</v>
      </c>
      <c r="H94" s="8">
        <v>-0.04</v>
      </c>
      <c r="I94" s="8">
        <v>2.8000000000000001E-2</v>
      </c>
      <c r="J94" s="8">
        <v>0.12</v>
      </c>
      <c r="K94" s="8">
        <f t="shared" si="11"/>
        <v>0.25</v>
      </c>
      <c r="L94" s="8">
        <f t="shared" si="12"/>
        <v>36.457127</v>
      </c>
      <c r="M94" s="1">
        <f t="shared" si="13"/>
        <v>195.62547076303255</v>
      </c>
      <c r="N94" s="1">
        <f t="shared" si="14"/>
        <v>5.4414832825794534E+24</v>
      </c>
      <c r="O94" s="2">
        <f t="shared" si="15"/>
        <v>176.34646334564397</v>
      </c>
      <c r="P94" s="2">
        <f t="shared" si="16"/>
        <v>36.231833771254486</v>
      </c>
      <c r="Q94" s="2">
        <f t="shared" si="17"/>
        <v>0.22529322874551383</v>
      </c>
      <c r="R94" s="2">
        <f t="shared" si="18"/>
        <v>0.8121126226972547</v>
      </c>
      <c r="S94" s="12">
        <v>146.59003626066703</v>
      </c>
      <c r="T94" s="2">
        <f t="shared" si="19"/>
        <v>35.83052226134587</v>
      </c>
      <c r="U94" s="2">
        <f t="shared" si="20"/>
        <v>0.62660473865413024</v>
      </c>
      <c r="V94" s="2">
        <f t="shared" si="21"/>
        <v>6.2821359760609736</v>
      </c>
    </row>
    <row r="95" spans="1:22" x14ac:dyDescent="0.25">
      <c r="A95" t="s">
        <v>122</v>
      </c>
      <c r="B95" s="2">
        <v>3.4000000000000002E-2</v>
      </c>
      <c r="C95" s="8">
        <v>0</v>
      </c>
      <c r="D95" s="8">
        <v>17.009</v>
      </c>
      <c r="E95" s="8">
        <v>3.1E-2</v>
      </c>
      <c r="F95" s="8">
        <v>1.103</v>
      </c>
      <c r="G95" s="8">
        <v>1.2999999999999999E-2</v>
      </c>
      <c r="H95" s="8">
        <v>0.1</v>
      </c>
      <c r="I95" s="8">
        <v>0.02</v>
      </c>
      <c r="J95" s="8">
        <v>0.12</v>
      </c>
      <c r="K95" s="8">
        <f t="shared" si="11"/>
        <v>0.184</v>
      </c>
      <c r="L95" s="8">
        <f t="shared" si="12"/>
        <v>36.051141000000001</v>
      </c>
      <c r="M95" s="1">
        <f t="shared" si="13"/>
        <v>162.26625012701302</v>
      </c>
      <c r="N95" s="1">
        <f t="shared" si="14"/>
        <v>5.2835013885358076E+24</v>
      </c>
      <c r="O95" s="2">
        <f t="shared" si="15"/>
        <v>171.22661883993104</v>
      </c>
      <c r="P95" s="2">
        <f t="shared" si="16"/>
        <v>36.167856404411886</v>
      </c>
      <c r="Q95" s="2">
        <f t="shared" si="17"/>
        <v>-0.11671540441188455</v>
      </c>
      <c r="R95" s="2">
        <f t="shared" si="18"/>
        <v>0.40236547811406431</v>
      </c>
      <c r="S95" s="12">
        <v>142.29668198158512</v>
      </c>
      <c r="T95" s="2">
        <f t="shared" si="19"/>
        <v>35.765973867466798</v>
      </c>
      <c r="U95" s="2">
        <f t="shared" si="20"/>
        <v>0.28516713253320347</v>
      </c>
      <c r="V95" s="2">
        <f t="shared" si="21"/>
        <v>2.4019462865432906</v>
      </c>
    </row>
    <row r="96" spans="1:22" x14ac:dyDescent="0.25">
      <c r="A96" t="s">
        <v>123</v>
      </c>
      <c r="B96" s="2">
        <v>3.5000000000000003E-2</v>
      </c>
      <c r="C96" s="8">
        <v>0</v>
      </c>
      <c r="D96" s="8">
        <v>16.521000000000001</v>
      </c>
      <c r="E96" s="8">
        <v>4.9000000000000002E-2</v>
      </c>
      <c r="F96" s="8">
        <v>1.101</v>
      </c>
      <c r="G96" s="8">
        <v>1.4E-2</v>
      </c>
      <c r="H96" s="8">
        <v>-2.7E-2</v>
      </c>
      <c r="I96" s="8">
        <v>0.03</v>
      </c>
      <c r="J96" s="8">
        <v>0.12</v>
      </c>
      <c r="K96" s="8">
        <f t="shared" si="11"/>
        <v>0.21299999999999999</v>
      </c>
      <c r="L96" s="8">
        <f t="shared" si="12"/>
        <v>35.960357000000002</v>
      </c>
      <c r="M96" s="1">
        <f t="shared" si="13"/>
        <v>155.62214605035953</v>
      </c>
      <c r="N96" s="1">
        <f t="shared" si="14"/>
        <v>5.4414832825794534E+24</v>
      </c>
      <c r="O96" s="2">
        <f t="shared" si="15"/>
        <v>176.34646334564397</v>
      </c>
      <c r="P96" s="2">
        <f t="shared" si="16"/>
        <v>36.231833771254486</v>
      </c>
      <c r="Q96" s="2">
        <f t="shared" si="17"/>
        <v>-0.27147677125448411</v>
      </c>
      <c r="R96" s="2">
        <f t="shared" si="18"/>
        <v>1.6244492347364827</v>
      </c>
      <c r="S96" s="12">
        <v>146.59003626066703</v>
      </c>
      <c r="T96" s="2">
        <f t="shared" si="19"/>
        <v>35.83052226134587</v>
      </c>
      <c r="U96" s="2">
        <f t="shared" si="20"/>
        <v>0.12983473865413231</v>
      </c>
      <c r="V96" s="2">
        <f t="shared" si="21"/>
        <v>0.37155457165436395</v>
      </c>
    </row>
    <row r="97" spans="1:22" x14ac:dyDescent="0.25">
      <c r="A97" t="s">
        <v>124</v>
      </c>
      <c r="B97" s="2">
        <v>3.5999999999999997E-2</v>
      </c>
      <c r="C97" s="8">
        <v>0</v>
      </c>
      <c r="D97" s="8">
        <v>16.867000000000001</v>
      </c>
      <c r="E97" s="8">
        <v>5.7000000000000002E-2</v>
      </c>
      <c r="F97" s="8">
        <v>0.85799999999999998</v>
      </c>
      <c r="G97" s="8">
        <v>0.17599999999999999</v>
      </c>
      <c r="H97" s="8">
        <v>8.1000000000000003E-2</v>
      </c>
      <c r="I97" s="8">
        <v>2.4E-2</v>
      </c>
      <c r="J97" s="8">
        <v>0.12</v>
      </c>
      <c r="K97" s="8">
        <f t="shared" si="11"/>
        <v>0.377</v>
      </c>
      <c r="L97" s="8">
        <f t="shared" si="12"/>
        <v>35.932596000000004</v>
      </c>
      <c r="M97" s="1">
        <f t="shared" si="13"/>
        <v>153.64527178421153</v>
      </c>
      <c r="N97" s="1">
        <f t="shared" si="14"/>
        <v>5.5996102675229519E+24</v>
      </c>
      <c r="O97" s="2">
        <f t="shared" si="15"/>
        <v>181.47100992719245</v>
      </c>
      <c r="P97" s="2">
        <f t="shared" si="16"/>
        <v>36.294036280903519</v>
      </c>
      <c r="Q97" s="2">
        <f t="shared" si="17"/>
        <v>-0.36144028090351554</v>
      </c>
      <c r="R97" s="2">
        <f t="shared" si="18"/>
        <v>0.91915848742770456</v>
      </c>
      <c r="S97" s="12">
        <v>150.88949125808367</v>
      </c>
      <c r="T97" s="2">
        <f t="shared" si="19"/>
        <v>35.893294971324963</v>
      </c>
      <c r="U97" s="2">
        <f t="shared" si="20"/>
        <v>3.9301028675041039E-2</v>
      </c>
      <c r="V97" s="2">
        <f t="shared" si="21"/>
        <v>1.0867387056240444E-2</v>
      </c>
    </row>
    <row r="98" spans="1:22" x14ac:dyDescent="0.25">
      <c r="A98" t="s">
        <v>125</v>
      </c>
      <c r="B98" s="2">
        <v>3.5000000000000003E-2</v>
      </c>
      <c r="C98" s="8">
        <v>0</v>
      </c>
      <c r="D98" s="8">
        <v>16.748999999999999</v>
      </c>
      <c r="E98" s="8">
        <v>7.6999999999999999E-2</v>
      </c>
      <c r="F98" s="8">
        <v>0.95599999999999996</v>
      </c>
      <c r="G98" s="8">
        <v>4.2999999999999997E-2</v>
      </c>
      <c r="H98" s="8">
        <v>-3.6999999999999998E-2</v>
      </c>
      <c r="I98" s="8">
        <v>4.1000000000000002E-2</v>
      </c>
      <c r="J98" s="8">
        <v>0.12</v>
      </c>
      <c r="K98" s="8">
        <f t="shared" si="11"/>
        <v>0.28100000000000003</v>
      </c>
      <c r="L98" s="8">
        <f t="shared" si="12"/>
        <v>36.198341999999997</v>
      </c>
      <c r="M98" s="1">
        <f t="shared" si="13"/>
        <v>173.64744595717264</v>
      </c>
      <c r="N98" s="1">
        <f t="shared" si="14"/>
        <v>5.4414832825794534E+24</v>
      </c>
      <c r="O98" s="2">
        <f t="shared" si="15"/>
        <v>176.34646334564397</v>
      </c>
      <c r="P98" s="2">
        <f t="shared" si="16"/>
        <v>36.231833771254486</v>
      </c>
      <c r="Q98" s="2">
        <f t="shared" si="17"/>
        <v>-3.3491771254489322E-2</v>
      </c>
      <c r="R98" s="2">
        <f t="shared" si="18"/>
        <v>1.4205731206076886E-2</v>
      </c>
      <c r="S98" s="12">
        <v>146.59003626066703</v>
      </c>
      <c r="T98" s="2">
        <f t="shared" si="19"/>
        <v>35.83052226134587</v>
      </c>
      <c r="U98" s="2">
        <f t="shared" si="20"/>
        <v>0.36781973865412709</v>
      </c>
      <c r="V98" s="2">
        <f t="shared" si="21"/>
        <v>1.7133947156645728</v>
      </c>
    </row>
    <row r="99" spans="1:22" x14ac:dyDescent="0.25">
      <c r="A99" t="s">
        <v>126</v>
      </c>
      <c r="B99" s="2">
        <v>3.5000000000000003E-2</v>
      </c>
      <c r="C99" s="8">
        <v>0</v>
      </c>
      <c r="D99" s="8">
        <v>16.677</v>
      </c>
      <c r="E99" s="8">
        <v>3.9E-2</v>
      </c>
      <c r="F99" s="8">
        <v>0.97899999999999998</v>
      </c>
      <c r="G99" s="8">
        <v>2.1999999999999999E-2</v>
      </c>
      <c r="H99" s="8">
        <v>6.0000000000000001E-3</v>
      </c>
      <c r="I99" s="8">
        <v>2.5000000000000001E-2</v>
      </c>
      <c r="J99" s="8">
        <v>0.12</v>
      </c>
      <c r="K99" s="8">
        <f t="shared" si="11"/>
        <v>0.20599999999999999</v>
      </c>
      <c r="L99" s="8">
        <f t="shared" si="12"/>
        <v>35.995132999999996</v>
      </c>
      <c r="M99" s="1">
        <f t="shared" si="13"/>
        <v>158.13448917235462</v>
      </c>
      <c r="N99" s="1">
        <f t="shared" si="14"/>
        <v>5.4414832825794534E+24</v>
      </c>
      <c r="O99" s="2">
        <f t="shared" si="15"/>
        <v>176.34646334564397</v>
      </c>
      <c r="P99" s="2">
        <f t="shared" si="16"/>
        <v>36.231833771254486</v>
      </c>
      <c r="Q99" s="2">
        <f t="shared" si="17"/>
        <v>-0.23670077125449041</v>
      </c>
      <c r="R99" s="2">
        <f t="shared" si="18"/>
        <v>1.3202765367252003</v>
      </c>
      <c r="S99" s="12">
        <v>146.59003626066703</v>
      </c>
      <c r="T99" s="2">
        <f t="shared" si="19"/>
        <v>35.83052226134587</v>
      </c>
      <c r="U99" s="2">
        <f t="shared" si="20"/>
        <v>0.16461073865412601</v>
      </c>
      <c r="V99" s="2">
        <f t="shared" si="21"/>
        <v>0.6385308530553534</v>
      </c>
    </row>
    <row r="100" spans="1:22" x14ac:dyDescent="0.25">
      <c r="A100" t="s">
        <v>127</v>
      </c>
      <c r="B100" s="2">
        <v>3.6999999999999998E-2</v>
      </c>
      <c r="C100" s="8">
        <v>0</v>
      </c>
      <c r="D100" s="8">
        <v>17.05</v>
      </c>
      <c r="E100" s="8">
        <v>3.1E-2</v>
      </c>
      <c r="F100" s="8">
        <v>0.91600000000000004</v>
      </c>
      <c r="G100" s="8">
        <v>0.02</v>
      </c>
      <c r="H100" s="8">
        <v>-2.3E-2</v>
      </c>
      <c r="I100" s="8">
        <v>2.1999999999999999E-2</v>
      </c>
      <c r="J100" s="8">
        <v>0.12</v>
      </c>
      <c r="K100" s="8">
        <f t="shared" si="11"/>
        <v>0.193</v>
      </c>
      <c r="L100" s="8">
        <f t="shared" si="12"/>
        <v>36.449641999999997</v>
      </c>
      <c r="M100" s="1">
        <f t="shared" si="13"/>
        <v>194.95231649448533</v>
      </c>
      <c r="N100" s="1">
        <f t="shared" si="14"/>
        <v>5.757882129683089E+24</v>
      </c>
      <c r="O100" s="2">
        <f t="shared" si="15"/>
        <v>186.60025165957518</v>
      </c>
      <c r="P100" s="2">
        <f t="shared" si="16"/>
        <v>36.354561125623981</v>
      </c>
      <c r="Q100" s="2">
        <f t="shared" si="17"/>
        <v>9.5080874376016311E-2</v>
      </c>
      <c r="R100" s="2">
        <f t="shared" si="18"/>
        <v>0.2427010838440708</v>
      </c>
      <c r="S100" s="12">
        <v>155.195040344272</v>
      </c>
      <c r="T100" s="2">
        <f t="shared" si="19"/>
        <v>35.954389190747058</v>
      </c>
      <c r="U100" s="2">
        <f t="shared" si="20"/>
        <v>0.49525280925293913</v>
      </c>
      <c r="V100" s="2">
        <f t="shared" si="21"/>
        <v>6.5847497938985766</v>
      </c>
    </row>
    <row r="101" spans="1:22" x14ac:dyDescent="0.25">
      <c r="A101" t="s">
        <v>128</v>
      </c>
      <c r="B101" s="2">
        <v>3.6999999999999998E-2</v>
      </c>
      <c r="C101" s="8">
        <v>0</v>
      </c>
      <c r="D101" s="8">
        <v>17.486000000000001</v>
      </c>
      <c r="E101" s="8">
        <v>3.6999999999999998E-2</v>
      </c>
      <c r="F101" s="8">
        <v>0.75900000000000001</v>
      </c>
      <c r="G101" s="8">
        <v>2.1999999999999999E-2</v>
      </c>
      <c r="H101" s="8">
        <v>6.5000000000000002E-2</v>
      </c>
      <c r="I101" s="8">
        <v>2.8000000000000001E-2</v>
      </c>
      <c r="J101" s="8">
        <v>0.12</v>
      </c>
      <c r="K101" s="8">
        <f t="shared" si="11"/>
        <v>0.20699999999999999</v>
      </c>
      <c r="L101" s="8">
        <f t="shared" si="12"/>
        <v>36.587123000000005</v>
      </c>
      <c r="M101" s="1">
        <f t="shared" si="13"/>
        <v>207.69431059661005</v>
      </c>
      <c r="N101" s="1">
        <f t="shared" si="14"/>
        <v>5.757882129683089E+24</v>
      </c>
      <c r="O101" s="2">
        <f t="shared" si="15"/>
        <v>186.60025165957518</v>
      </c>
      <c r="P101" s="2">
        <f t="shared" si="16"/>
        <v>36.354561125623981</v>
      </c>
      <c r="Q101" s="2">
        <f t="shared" si="17"/>
        <v>0.23256187437602449</v>
      </c>
      <c r="R101" s="2">
        <f t="shared" si="18"/>
        <v>1.2622237488223715</v>
      </c>
      <c r="S101" s="12">
        <v>155.195040344272</v>
      </c>
      <c r="T101" s="2">
        <f t="shared" si="19"/>
        <v>35.954389190747058</v>
      </c>
      <c r="U101" s="2">
        <f t="shared" si="20"/>
        <v>0.63273380925294731</v>
      </c>
      <c r="V101" s="2">
        <f t="shared" si="21"/>
        <v>9.3433236101599828</v>
      </c>
    </row>
    <row r="102" spans="1:22" x14ac:dyDescent="0.25">
      <c r="A102" t="s">
        <v>129</v>
      </c>
      <c r="B102" s="2">
        <v>3.6999999999999998E-2</v>
      </c>
      <c r="C102" s="8">
        <v>0</v>
      </c>
      <c r="D102" s="8">
        <v>16.667000000000002</v>
      </c>
      <c r="E102" s="8">
        <v>2.9000000000000001E-2</v>
      </c>
      <c r="F102" s="8">
        <v>1.1850000000000001</v>
      </c>
      <c r="G102" s="8">
        <v>2.7E-2</v>
      </c>
      <c r="H102" s="8">
        <v>-4.0000000000000001E-3</v>
      </c>
      <c r="I102" s="8">
        <v>2.1999999999999999E-2</v>
      </c>
      <c r="J102" s="8">
        <v>0.12</v>
      </c>
      <c r="K102" s="8">
        <f t="shared" si="11"/>
        <v>0.19800000000000001</v>
      </c>
      <c r="L102" s="8">
        <f t="shared" si="12"/>
        <v>36.046714999999999</v>
      </c>
      <c r="M102" s="1">
        <f t="shared" si="13"/>
        <v>161.93584804972488</v>
      </c>
      <c r="N102" s="1">
        <f t="shared" si="14"/>
        <v>5.757882129683089E+24</v>
      </c>
      <c r="O102" s="2">
        <f t="shared" si="15"/>
        <v>186.60025165957518</v>
      </c>
      <c r="P102" s="2">
        <f t="shared" si="16"/>
        <v>36.354561125623981</v>
      </c>
      <c r="Q102" s="2">
        <f t="shared" si="17"/>
        <v>-0.30784612562398195</v>
      </c>
      <c r="R102" s="2">
        <f t="shared" si="18"/>
        <v>2.4173359111747899</v>
      </c>
      <c r="S102" s="12">
        <v>155.195040344272</v>
      </c>
      <c r="T102" s="2">
        <f t="shared" si="19"/>
        <v>35.954389190747058</v>
      </c>
      <c r="U102" s="2">
        <f t="shared" si="20"/>
        <v>9.2325809252940871E-2</v>
      </c>
      <c r="V102" s="2">
        <f t="shared" si="21"/>
        <v>0.21742819748521633</v>
      </c>
    </row>
    <row r="103" spans="1:22" x14ac:dyDescent="0.25">
      <c r="A103" t="s">
        <v>130</v>
      </c>
      <c r="B103" s="2">
        <v>3.9E-2</v>
      </c>
      <c r="C103" s="8">
        <v>1E-3</v>
      </c>
      <c r="D103" s="8">
        <v>16.791</v>
      </c>
      <c r="E103" s="8">
        <v>2.4E-2</v>
      </c>
      <c r="F103" s="8">
        <v>1.234</v>
      </c>
      <c r="G103" s="8">
        <v>1.6E-2</v>
      </c>
      <c r="H103" s="8">
        <v>-3.2000000000000001E-2</v>
      </c>
      <c r="I103" s="8">
        <v>2.1999999999999999E-2</v>
      </c>
      <c r="J103" s="8">
        <v>0.12</v>
      </c>
      <c r="K103" s="8">
        <f t="shared" si="11"/>
        <v>0.182</v>
      </c>
      <c r="L103" s="8">
        <f t="shared" si="12"/>
        <v>36.265557999999999</v>
      </c>
      <c r="M103" s="1">
        <f t="shared" si="13"/>
        <v>179.10660424536417</v>
      </c>
      <c r="N103" s="1">
        <f t="shared" si="14"/>
        <v>6.0748596330164026E+24</v>
      </c>
      <c r="O103" s="2">
        <f t="shared" si="15"/>
        <v>196.87279294476394</v>
      </c>
      <c r="P103" s="2">
        <f t="shared" si="16"/>
        <v>36.470928512372303</v>
      </c>
      <c r="Q103" s="2">
        <f t="shared" si="17"/>
        <v>-0.20537051237230486</v>
      </c>
      <c r="R103" s="2">
        <f t="shared" si="18"/>
        <v>1.2733077935051027</v>
      </c>
      <c r="S103" s="12">
        <v>163.82439427338207</v>
      </c>
      <c r="T103" s="2">
        <f t="shared" si="19"/>
        <v>36.071892854323117</v>
      </c>
      <c r="U103" s="2">
        <f t="shared" si="20"/>
        <v>0.19366514567688142</v>
      </c>
      <c r="V103" s="2">
        <f t="shared" si="21"/>
        <v>1.1322964814046523</v>
      </c>
    </row>
    <row r="104" spans="1:22" x14ac:dyDescent="0.25">
      <c r="A104" t="s">
        <v>131</v>
      </c>
      <c r="B104" s="2">
        <v>3.7999999999999999E-2</v>
      </c>
      <c r="C104" s="8">
        <v>1E-3</v>
      </c>
      <c r="D104" s="8">
        <v>16.690000000000001</v>
      </c>
      <c r="E104" s="8">
        <v>2.4E-2</v>
      </c>
      <c r="F104" s="8">
        <v>1.0449999999999999</v>
      </c>
      <c r="G104" s="8">
        <v>1.7999999999999999E-2</v>
      </c>
      <c r="H104" s="8">
        <v>-5.8000000000000003E-2</v>
      </c>
      <c r="I104" s="8">
        <v>2.1000000000000001E-2</v>
      </c>
      <c r="J104" s="8">
        <v>0.12</v>
      </c>
      <c r="K104" s="8">
        <f t="shared" si="11"/>
        <v>0.183</v>
      </c>
      <c r="L104" s="8">
        <f t="shared" si="12"/>
        <v>36.218154999999996</v>
      </c>
      <c r="M104" s="1">
        <f t="shared" si="13"/>
        <v>175.23909433286479</v>
      </c>
      <c r="N104" s="1">
        <f t="shared" si="14"/>
        <v>5.9162986557960543E+24</v>
      </c>
      <c r="O104" s="2">
        <f t="shared" si="15"/>
        <v>191.73418163138271</v>
      </c>
      <c r="P104" s="2">
        <f t="shared" si="16"/>
        <v>36.41349772063883</v>
      </c>
      <c r="Q104" s="2">
        <f t="shared" si="17"/>
        <v>-0.19534272063883407</v>
      </c>
      <c r="R104" s="2">
        <f t="shared" si="18"/>
        <v>1.139442160308805</v>
      </c>
      <c r="S104" s="12">
        <v>159.50667689139809</v>
      </c>
      <c r="T104" s="2">
        <f t="shared" si="19"/>
        <v>36.013894335912667</v>
      </c>
      <c r="U104" s="2">
        <f t="shared" si="20"/>
        <v>0.20426066408732879</v>
      </c>
      <c r="V104" s="2">
        <f t="shared" si="21"/>
        <v>1.2458544266295373</v>
      </c>
    </row>
    <row r="105" spans="1:22" x14ac:dyDescent="0.25">
      <c r="A105" t="s">
        <v>132</v>
      </c>
      <c r="B105" s="2">
        <v>3.9E-2</v>
      </c>
      <c r="C105" s="8">
        <v>1E-3</v>
      </c>
      <c r="D105" s="8">
        <v>16.763000000000002</v>
      </c>
      <c r="E105" s="8">
        <v>2.5999999999999999E-2</v>
      </c>
      <c r="F105" s="8">
        <v>1.1519999999999999</v>
      </c>
      <c r="G105" s="8">
        <v>1.4999999999999999E-2</v>
      </c>
      <c r="H105" s="8">
        <v>-0.01</v>
      </c>
      <c r="I105" s="8">
        <v>2.1000000000000001E-2</v>
      </c>
      <c r="J105" s="8">
        <v>0.12</v>
      </c>
      <c r="K105" s="8">
        <f t="shared" si="11"/>
        <v>0.182</v>
      </c>
      <c r="L105" s="8">
        <f t="shared" si="12"/>
        <v>36.156644</v>
      </c>
      <c r="M105" s="1">
        <f t="shared" si="13"/>
        <v>170.34476834928009</v>
      </c>
      <c r="N105" s="1">
        <f t="shared" si="14"/>
        <v>6.0748596330164026E+24</v>
      </c>
      <c r="O105" s="2">
        <f t="shared" si="15"/>
        <v>196.87279294476394</v>
      </c>
      <c r="P105" s="2">
        <f t="shared" si="16"/>
        <v>36.470928512372303</v>
      </c>
      <c r="Q105" s="2">
        <f t="shared" si="17"/>
        <v>-0.31428451237230348</v>
      </c>
      <c r="R105" s="2">
        <f t="shared" si="18"/>
        <v>2.9819694094039542</v>
      </c>
      <c r="S105" s="12">
        <v>163.82439427338207</v>
      </c>
      <c r="T105" s="2">
        <f t="shared" si="19"/>
        <v>36.071892854323117</v>
      </c>
      <c r="U105" s="2">
        <f t="shared" si="20"/>
        <v>8.47511456768828E-2</v>
      </c>
      <c r="V105" s="2">
        <f t="shared" si="21"/>
        <v>0.21684448416689439</v>
      </c>
    </row>
    <row r="106" spans="1:22" x14ac:dyDescent="0.25">
      <c r="A106" t="s">
        <v>133</v>
      </c>
      <c r="B106" s="2">
        <v>0.04</v>
      </c>
      <c r="C106" s="8">
        <v>0</v>
      </c>
      <c r="D106" s="8">
        <v>16.986000000000001</v>
      </c>
      <c r="E106" s="8">
        <v>4.7E-2</v>
      </c>
      <c r="F106" s="8">
        <v>1.1080000000000001</v>
      </c>
      <c r="G106" s="8">
        <v>6.6000000000000003E-2</v>
      </c>
      <c r="H106" s="8">
        <v>-4.9000000000000002E-2</v>
      </c>
      <c r="I106" s="8">
        <v>2.5999999999999999E-2</v>
      </c>
      <c r="J106" s="8">
        <v>0.12</v>
      </c>
      <c r="K106" s="8">
        <f t="shared" si="11"/>
        <v>0.25900000000000001</v>
      </c>
      <c r="L106" s="8">
        <f t="shared" si="12"/>
        <v>36.495245999999995</v>
      </c>
      <c r="M106" s="1">
        <f t="shared" si="13"/>
        <v>199.08988695437671</v>
      </c>
      <c r="N106" s="1">
        <f t="shared" si="14"/>
        <v>6.2335648489160371E+24</v>
      </c>
      <c r="O106" s="2">
        <f t="shared" si="15"/>
        <v>202.01607871539312</v>
      </c>
      <c r="P106" s="2">
        <f t="shared" si="16"/>
        <v>36.526929684348843</v>
      </c>
      <c r="Q106" s="2">
        <f t="shared" si="17"/>
        <v>-3.1683684348848828E-2</v>
      </c>
      <c r="R106" s="2">
        <f t="shared" si="18"/>
        <v>1.4964831381724903E-2</v>
      </c>
      <c r="S106" s="12">
        <v>168.14818586592432</v>
      </c>
      <c r="T106" s="2">
        <f t="shared" si="19"/>
        <v>36.128460930579507</v>
      </c>
      <c r="U106" s="2">
        <f t="shared" si="20"/>
        <v>0.36678506942048728</v>
      </c>
      <c r="V106" s="2">
        <f t="shared" si="21"/>
        <v>2.0055050930933001</v>
      </c>
    </row>
    <row r="107" spans="1:22" x14ac:dyDescent="0.25">
      <c r="A107" t="s">
        <v>134</v>
      </c>
      <c r="B107" s="2">
        <v>4.1000000000000002E-2</v>
      </c>
      <c r="C107" s="8">
        <v>0</v>
      </c>
      <c r="D107" s="8">
        <v>17.673999999999999</v>
      </c>
      <c r="E107" s="8">
        <v>3.5000000000000003E-2</v>
      </c>
      <c r="F107" s="8">
        <v>0.84399999999999997</v>
      </c>
      <c r="G107" s="8">
        <v>2.3E-2</v>
      </c>
      <c r="H107" s="8">
        <v>9.2999999999999999E-2</v>
      </c>
      <c r="I107" s="8">
        <v>2.3E-2</v>
      </c>
      <c r="J107" s="8">
        <v>0.12</v>
      </c>
      <c r="K107" s="8">
        <f t="shared" si="11"/>
        <v>0.20100000000000001</v>
      </c>
      <c r="L107" s="8">
        <f t="shared" si="12"/>
        <v>36.699978000000002</v>
      </c>
      <c r="M107" s="1">
        <f t="shared" si="13"/>
        <v>218.77394590297055</v>
      </c>
      <c r="N107" s="1">
        <f t="shared" si="14"/>
        <v>6.3924140914831787E+24</v>
      </c>
      <c r="O107" s="2">
        <f t="shared" si="15"/>
        <v>207.16403207243638</v>
      </c>
      <c r="P107" s="2">
        <f t="shared" si="16"/>
        <v>36.581571775915627</v>
      </c>
      <c r="Q107" s="2">
        <f t="shared" si="17"/>
        <v>0.1184062240843744</v>
      </c>
      <c r="R107" s="2">
        <f t="shared" si="18"/>
        <v>0.34702195247442097</v>
      </c>
      <c r="S107" s="12">
        <v>172.47804504653078</v>
      </c>
      <c r="T107" s="2">
        <f t="shared" si="19"/>
        <v>36.183669105105238</v>
      </c>
      <c r="U107" s="2">
        <f t="shared" si="20"/>
        <v>0.51630889489476317</v>
      </c>
      <c r="V107" s="2">
        <f t="shared" si="21"/>
        <v>6.5982246713559451</v>
      </c>
    </row>
    <row r="108" spans="1:22" x14ac:dyDescent="0.25">
      <c r="A108" t="s">
        <v>135</v>
      </c>
      <c r="B108" s="2">
        <v>4.2000000000000003E-2</v>
      </c>
      <c r="C108" s="8">
        <v>0</v>
      </c>
      <c r="D108" s="8">
        <v>17.344999999999999</v>
      </c>
      <c r="E108" s="8">
        <v>5.0999999999999997E-2</v>
      </c>
      <c r="F108" s="8">
        <v>0.81499999999999995</v>
      </c>
      <c r="G108" s="8">
        <v>2.9000000000000001E-2</v>
      </c>
      <c r="H108" s="8">
        <v>-3.5000000000000003E-2</v>
      </c>
      <c r="I108" s="8">
        <v>0.04</v>
      </c>
      <c r="J108" s="8">
        <v>0.12</v>
      </c>
      <c r="K108" s="8">
        <f t="shared" si="11"/>
        <v>0.24</v>
      </c>
      <c r="L108" s="8">
        <f t="shared" si="12"/>
        <v>36.767354999999995</v>
      </c>
      <c r="M108" s="1">
        <f t="shared" si="13"/>
        <v>225.66853003779119</v>
      </c>
      <c r="N108" s="1">
        <f t="shared" si="14"/>
        <v>6.5514071491213544E+24</v>
      </c>
      <c r="O108" s="2">
        <f t="shared" si="15"/>
        <v>212.31664615851909</v>
      </c>
      <c r="P108" s="2">
        <f t="shared" si="16"/>
        <v>36.634920226397192</v>
      </c>
      <c r="Q108" s="2">
        <f t="shared" si="17"/>
        <v>0.13243477360280309</v>
      </c>
      <c r="R108" s="2">
        <f t="shared" si="18"/>
        <v>0.30449599408377975</v>
      </c>
      <c r="S108" s="12">
        <v>176.81396519453855</v>
      </c>
      <c r="T108" s="2">
        <f t="shared" si="19"/>
        <v>36.237582818300602</v>
      </c>
      <c r="U108" s="2">
        <f t="shared" si="20"/>
        <v>0.52977218169939277</v>
      </c>
      <c r="V108" s="2">
        <f t="shared" si="21"/>
        <v>4.8725445226134454</v>
      </c>
    </row>
    <row r="109" spans="1:22" x14ac:dyDescent="0.25">
      <c r="A109" t="s">
        <v>136</v>
      </c>
      <c r="B109" s="2">
        <v>4.2000000000000003E-2</v>
      </c>
      <c r="C109" s="8">
        <v>0</v>
      </c>
      <c r="D109" s="8">
        <v>17.649000000000001</v>
      </c>
      <c r="E109" s="8">
        <v>0.03</v>
      </c>
      <c r="F109" s="8">
        <v>0.99</v>
      </c>
      <c r="G109" s="8">
        <v>2.9000000000000001E-2</v>
      </c>
      <c r="H109" s="8">
        <v>6.5000000000000002E-2</v>
      </c>
      <c r="I109" s="8">
        <v>3.5999999999999997E-2</v>
      </c>
      <c r="J109" s="8">
        <v>0.12</v>
      </c>
      <c r="K109" s="8">
        <f t="shared" si="11"/>
        <v>0.215</v>
      </c>
      <c r="L109" s="8">
        <f t="shared" si="12"/>
        <v>36.784080000000003</v>
      </c>
      <c r="M109" s="1">
        <f t="shared" si="13"/>
        <v>227.41337315354698</v>
      </c>
      <c r="N109" s="1">
        <f t="shared" si="14"/>
        <v>6.5514071491213544E+24</v>
      </c>
      <c r="O109" s="2">
        <f t="shared" si="15"/>
        <v>212.31664615851909</v>
      </c>
      <c r="P109" s="2">
        <f t="shared" si="16"/>
        <v>36.634920226397192</v>
      </c>
      <c r="Q109" s="2">
        <f t="shared" si="17"/>
        <v>0.14915977360281119</v>
      </c>
      <c r="R109" s="2">
        <f t="shared" si="18"/>
        <v>0.48131180229836429</v>
      </c>
      <c r="S109" s="12">
        <v>176.81396519453855</v>
      </c>
      <c r="T109" s="2">
        <f t="shared" si="19"/>
        <v>36.237582818300602</v>
      </c>
      <c r="U109" s="2">
        <f t="shared" si="20"/>
        <v>0.54649718169940087</v>
      </c>
      <c r="V109" s="2">
        <f t="shared" si="21"/>
        <v>6.4609879849732392</v>
      </c>
    </row>
    <row r="110" spans="1:22" x14ac:dyDescent="0.25">
      <c r="A110" t="s">
        <v>137</v>
      </c>
      <c r="B110" s="2">
        <v>4.7E-2</v>
      </c>
      <c r="C110" s="8">
        <v>1E-3</v>
      </c>
      <c r="D110" s="8">
        <v>17.439</v>
      </c>
      <c r="E110" s="8">
        <v>2.3E-2</v>
      </c>
      <c r="F110" s="8">
        <v>1.141</v>
      </c>
      <c r="G110" s="8">
        <v>1.2999999999999999E-2</v>
      </c>
      <c r="H110" s="8">
        <v>0.10100000000000001</v>
      </c>
      <c r="I110" s="8">
        <v>2.1999999999999999E-2</v>
      </c>
      <c r="J110" s="8">
        <v>0.12</v>
      </c>
      <c r="K110" s="8">
        <f t="shared" si="11"/>
        <v>0.17799999999999999</v>
      </c>
      <c r="L110" s="8">
        <f t="shared" si="12"/>
        <v>36.483597000000003</v>
      </c>
      <c r="M110" s="1">
        <f t="shared" si="13"/>
        <v>198.02471640461786</v>
      </c>
      <c r="N110" s="1">
        <f t="shared" si="14"/>
        <v>7.348522286444408E+24</v>
      </c>
      <c r="O110" s="2">
        <f t="shared" si="15"/>
        <v>238.14938845439607</v>
      </c>
      <c r="P110" s="2">
        <f t="shared" si="16"/>
        <v>36.88424735310489</v>
      </c>
      <c r="Q110" s="2">
        <f t="shared" si="17"/>
        <v>-0.40065035310488639</v>
      </c>
      <c r="R110" s="2">
        <f t="shared" si="18"/>
        <v>5.0663017751253054</v>
      </c>
      <c r="S110" s="12">
        <v>198.58424885377522</v>
      </c>
      <c r="T110" s="2">
        <f t="shared" si="19"/>
        <v>36.489723992519572</v>
      </c>
      <c r="U110" s="2">
        <f t="shared" si="20"/>
        <v>-6.1269925195688302E-3</v>
      </c>
      <c r="V110" s="2">
        <f t="shared" si="21"/>
        <v>1.1848263266902035E-3</v>
      </c>
    </row>
    <row r="111" spans="1:22" x14ac:dyDescent="0.25">
      <c r="A111" t="s">
        <v>138</v>
      </c>
      <c r="B111" s="2">
        <v>4.4999999999999998E-2</v>
      </c>
      <c r="C111" s="8">
        <v>0</v>
      </c>
      <c r="D111" s="8">
        <v>17.302</v>
      </c>
      <c r="E111" s="8">
        <v>2.5000000000000001E-2</v>
      </c>
      <c r="F111" s="8">
        <v>1.0780000000000001</v>
      </c>
      <c r="G111" s="8">
        <v>1.0999999999999999E-2</v>
      </c>
      <c r="H111" s="8">
        <v>-6.0000000000000001E-3</v>
      </c>
      <c r="I111" s="8">
        <v>2.4E-2</v>
      </c>
      <c r="J111" s="8">
        <v>0.12</v>
      </c>
      <c r="K111" s="8">
        <f t="shared" si="11"/>
        <v>0.18</v>
      </c>
      <c r="L111" s="8">
        <f t="shared" si="12"/>
        <v>36.672246000000001</v>
      </c>
      <c r="M111" s="1">
        <f t="shared" si="13"/>
        <v>215.99773645880614</v>
      </c>
      <c r="N111" s="1">
        <f t="shared" si="14"/>
        <v>7.0292471027055245E+24</v>
      </c>
      <c r="O111" s="2">
        <f t="shared" si="15"/>
        <v>227.80238441845</v>
      </c>
      <c r="P111" s="2">
        <f t="shared" si="16"/>
        <v>36.787791327739896</v>
      </c>
      <c r="Q111" s="2">
        <f t="shared" si="17"/>
        <v>-0.11554532773989479</v>
      </c>
      <c r="R111" s="2">
        <f t="shared" si="18"/>
        <v>0.41205934452221293</v>
      </c>
      <c r="S111" s="12">
        <v>189.85802526434165</v>
      </c>
      <c r="T111" s="2">
        <f t="shared" si="19"/>
        <v>36.392144797064525</v>
      </c>
      <c r="U111" s="2">
        <f t="shared" si="20"/>
        <v>0.28010120293547658</v>
      </c>
      <c r="V111" s="2">
        <f t="shared" si="21"/>
        <v>2.4215025890710198</v>
      </c>
    </row>
    <row r="112" spans="1:22" x14ac:dyDescent="0.25">
      <c r="A112" t="s">
        <v>139</v>
      </c>
      <c r="B112" s="2">
        <v>4.9000000000000002E-2</v>
      </c>
      <c r="C112" s="8">
        <v>0</v>
      </c>
      <c r="D112" s="8">
        <v>17.864999999999998</v>
      </c>
      <c r="E112" s="8">
        <v>4.2999999999999997E-2</v>
      </c>
      <c r="F112" s="8">
        <v>0.88400000000000001</v>
      </c>
      <c r="G112" s="8">
        <v>3.7999999999999999E-2</v>
      </c>
      <c r="H112" s="8">
        <v>8.5000000000000006E-2</v>
      </c>
      <c r="I112" s="8">
        <v>0.04</v>
      </c>
      <c r="J112" s="8">
        <v>0.12</v>
      </c>
      <c r="K112" s="8">
        <f t="shared" si="11"/>
        <v>0.24099999999999999</v>
      </c>
      <c r="L112" s="8">
        <f t="shared" si="12"/>
        <v>36.921897999999999</v>
      </c>
      <c r="M112" s="1">
        <f t="shared" si="13"/>
        <v>242.31460996174712</v>
      </c>
      <c r="N112" s="1">
        <f t="shared" si="14"/>
        <v>7.6683676872188104E+24</v>
      </c>
      <c r="O112" s="2">
        <f t="shared" si="15"/>
        <v>248.51487196594309</v>
      </c>
      <c r="P112" s="2">
        <f t="shared" si="16"/>
        <v>36.976761917449004</v>
      </c>
      <c r="Q112" s="2">
        <f t="shared" si="17"/>
        <v>-5.4863917449004873E-2</v>
      </c>
      <c r="R112" s="2">
        <f t="shared" si="18"/>
        <v>5.182502776899884E-2</v>
      </c>
      <c r="S112" s="12">
        <v>207.33455757840622</v>
      </c>
      <c r="T112" s="2">
        <f t="shared" si="19"/>
        <v>36.583358471752319</v>
      </c>
      <c r="U112" s="2">
        <f t="shared" si="20"/>
        <v>0.3385395282476793</v>
      </c>
      <c r="V112" s="2">
        <f t="shared" si="21"/>
        <v>1.9732616894709329</v>
      </c>
    </row>
    <row r="113" spans="1:22" x14ac:dyDescent="0.25">
      <c r="A113" t="s">
        <v>140</v>
      </c>
      <c r="B113" s="2">
        <v>4.9000000000000002E-2</v>
      </c>
      <c r="C113" s="8">
        <v>0</v>
      </c>
      <c r="D113" s="8">
        <v>17.091000000000001</v>
      </c>
      <c r="E113" s="8">
        <v>2.5999999999999999E-2</v>
      </c>
      <c r="F113" s="8">
        <v>1.085</v>
      </c>
      <c r="G113" s="8">
        <v>1.6E-2</v>
      </c>
      <c r="H113" s="8">
        <v>-1.2E-2</v>
      </c>
      <c r="I113" s="8">
        <v>2.1999999999999999E-2</v>
      </c>
      <c r="J113" s="8">
        <v>0.12</v>
      </c>
      <c r="K113" s="8">
        <f t="shared" si="11"/>
        <v>0.184</v>
      </c>
      <c r="L113" s="8">
        <f t="shared" si="12"/>
        <v>36.481054999999998</v>
      </c>
      <c r="M113" s="1">
        <f t="shared" si="13"/>
        <v>197.79303751909211</v>
      </c>
      <c r="N113" s="1">
        <f t="shared" si="14"/>
        <v>7.6683676872188104E+24</v>
      </c>
      <c r="O113" s="2">
        <f t="shared" si="15"/>
        <v>248.51487196594309</v>
      </c>
      <c r="P113" s="2">
        <f t="shared" si="16"/>
        <v>36.976761917449004</v>
      </c>
      <c r="Q113" s="2">
        <f t="shared" si="17"/>
        <v>-0.49570691744900586</v>
      </c>
      <c r="R113" s="2">
        <f t="shared" si="18"/>
        <v>7.2579556949077135</v>
      </c>
      <c r="S113" s="12">
        <v>207.33455757840622</v>
      </c>
      <c r="T113" s="2">
        <f t="shared" si="19"/>
        <v>36.583358471752319</v>
      </c>
      <c r="U113" s="2">
        <f t="shared" si="20"/>
        <v>-0.10230347175232168</v>
      </c>
      <c r="V113" s="2">
        <f t="shared" si="21"/>
        <v>0.30913280755488193</v>
      </c>
    </row>
    <row r="114" spans="1:22" x14ac:dyDescent="0.25">
      <c r="A114" t="s">
        <v>141</v>
      </c>
      <c r="B114" s="2">
        <v>0.05</v>
      </c>
      <c r="C114" s="8">
        <v>0</v>
      </c>
      <c r="D114" s="8">
        <v>17.795999999999999</v>
      </c>
      <c r="E114" s="8">
        <v>2.5999999999999999E-2</v>
      </c>
      <c r="F114" s="8">
        <v>0.74099999999999999</v>
      </c>
      <c r="G114" s="8">
        <v>1.7999999999999999E-2</v>
      </c>
      <c r="H114" s="8">
        <v>-6.0000000000000001E-3</v>
      </c>
      <c r="I114" s="8">
        <v>3.4000000000000002E-2</v>
      </c>
      <c r="J114" s="8">
        <v>0.12</v>
      </c>
      <c r="K114" s="8">
        <f t="shared" si="11"/>
        <v>0.19800000000000001</v>
      </c>
      <c r="L114" s="8">
        <f t="shared" si="12"/>
        <v>37.116706999999998</v>
      </c>
      <c r="M114" s="1">
        <f t="shared" si="13"/>
        <v>265.05829498656789</v>
      </c>
      <c r="N114" s="1">
        <f t="shared" si="14"/>
        <v>7.8285036974543593E+24</v>
      </c>
      <c r="O114" s="2">
        <f t="shared" si="15"/>
        <v>253.70452662310751</v>
      </c>
      <c r="P114" s="2">
        <f t="shared" si="16"/>
        <v>37.021641080095634</v>
      </c>
      <c r="Q114" s="2">
        <f t="shared" si="17"/>
        <v>9.5065919904364193E-2</v>
      </c>
      <c r="R114" s="2">
        <f t="shared" si="18"/>
        <v>0.23052568940064755</v>
      </c>
      <c r="S114" s="12">
        <v>211.71872734985874</v>
      </c>
      <c r="T114" s="2">
        <f t="shared" si="19"/>
        <v>36.628796373823747</v>
      </c>
      <c r="U114" s="2">
        <f t="shared" si="20"/>
        <v>0.48791062617625158</v>
      </c>
      <c r="V114" s="2">
        <f t="shared" si="21"/>
        <v>6.072257400665797</v>
      </c>
    </row>
    <row r="115" spans="1:22" x14ac:dyDescent="0.25">
      <c r="A115" t="s">
        <v>142</v>
      </c>
      <c r="B115" s="2">
        <v>5.2999999999999999E-2</v>
      </c>
      <c r="C115" s="8">
        <v>0</v>
      </c>
      <c r="D115" s="8">
        <v>17.655999999999999</v>
      </c>
      <c r="E115" s="8">
        <v>2.9000000000000001E-2</v>
      </c>
      <c r="F115" s="8">
        <v>0.90600000000000003</v>
      </c>
      <c r="G115" s="8">
        <v>1.2999999999999999E-2</v>
      </c>
      <c r="H115" s="8">
        <v>-7.2999999999999995E-2</v>
      </c>
      <c r="I115" s="8">
        <v>3.4000000000000002E-2</v>
      </c>
      <c r="J115" s="8">
        <v>0.12</v>
      </c>
      <c r="K115" s="8">
        <f t="shared" si="11"/>
        <v>0.19600000000000001</v>
      </c>
      <c r="L115" s="8">
        <f t="shared" si="12"/>
        <v>37.210672000000002</v>
      </c>
      <c r="M115" s="1">
        <f t="shared" si="13"/>
        <v>276.77980562582621</v>
      </c>
      <c r="N115" s="1">
        <f t="shared" si="14"/>
        <v>8.3097624739175846E+24</v>
      </c>
      <c r="O115" s="2">
        <f t="shared" si="15"/>
        <v>269.30106138689916</v>
      </c>
      <c r="P115" s="2">
        <f t="shared" si="16"/>
        <v>37.151190325423038</v>
      </c>
      <c r="Q115" s="2">
        <f t="shared" si="17"/>
        <v>5.9481674576964849E-2</v>
      </c>
      <c r="R115" s="2">
        <f t="shared" si="18"/>
        <v>9.2098854916699974E-2</v>
      </c>
      <c r="S115" s="12">
        <v>224.90721907052409</v>
      </c>
      <c r="T115" s="2">
        <f t="shared" si="19"/>
        <v>36.760016978204746</v>
      </c>
      <c r="U115" s="2">
        <f t="shared" si="20"/>
        <v>0.45065502179525652</v>
      </c>
      <c r="V115" s="2">
        <f t="shared" si="21"/>
        <v>5.2865979974303174</v>
      </c>
    </row>
    <row r="116" spans="1:22" x14ac:dyDescent="0.25">
      <c r="A116" t="s">
        <v>143</v>
      </c>
      <c r="B116" s="2">
        <v>5.5E-2</v>
      </c>
      <c r="C116" s="8">
        <v>1E-3</v>
      </c>
      <c r="D116" s="8">
        <v>17.905999999999999</v>
      </c>
      <c r="E116" s="8">
        <v>3.5000000000000003E-2</v>
      </c>
      <c r="F116" s="8">
        <v>0.95</v>
      </c>
      <c r="G116" s="8">
        <v>3.1E-2</v>
      </c>
      <c r="H116" s="8">
        <v>-1.7000000000000001E-2</v>
      </c>
      <c r="I116" s="8">
        <v>2.5999999999999999E-2</v>
      </c>
      <c r="J116" s="8">
        <v>0.12</v>
      </c>
      <c r="K116" s="8">
        <f t="shared" si="11"/>
        <v>0.21199999999999999</v>
      </c>
      <c r="L116" s="8">
        <f t="shared" si="12"/>
        <v>37.29186</v>
      </c>
      <c r="M116" s="1">
        <f t="shared" si="13"/>
        <v>287.32406360335602</v>
      </c>
      <c r="N116" s="1">
        <f t="shared" si="14"/>
        <v>8.63130854308254E+24</v>
      </c>
      <c r="O116" s="2">
        <f t="shared" si="15"/>
        <v>279.72165980745598</v>
      </c>
      <c r="P116" s="2">
        <f t="shared" si="16"/>
        <v>37.233630482923957</v>
      </c>
      <c r="Q116" s="2">
        <f t="shared" si="17"/>
        <v>5.822951707604318E-2</v>
      </c>
      <c r="R116" s="2">
        <f t="shared" si="18"/>
        <v>7.5442253891714231E-2</v>
      </c>
      <c r="S116" s="12">
        <v>233.72946623972933</v>
      </c>
      <c r="T116" s="2">
        <f t="shared" si="19"/>
        <v>36.843567336428904</v>
      </c>
      <c r="U116" s="2">
        <f t="shared" si="20"/>
        <v>0.44829266357109532</v>
      </c>
      <c r="V116" s="2">
        <f t="shared" si="21"/>
        <v>4.4714825607793536</v>
      </c>
    </row>
    <row r="117" spans="1:22" x14ac:dyDescent="0.25">
      <c r="A117" t="s">
        <v>144</v>
      </c>
      <c r="B117" s="2">
        <v>5.3999999999999999E-2</v>
      </c>
      <c r="C117" s="8">
        <v>0</v>
      </c>
      <c r="D117" s="8">
        <v>17.545999999999999</v>
      </c>
      <c r="E117" s="8">
        <v>4.2000000000000003E-2</v>
      </c>
      <c r="F117" s="8">
        <v>0.84399999999999997</v>
      </c>
      <c r="G117" s="8">
        <v>4.9000000000000002E-2</v>
      </c>
      <c r="H117" s="8">
        <v>-8.7999999999999995E-2</v>
      </c>
      <c r="I117" s="8">
        <v>2.9000000000000001E-2</v>
      </c>
      <c r="J117" s="8">
        <v>0.12</v>
      </c>
      <c r="K117" s="8">
        <f t="shared" si="11"/>
        <v>0.24</v>
      </c>
      <c r="L117" s="8">
        <f t="shared" si="12"/>
        <v>37.138508000000002</v>
      </c>
      <c r="M117" s="1">
        <f t="shared" si="13"/>
        <v>267.73281235916113</v>
      </c>
      <c r="N117" s="1">
        <f t="shared" si="14"/>
        <v>8.4704649576745971E+24</v>
      </c>
      <c r="O117" s="2">
        <f t="shared" si="15"/>
        <v>274.50907420063629</v>
      </c>
      <c r="P117" s="2">
        <f t="shared" si="16"/>
        <v>37.192783525535802</v>
      </c>
      <c r="Q117" s="2">
        <f t="shared" si="17"/>
        <v>-5.4275525535800284E-2</v>
      </c>
      <c r="R117" s="2">
        <f t="shared" si="18"/>
        <v>5.1142928336585222E-2</v>
      </c>
      <c r="S117" s="12">
        <v>229.31535511668108</v>
      </c>
      <c r="T117" s="2">
        <f t="shared" si="19"/>
        <v>36.802165681830459</v>
      </c>
      <c r="U117" s="2">
        <f t="shared" si="20"/>
        <v>0.33634231816954241</v>
      </c>
      <c r="V117" s="2">
        <f t="shared" si="21"/>
        <v>1.9639957463830158</v>
      </c>
    </row>
    <row r="118" spans="1:22" x14ac:dyDescent="0.25">
      <c r="A118" t="s">
        <v>145</v>
      </c>
      <c r="B118" s="2">
        <v>5.8999999999999997E-2</v>
      </c>
      <c r="C118" s="8">
        <v>0</v>
      </c>
      <c r="D118" s="8">
        <v>18.302</v>
      </c>
      <c r="E118" s="8">
        <v>2.5000000000000001E-2</v>
      </c>
      <c r="F118" s="8">
        <v>0.74099999999999999</v>
      </c>
      <c r="G118" s="8">
        <v>1.7999999999999999E-2</v>
      </c>
      <c r="H118" s="8">
        <v>2.1999999999999999E-2</v>
      </c>
      <c r="I118" s="8">
        <v>2.4E-2</v>
      </c>
      <c r="J118" s="8">
        <v>0.12</v>
      </c>
      <c r="K118" s="8">
        <f t="shared" si="11"/>
        <v>0.187</v>
      </c>
      <c r="L118" s="8">
        <f t="shared" si="12"/>
        <v>37.535066999999998</v>
      </c>
      <c r="M118" s="1">
        <f t="shared" si="13"/>
        <v>321.3759696509839</v>
      </c>
      <c r="N118" s="1">
        <f t="shared" si="14"/>
        <v>9.2760897894708338E+24</v>
      </c>
      <c r="O118" s="2">
        <f t="shared" si="15"/>
        <v>300.61759691272846</v>
      </c>
      <c r="P118" s="2">
        <f t="shared" si="16"/>
        <v>37.390071994002611</v>
      </c>
      <c r="Q118" s="2">
        <f t="shared" si="17"/>
        <v>0.14499500599738724</v>
      </c>
      <c r="R118" s="2">
        <f t="shared" si="18"/>
        <v>0.60120540376282883</v>
      </c>
      <c r="S118" s="12">
        <v>251.44552968626385</v>
      </c>
      <c r="T118" s="2">
        <f t="shared" si="19"/>
        <v>37.002219594697323</v>
      </c>
      <c r="U118" s="2">
        <f t="shared" si="20"/>
        <v>0.53284740530267527</v>
      </c>
      <c r="V118" s="2">
        <f t="shared" si="21"/>
        <v>8.1193730829532864</v>
      </c>
    </row>
    <row r="119" spans="1:22" x14ac:dyDescent="0.25">
      <c r="A119" t="s">
        <v>146</v>
      </c>
      <c r="B119" s="2">
        <v>5.8000000000000003E-2</v>
      </c>
      <c r="C119" s="8">
        <v>0</v>
      </c>
      <c r="D119" s="8">
        <v>17.954999999999998</v>
      </c>
      <c r="E119" s="8">
        <v>2.5999999999999999E-2</v>
      </c>
      <c r="F119" s="8">
        <v>1.131</v>
      </c>
      <c r="G119" s="8">
        <v>2.8000000000000001E-2</v>
      </c>
      <c r="H119" s="8">
        <v>2.3E-2</v>
      </c>
      <c r="I119" s="8">
        <v>2.1999999999999999E-2</v>
      </c>
      <c r="J119" s="8">
        <v>0.12</v>
      </c>
      <c r="K119" s="8">
        <f t="shared" si="11"/>
        <v>0.19600000000000001</v>
      </c>
      <c r="L119" s="8">
        <f t="shared" si="12"/>
        <v>37.242266999999998</v>
      </c>
      <c r="M119" s="1">
        <f t="shared" si="13"/>
        <v>280.83640178345036</v>
      </c>
      <c r="N119" s="1">
        <f t="shared" si="14"/>
        <v>9.1146838523366007E+24</v>
      </c>
      <c r="O119" s="2">
        <f t="shared" si="15"/>
        <v>295.38678672762052</v>
      </c>
      <c r="P119" s="2">
        <f t="shared" si="16"/>
        <v>37.351955322523068</v>
      </c>
      <c r="Q119" s="2">
        <f t="shared" si="17"/>
        <v>-0.10968832252306981</v>
      </c>
      <c r="R119" s="2">
        <f t="shared" si="18"/>
        <v>0.3131905481550652</v>
      </c>
      <c r="S119" s="12">
        <v>247.00758415737559</v>
      </c>
      <c r="T119" s="2">
        <f t="shared" si="19"/>
        <v>36.963551440531759</v>
      </c>
      <c r="U119" s="2">
        <f t="shared" si="20"/>
        <v>0.27871555946823889</v>
      </c>
      <c r="V119" s="2">
        <f t="shared" si="21"/>
        <v>2.0221356489403739</v>
      </c>
    </row>
    <row r="120" spans="1:22" x14ac:dyDescent="0.25">
      <c r="A120" t="s">
        <v>147</v>
      </c>
      <c r="B120" s="2">
        <v>6.3E-2</v>
      </c>
      <c r="C120" s="8">
        <v>0</v>
      </c>
      <c r="D120" s="8">
        <v>18.015000000000001</v>
      </c>
      <c r="E120" s="8">
        <v>2.5999999999999999E-2</v>
      </c>
      <c r="F120" s="8">
        <v>1.117</v>
      </c>
      <c r="G120" s="8">
        <v>0.01</v>
      </c>
      <c r="H120" s="8">
        <v>5.0999999999999997E-2</v>
      </c>
      <c r="I120" s="8">
        <v>2.4E-2</v>
      </c>
      <c r="J120" s="8">
        <v>0.12</v>
      </c>
      <c r="K120" s="8">
        <f t="shared" si="11"/>
        <v>0.18</v>
      </c>
      <c r="L120" s="8">
        <f t="shared" si="12"/>
        <v>37.212569000000002</v>
      </c>
      <c r="M120" s="1">
        <f t="shared" si="13"/>
        <v>277.02170632803131</v>
      </c>
      <c r="N120" s="1">
        <f t="shared" si="14"/>
        <v>9.923112263097039E+24</v>
      </c>
      <c r="O120" s="2">
        <f t="shared" si="15"/>
        <v>321.58616724619168</v>
      </c>
      <c r="P120" s="2">
        <f t="shared" si="16"/>
        <v>37.536486798363256</v>
      </c>
      <c r="Q120" s="2">
        <f t="shared" si="17"/>
        <v>-0.32391779836325441</v>
      </c>
      <c r="R120" s="2">
        <f t="shared" si="18"/>
        <v>3.2383561758178376</v>
      </c>
      <c r="S120" s="12">
        <v>269.25666737459142</v>
      </c>
      <c r="T120" s="2">
        <f t="shared" si="19"/>
        <v>37.150832330846249</v>
      </c>
      <c r="U120" s="2">
        <f t="shared" si="20"/>
        <v>6.1736669153752644E-2</v>
      </c>
      <c r="V120" s="2">
        <f t="shared" si="21"/>
        <v>0.11763630611728128</v>
      </c>
    </row>
    <row r="121" spans="1:22" x14ac:dyDescent="0.25">
      <c r="A121" t="s">
        <v>148</v>
      </c>
      <c r="B121" s="2">
        <v>6.3E-2</v>
      </c>
      <c r="C121" s="8">
        <v>0</v>
      </c>
      <c r="D121" s="8">
        <v>18.317</v>
      </c>
      <c r="E121" s="8">
        <v>0.04</v>
      </c>
      <c r="F121" s="8">
        <v>0.96599999999999997</v>
      </c>
      <c r="G121" s="8">
        <v>3.6999999999999998E-2</v>
      </c>
      <c r="H121" s="8">
        <v>-1.7999999999999999E-2</v>
      </c>
      <c r="I121" s="8">
        <v>0.04</v>
      </c>
      <c r="J121" s="8">
        <v>0.12</v>
      </c>
      <c r="K121" s="8">
        <f t="shared" si="11"/>
        <v>0.23699999999999999</v>
      </c>
      <c r="L121" s="8">
        <f t="shared" si="12"/>
        <v>37.708342000000002</v>
      </c>
      <c r="M121" s="1">
        <f t="shared" si="13"/>
        <v>348.07144804455714</v>
      </c>
      <c r="N121" s="1">
        <f t="shared" si="14"/>
        <v>9.923112263097039E+24</v>
      </c>
      <c r="O121" s="2">
        <f t="shared" si="15"/>
        <v>321.58616724619168</v>
      </c>
      <c r="P121" s="2">
        <f t="shared" si="16"/>
        <v>37.536486798363256</v>
      </c>
      <c r="Q121" s="2">
        <f t="shared" si="17"/>
        <v>0.17185520163674539</v>
      </c>
      <c r="R121" s="2">
        <f t="shared" si="18"/>
        <v>0.52580979418551899</v>
      </c>
      <c r="S121" s="12">
        <v>269.25666737459142</v>
      </c>
      <c r="T121" s="2">
        <f t="shared" si="19"/>
        <v>37.150832330846249</v>
      </c>
      <c r="U121" s="2">
        <f t="shared" si="20"/>
        <v>0.55750966915375244</v>
      </c>
      <c r="V121" s="2">
        <f t="shared" si="21"/>
        <v>5.5336045007019266</v>
      </c>
    </row>
    <row r="122" spans="1:22" x14ac:dyDescent="0.25">
      <c r="A122" t="s">
        <v>149</v>
      </c>
      <c r="B122" s="2">
        <v>6.5000000000000002E-2</v>
      </c>
      <c r="C122" s="8">
        <v>1E-3</v>
      </c>
      <c r="D122" s="8">
        <v>18.195</v>
      </c>
      <c r="E122" s="8">
        <v>3.5999999999999997E-2</v>
      </c>
      <c r="F122" s="8">
        <v>1.0609999999999999</v>
      </c>
      <c r="G122" s="8">
        <v>4.2000000000000003E-2</v>
      </c>
      <c r="H122" s="8">
        <v>1.6E-2</v>
      </c>
      <c r="I122" s="8">
        <v>2.4E-2</v>
      </c>
      <c r="J122" s="8">
        <v>0.12</v>
      </c>
      <c r="K122" s="8">
        <f t="shared" si="11"/>
        <v>0.222</v>
      </c>
      <c r="L122" s="8">
        <f t="shared" si="12"/>
        <v>37.493887000000001</v>
      </c>
      <c r="M122" s="1">
        <f t="shared" si="13"/>
        <v>315.33879229460251</v>
      </c>
      <c r="N122" s="1">
        <f t="shared" si="14"/>
        <v>1.024745989009911E+25</v>
      </c>
      <c r="O122" s="2">
        <f t="shared" si="15"/>
        <v>332.09755797295941</v>
      </c>
      <c r="P122" s="2">
        <f t="shared" si="16"/>
        <v>37.606328410470582</v>
      </c>
      <c r="Q122" s="2">
        <f t="shared" si="17"/>
        <v>-0.11244141047058065</v>
      </c>
      <c r="R122" s="2">
        <f t="shared" si="18"/>
        <v>0.25653499692828513</v>
      </c>
      <c r="S122" s="12">
        <v>278.19775748413133</v>
      </c>
      <c r="T122" s="2">
        <f t="shared" si="19"/>
        <v>37.221768124394572</v>
      </c>
      <c r="U122" s="2">
        <f t="shared" si="20"/>
        <v>0.27211887560542891</v>
      </c>
      <c r="V122" s="2">
        <f t="shared" si="21"/>
        <v>1.5024892959330185</v>
      </c>
    </row>
    <row r="123" spans="1:22" x14ac:dyDescent="0.25">
      <c r="A123" t="s">
        <v>150</v>
      </c>
      <c r="B123" s="2">
        <v>6.3E-2</v>
      </c>
      <c r="C123" s="8">
        <v>0</v>
      </c>
      <c r="D123" s="8">
        <v>17.832000000000001</v>
      </c>
      <c r="E123" s="8">
        <v>4.8000000000000001E-2</v>
      </c>
      <c r="F123" s="8">
        <v>1.198</v>
      </c>
      <c r="G123" s="8">
        <v>3.9E-2</v>
      </c>
      <c r="H123" s="8">
        <v>2E-3</v>
      </c>
      <c r="I123" s="8">
        <v>2.7E-2</v>
      </c>
      <c r="J123" s="8">
        <v>0.12</v>
      </c>
      <c r="K123" s="8">
        <f t="shared" si="11"/>
        <v>0.23399999999999999</v>
      </c>
      <c r="L123" s="8">
        <f t="shared" si="12"/>
        <v>37.194845999999998</v>
      </c>
      <c r="M123" s="1">
        <f t="shared" si="13"/>
        <v>274.76992804011155</v>
      </c>
      <c r="N123" s="1">
        <f t="shared" si="14"/>
        <v>9.923112263097039E+24</v>
      </c>
      <c r="O123" s="2">
        <f t="shared" si="15"/>
        <v>321.58616724619168</v>
      </c>
      <c r="P123" s="2">
        <f t="shared" si="16"/>
        <v>37.536486798363256</v>
      </c>
      <c r="Q123" s="2">
        <f t="shared" si="17"/>
        <v>-0.34164079836325811</v>
      </c>
      <c r="R123" s="2">
        <f t="shared" si="18"/>
        <v>2.1316099624933234</v>
      </c>
      <c r="S123" s="12">
        <v>269.25666737459142</v>
      </c>
      <c r="T123" s="2">
        <f t="shared" si="19"/>
        <v>37.150832330846249</v>
      </c>
      <c r="U123" s="2">
        <f t="shared" si="20"/>
        <v>4.4013669153748936E-2</v>
      </c>
      <c r="V123" s="2">
        <f t="shared" si="21"/>
        <v>3.5378827386508709E-2</v>
      </c>
    </row>
    <row r="124" spans="1:22" x14ac:dyDescent="0.25">
      <c r="A124" t="s">
        <v>7</v>
      </c>
      <c r="B124" s="2">
        <v>6.5000000000000002E-2</v>
      </c>
      <c r="C124" s="8">
        <v>0</v>
      </c>
      <c r="D124" s="8">
        <v>18.373000000000001</v>
      </c>
      <c r="E124" s="8">
        <v>2.9000000000000001E-2</v>
      </c>
      <c r="F124" s="8">
        <v>0.89100000000000001</v>
      </c>
      <c r="G124" s="8">
        <v>2.4E-2</v>
      </c>
      <c r="H124" s="8">
        <v>5.3999999999999999E-2</v>
      </c>
      <c r="I124" s="8">
        <v>2.7E-2</v>
      </c>
      <c r="J124" s="8">
        <v>0.12</v>
      </c>
      <c r="K124" s="8">
        <f t="shared" si="11"/>
        <v>0.2</v>
      </c>
      <c r="L124" s="8">
        <f t="shared" si="12"/>
        <v>37.527957000000001</v>
      </c>
      <c r="M124" s="1">
        <f t="shared" si="13"/>
        <v>320.32541686432074</v>
      </c>
      <c r="N124" s="1">
        <f t="shared" si="14"/>
        <v>1.024745989009911E+25</v>
      </c>
      <c r="O124" s="2">
        <f t="shared" si="15"/>
        <v>332.09755797295941</v>
      </c>
      <c r="P124" s="2">
        <f t="shared" si="16"/>
        <v>37.606328410470582</v>
      </c>
      <c r="Q124" s="2">
        <f t="shared" si="17"/>
        <v>-7.8371410470580827E-2</v>
      </c>
      <c r="R124" s="2">
        <f t="shared" si="18"/>
        <v>0.15355194947870662</v>
      </c>
      <c r="S124" s="12">
        <v>278.19775748413133</v>
      </c>
      <c r="T124" s="2">
        <f t="shared" si="19"/>
        <v>37.221768124394572</v>
      </c>
      <c r="U124" s="2">
        <f t="shared" si="20"/>
        <v>0.30618887560542873</v>
      </c>
      <c r="V124" s="2">
        <f t="shared" si="21"/>
        <v>2.3437906886129172</v>
      </c>
    </row>
    <row r="125" spans="1:22" x14ac:dyDescent="0.25">
      <c r="A125" t="s">
        <v>151</v>
      </c>
      <c r="B125" s="2">
        <v>6.7000000000000004E-2</v>
      </c>
      <c r="C125" s="8">
        <v>0</v>
      </c>
      <c r="D125" s="8">
        <v>18.640999999999998</v>
      </c>
      <c r="E125" s="8">
        <v>4.3999999999999997E-2</v>
      </c>
      <c r="F125" s="8">
        <v>0.94399999999999995</v>
      </c>
      <c r="G125" s="8">
        <v>1.6E-2</v>
      </c>
      <c r="H125" s="8">
        <v>0.129</v>
      </c>
      <c r="I125" s="8">
        <v>2.5999999999999999E-2</v>
      </c>
      <c r="J125" s="8">
        <v>0.12</v>
      </c>
      <c r="K125" s="8">
        <f t="shared" si="11"/>
        <v>0.20599999999999999</v>
      </c>
      <c r="L125" s="8">
        <f t="shared" si="12"/>
        <v>37.568997999999993</v>
      </c>
      <c r="M125" s="1">
        <f t="shared" si="13"/>
        <v>326.43716688306512</v>
      </c>
      <c r="N125" s="1">
        <f t="shared" si="14"/>
        <v>1.057236295248227E+25</v>
      </c>
      <c r="O125" s="2">
        <f t="shared" si="15"/>
        <v>342.62694913453242</v>
      </c>
      <c r="P125" s="2">
        <f t="shared" si="16"/>
        <v>37.674107595834663</v>
      </c>
      <c r="Q125" s="2">
        <f t="shared" si="17"/>
        <v>-0.10510959583466928</v>
      </c>
      <c r="R125" s="2">
        <f t="shared" si="18"/>
        <v>0.26034562957223883</v>
      </c>
      <c r="S125" s="12">
        <v>287.16245833955907</v>
      </c>
      <c r="T125" s="2">
        <f t="shared" si="19"/>
        <v>37.290638312919725</v>
      </c>
      <c r="U125" s="2">
        <f t="shared" si="20"/>
        <v>0.27835968708026826</v>
      </c>
      <c r="V125" s="2">
        <f t="shared" si="21"/>
        <v>1.8259052547701213</v>
      </c>
    </row>
    <row r="126" spans="1:22" x14ac:dyDescent="0.25">
      <c r="A126" t="s">
        <v>152</v>
      </c>
      <c r="B126" s="2">
        <v>6.9000000000000006E-2</v>
      </c>
      <c r="C126" s="8">
        <v>0</v>
      </c>
      <c r="D126" s="8">
        <v>18.484999999999999</v>
      </c>
      <c r="E126" s="8">
        <v>5.6000000000000001E-2</v>
      </c>
      <c r="F126" s="8">
        <v>0.80900000000000005</v>
      </c>
      <c r="G126" s="8">
        <v>0.04</v>
      </c>
      <c r="H126" s="8">
        <v>-6.3E-2</v>
      </c>
      <c r="I126" s="8">
        <v>3.2000000000000001E-2</v>
      </c>
      <c r="J126" s="8">
        <v>0.12</v>
      </c>
      <c r="K126" s="8">
        <f t="shared" si="11"/>
        <v>0.248</v>
      </c>
      <c r="L126" s="8">
        <f t="shared" si="12"/>
        <v>37.994112999999999</v>
      </c>
      <c r="M126" s="1">
        <f t="shared" si="13"/>
        <v>397.02933835530911</v>
      </c>
      <c r="N126" s="1">
        <f t="shared" si="14"/>
        <v>1.0897819839510769E+25</v>
      </c>
      <c r="O126" s="2">
        <f t="shared" si="15"/>
        <v>353.17428853052007</v>
      </c>
      <c r="P126" s="2">
        <f t="shared" si="16"/>
        <v>37.739945394746115</v>
      </c>
      <c r="Q126" s="2">
        <f t="shared" si="17"/>
        <v>0.25416760525388327</v>
      </c>
      <c r="R126" s="2">
        <f t="shared" si="18"/>
        <v>1.0503572379112551</v>
      </c>
      <c r="S126" s="12">
        <v>296.15071741630351</v>
      </c>
      <c r="T126" s="2">
        <f t="shared" si="19"/>
        <v>37.357563945218502</v>
      </c>
      <c r="U126" s="2">
        <f t="shared" si="20"/>
        <v>0.63654905478149715</v>
      </c>
      <c r="V126" s="2">
        <f t="shared" si="21"/>
        <v>6.5881031988686498</v>
      </c>
    </row>
    <row r="127" spans="1:22" x14ac:dyDescent="0.25">
      <c r="A127" t="s">
        <v>153</v>
      </c>
      <c r="B127" s="2">
        <v>7.0000000000000007E-2</v>
      </c>
      <c r="C127" s="8">
        <v>0</v>
      </c>
      <c r="D127" s="8">
        <v>18.497</v>
      </c>
      <c r="E127" s="8">
        <v>5.5E-2</v>
      </c>
      <c r="F127" s="8">
        <v>0.91400000000000003</v>
      </c>
      <c r="G127" s="8">
        <v>5.3999999999999999E-2</v>
      </c>
      <c r="H127" s="8">
        <v>5.7000000000000002E-2</v>
      </c>
      <c r="I127" s="8">
        <v>4.3999999999999997E-2</v>
      </c>
      <c r="J127" s="8">
        <v>0.12</v>
      </c>
      <c r="K127" s="8">
        <f t="shared" si="11"/>
        <v>0.27300000000000002</v>
      </c>
      <c r="L127" s="8">
        <f t="shared" si="12"/>
        <v>37.645948000000004</v>
      </c>
      <c r="M127" s="1">
        <f t="shared" si="13"/>
        <v>338.21245743786687</v>
      </c>
      <c r="N127" s="1">
        <f t="shared" si="14"/>
        <v>1.1060755465614259E+25</v>
      </c>
      <c r="O127" s="2">
        <f t="shared" si="15"/>
        <v>358.45467255896062</v>
      </c>
      <c r="P127" s="2">
        <f t="shared" si="16"/>
        <v>37.772171229557365</v>
      </c>
      <c r="Q127" s="2">
        <f t="shared" si="17"/>
        <v>-0.12622322955736109</v>
      </c>
      <c r="R127" s="2">
        <f t="shared" si="18"/>
        <v>0.21377321150009085</v>
      </c>
      <c r="S127" s="12">
        <v>300.65366488462064</v>
      </c>
      <c r="T127" s="2">
        <f t="shared" si="19"/>
        <v>37.390332510714117</v>
      </c>
      <c r="U127" s="2">
        <f t="shared" si="20"/>
        <v>0.25561548928588707</v>
      </c>
      <c r="V127" s="2">
        <f t="shared" si="21"/>
        <v>0.87669602923510903</v>
      </c>
    </row>
    <row r="128" spans="1:22" x14ac:dyDescent="0.25">
      <c r="A128" t="s">
        <v>154</v>
      </c>
      <c r="B128" s="2">
        <v>6.8000000000000005E-2</v>
      </c>
      <c r="C128" s="8">
        <v>0.01</v>
      </c>
      <c r="D128" s="8">
        <v>18.494</v>
      </c>
      <c r="E128" s="8">
        <v>6.0999999999999999E-2</v>
      </c>
      <c r="F128" s="8">
        <v>1.038</v>
      </c>
      <c r="G128" s="8">
        <v>8.5000000000000006E-2</v>
      </c>
      <c r="H128" s="8">
        <v>0.104</v>
      </c>
      <c r="I128" s="8">
        <v>4.3999999999999997E-2</v>
      </c>
      <c r="J128" s="8">
        <v>0.12</v>
      </c>
      <c r="K128" s="8">
        <f t="shared" si="11"/>
        <v>0.31</v>
      </c>
      <c r="L128" s="8">
        <f t="shared" si="12"/>
        <v>37.514066</v>
      </c>
      <c r="M128" s="1">
        <f t="shared" si="13"/>
        <v>318.28282199737731</v>
      </c>
      <c r="N128" s="1">
        <f t="shared" si="14"/>
        <v>1.0735022268343437E+25</v>
      </c>
      <c r="O128" s="2">
        <f t="shared" si="15"/>
        <v>347.89837855786078</v>
      </c>
      <c r="P128" s="2">
        <f t="shared" si="16"/>
        <v>37.707262023228964</v>
      </c>
      <c r="Q128" s="2">
        <f t="shared" si="17"/>
        <v>-0.19319602322896401</v>
      </c>
      <c r="R128" s="2">
        <f t="shared" si="18"/>
        <v>0.38839441614449943</v>
      </c>
      <c r="S128" s="12">
        <v>291.65364638150396</v>
      </c>
      <c r="T128" s="2">
        <f t="shared" si="19"/>
        <v>37.324337052698105</v>
      </c>
      <c r="U128" s="2">
        <f t="shared" si="20"/>
        <v>0.18972894730189438</v>
      </c>
      <c r="V128" s="2">
        <f t="shared" si="21"/>
        <v>0.374579328244381</v>
      </c>
    </row>
    <row r="129" spans="1:22" x14ac:dyDescent="0.25">
      <c r="A129" t="s">
        <v>155</v>
      </c>
      <c r="B129" s="2">
        <v>7.4999999999999997E-2</v>
      </c>
      <c r="C129" s="8">
        <v>0</v>
      </c>
      <c r="D129" s="8">
        <v>18.448</v>
      </c>
      <c r="E129" s="8">
        <v>5.3999999999999999E-2</v>
      </c>
      <c r="F129" s="8">
        <v>0.94399999999999995</v>
      </c>
      <c r="G129" s="8">
        <v>4.2999999999999997E-2</v>
      </c>
      <c r="H129" s="8">
        <v>-2.7E-2</v>
      </c>
      <c r="I129" s="8">
        <v>4.9000000000000002E-2</v>
      </c>
      <c r="J129" s="8">
        <v>0.12</v>
      </c>
      <c r="K129" s="8">
        <f t="shared" si="11"/>
        <v>0.26600000000000001</v>
      </c>
      <c r="L129" s="8">
        <f t="shared" si="12"/>
        <v>37.864277999999999</v>
      </c>
      <c r="M129" s="1">
        <f t="shared" si="13"/>
        <v>373.9862196897019</v>
      </c>
      <c r="N129" s="1">
        <f t="shared" si="14"/>
        <v>1.1877497434261643E+25</v>
      </c>
      <c r="O129" s="2">
        <f t="shared" si="15"/>
        <v>384.92347713987812</v>
      </c>
      <c r="P129" s="2">
        <f t="shared" si="16"/>
        <v>37.926872001320682</v>
      </c>
      <c r="Q129" s="2">
        <f t="shared" si="17"/>
        <v>-6.2594001320682935E-2</v>
      </c>
      <c r="R129" s="2">
        <f t="shared" si="18"/>
        <v>5.5373523112296576E-2</v>
      </c>
      <c r="S129" s="12">
        <v>323.25631933116341</v>
      </c>
      <c r="T129" s="2">
        <f t="shared" si="19"/>
        <v>37.547735118246734</v>
      </c>
      <c r="U129" s="2">
        <f t="shared" si="20"/>
        <v>0.31654288175326428</v>
      </c>
      <c r="V129" s="2">
        <f t="shared" si="21"/>
        <v>1.4161257842255219</v>
      </c>
    </row>
    <row r="130" spans="1:22" x14ac:dyDescent="0.25">
      <c r="A130" t="s">
        <v>156</v>
      </c>
      <c r="B130" s="2">
        <v>7.4999999999999997E-2</v>
      </c>
      <c r="C130" s="8">
        <v>0</v>
      </c>
      <c r="D130" s="8">
        <v>18.399999999999999</v>
      </c>
      <c r="E130" s="8">
        <v>0.02</v>
      </c>
      <c r="F130" s="8">
        <v>1.0429999999999999</v>
      </c>
      <c r="G130" s="8">
        <v>1.2E-2</v>
      </c>
      <c r="H130" s="8">
        <v>1.4E-2</v>
      </c>
      <c r="I130" s="8">
        <v>1.7999999999999999E-2</v>
      </c>
      <c r="J130" s="8">
        <v>0.12</v>
      </c>
      <c r="K130" s="8">
        <f t="shared" si="11"/>
        <v>0.16999999999999998</v>
      </c>
      <c r="L130" s="8">
        <f t="shared" si="12"/>
        <v>37.702500999999998</v>
      </c>
      <c r="M130" s="1">
        <f t="shared" si="13"/>
        <v>347.13643574989692</v>
      </c>
      <c r="N130" s="1">
        <f t="shared" si="14"/>
        <v>1.1877497434261643E+25</v>
      </c>
      <c r="O130" s="2">
        <f t="shared" si="15"/>
        <v>384.92347713987812</v>
      </c>
      <c r="P130" s="2">
        <f t="shared" si="16"/>
        <v>37.926872001320682</v>
      </c>
      <c r="Q130" s="2">
        <f t="shared" si="17"/>
        <v>-0.22437100132068366</v>
      </c>
      <c r="R130" s="2">
        <f t="shared" si="18"/>
        <v>1.7419496966659598</v>
      </c>
      <c r="S130" s="12">
        <v>323.25631933116341</v>
      </c>
      <c r="T130" s="2">
        <f t="shared" si="19"/>
        <v>37.547735118246734</v>
      </c>
      <c r="U130" s="2">
        <f t="shared" si="20"/>
        <v>0.15476588175326356</v>
      </c>
      <c r="V130" s="2">
        <f t="shared" si="21"/>
        <v>0.82880547248668379</v>
      </c>
    </row>
    <row r="131" spans="1:22" x14ac:dyDescent="0.25">
      <c r="A131" t="s">
        <v>157</v>
      </c>
      <c r="B131" s="2">
        <v>7.8E-2</v>
      </c>
      <c r="C131" s="8">
        <v>1E-3</v>
      </c>
      <c r="D131" s="8">
        <v>18.422000000000001</v>
      </c>
      <c r="E131" s="8">
        <v>2.5999999999999999E-2</v>
      </c>
      <c r="F131" s="8">
        <v>1.0649999999999999</v>
      </c>
      <c r="G131" s="8">
        <v>2.7E-2</v>
      </c>
      <c r="H131" s="8">
        <v>-3.6999999999999998E-2</v>
      </c>
      <c r="I131" s="8">
        <v>2.5000000000000001E-2</v>
      </c>
      <c r="J131" s="8">
        <v>0.12</v>
      </c>
      <c r="K131" s="8">
        <f t="shared" si="11"/>
        <v>0.19800000000000001</v>
      </c>
      <c r="L131" s="8">
        <f t="shared" si="12"/>
        <v>37.887365000000003</v>
      </c>
      <c r="M131" s="1">
        <f t="shared" si="13"/>
        <v>377.9836374051273</v>
      </c>
      <c r="N131" s="1">
        <f t="shared" si="14"/>
        <v>1.2369186535023073E+25</v>
      </c>
      <c r="O131" s="2">
        <f t="shared" si="15"/>
        <v>400.85803569351123</v>
      </c>
      <c r="P131" s="2">
        <f t="shared" si="16"/>
        <v>38.014952969944829</v>
      </c>
      <c r="Q131" s="2">
        <f t="shared" si="17"/>
        <v>-0.1275879699448268</v>
      </c>
      <c r="R131" s="2">
        <f t="shared" si="18"/>
        <v>0.41523033554336358</v>
      </c>
      <c r="S131" s="12">
        <v>336.88800996570592</v>
      </c>
      <c r="T131" s="2">
        <f t="shared" si="19"/>
        <v>37.637427772353</v>
      </c>
      <c r="U131" s="2">
        <f t="shared" si="20"/>
        <v>0.24993722764700266</v>
      </c>
      <c r="V131" s="2">
        <f t="shared" si="21"/>
        <v>1.5934245935075408</v>
      </c>
    </row>
    <row r="132" spans="1:22" x14ac:dyDescent="0.25">
      <c r="A132" t="s">
        <v>158</v>
      </c>
      <c r="B132" s="2">
        <v>7.9000000000000001E-2</v>
      </c>
      <c r="C132" s="8">
        <v>0</v>
      </c>
      <c r="D132" s="8">
        <v>18.335000000000001</v>
      </c>
      <c r="E132" s="8">
        <v>3.2000000000000001E-2</v>
      </c>
      <c r="F132" s="8">
        <v>0.877</v>
      </c>
      <c r="G132" s="8">
        <v>2.1000000000000001E-2</v>
      </c>
      <c r="H132" s="8">
        <v>-7.4999999999999997E-2</v>
      </c>
      <c r="I132" s="8">
        <v>3.9E-2</v>
      </c>
      <c r="J132" s="8">
        <v>0.12</v>
      </c>
      <c r="K132" s="8">
        <f t="shared" si="11"/>
        <v>0.21199999999999999</v>
      </c>
      <c r="L132" s="8">
        <f t="shared" si="12"/>
        <v>37.891669</v>
      </c>
      <c r="M132" s="1">
        <f t="shared" si="13"/>
        <v>378.73356859792329</v>
      </c>
      <c r="N132" s="1">
        <f t="shared" si="14"/>
        <v>1.2533355702449887E+25</v>
      </c>
      <c r="O132" s="2">
        <f t="shared" si="15"/>
        <v>406.17839607370411</v>
      </c>
      <c r="P132" s="2">
        <f t="shared" si="16"/>
        <v>38.043584101554032</v>
      </c>
      <c r="Q132" s="2">
        <f t="shared" si="17"/>
        <v>-0.15191510155403165</v>
      </c>
      <c r="R132" s="2">
        <f t="shared" si="18"/>
        <v>0.5134878533324081</v>
      </c>
      <c r="S132" s="12">
        <v>341.4435505919692</v>
      </c>
      <c r="T132" s="2">
        <f t="shared" si="19"/>
        <v>37.666594569475194</v>
      </c>
      <c r="U132" s="2">
        <f t="shared" si="20"/>
        <v>0.22507443052480625</v>
      </c>
      <c r="V132" s="2">
        <f t="shared" si="21"/>
        <v>1.1271471003040636</v>
      </c>
    </row>
    <row r="133" spans="1:22" x14ac:dyDescent="0.25">
      <c r="A133" t="s">
        <v>159</v>
      </c>
      <c r="B133" s="2">
        <v>0.08</v>
      </c>
      <c r="C133" s="8">
        <v>1E-3</v>
      </c>
      <c r="D133" s="8">
        <v>18.440000000000001</v>
      </c>
      <c r="E133" s="8">
        <v>2.3E-2</v>
      </c>
      <c r="F133" s="8">
        <v>1.0289999999999999</v>
      </c>
      <c r="G133" s="8">
        <v>1.2999999999999999E-2</v>
      </c>
      <c r="H133" s="8">
        <v>-1.4E-2</v>
      </c>
      <c r="I133" s="8">
        <v>2.3E-2</v>
      </c>
      <c r="J133" s="8">
        <v>0.12</v>
      </c>
      <c r="K133" s="8">
        <f t="shared" si="11"/>
        <v>0.17899999999999999</v>
      </c>
      <c r="L133" s="8">
        <f t="shared" si="12"/>
        <v>37.828083000000007</v>
      </c>
      <c r="M133" s="1">
        <f t="shared" si="13"/>
        <v>367.80412869875613</v>
      </c>
      <c r="N133" s="1">
        <f t="shared" si="14"/>
        <v>1.269766094224465E+25</v>
      </c>
      <c r="O133" s="2">
        <f t="shared" si="15"/>
        <v>411.50316625901826</v>
      </c>
      <c r="P133" s="2">
        <f t="shared" si="16"/>
        <v>38.071865905925279</v>
      </c>
      <c r="Q133" s="2">
        <f t="shared" si="17"/>
        <v>-0.24378290592527208</v>
      </c>
      <c r="R133" s="2">
        <f t="shared" si="18"/>
        <v>1.8548143073365393</v>
      </c>
      <c r="S133" s="12">
        <v>346.00490220179296</v>
      </c>
      <c r="T133" s="2">
        <f t="shared" si="19"/>
        <v>37.695411259630156</v>
      </c>
      <c r="U133" s="2">
        <f t="shared" si="20"/>
        <v>0.13267174036985097</v>
      </c>
      <c r="V133" s="2">
        <f t="shared" si="21"/>
        <v>0.54935210176851978</v>
      </c>
    </row>
    <row r="134" spans="1:22" x14ac:dyDescent="0.25">
      <c r="A134" t="s">
        <v>160</v>
      </c>
      <c r="B134" s="2">
        <v>8.6999999999999994E-2</v>
      </c>
      <c r="C134" s="8">
        <v>0</v>
      </c>
      <c r="D134" s="8">
        <v>19.103000000000002</v>
      </c>
      <c r="E134" s="8">
        <v>3.2000000000000001E-2</v>
      </c>
      <c r="F134" s="8">
        <v>0.92900000000000005</v>
      </c>
      <c r="G134" s="8">
        <v>1.2999999999999999E-2</v>
      </c>
      <c r="H134" s="8">
        <v>7.1999999999999995E-2</v>
      </c>
      <c r="I134" s="8">
        <v>2.4E-2</v>
      </c>
      <c r="J134" s="8">
        <v>0.12</v>
      </c>
      <c r="K134" s="8">
        <f t="shared" si="11"/>
        <v>0.189</v>
      </c>
      <c r="L134" s="8">
        <f t="shared" si="12"/>
        <v>38.207203000000007</v>
      </c>
      <c r="M134" s="1">
        <f t="shared" si="13"/>
        <v>437.96620487905483</v>
      </c>
      <c r="N134" s="1">
        <f t="shared" si="14"/>
        <v>1.3851591216714353E+25</v>
      </c>
      <c r="O134" s="2">
        <f t="shared" si="15"/>
        <v>448.89949962673529</v>
      </c>
      <c r="P134" s="2">
        <f t="shared" si="16"/>
        <v>38.260745606541917</v>
      </c>
      <c r="Q134" s="2">
        <f t="shared" si="17"/>
        <v>-5.3542606541910231E-2</v>
      </c>
      <c r="R134" s="2">
        <f t="shared" si="18"/>
        <v>8.0255611973399629E-2</v>
      </c>
      <c r="S134" s="12">
        <v>378.0965228318023</v>
      </c>
      <c r="T134" s="2">
        <f t="shared" si="19"/>
        <v>37.888013416938243</v>
      </c>
      <c r="U134" s="2">
        <f t="shared" si="20"/>
        <v>0.31918958306176393</v>
      </c>
      <c r="V134" s="2">
        <f t="shared" si="21"/>
        <v>2.8521595121957022</v>
      </c>
    </row>
    <row r="135" spans="1:22" x14ac:dyDescent="0.25">
      <c r="A135" t="s">
        <v>161</v>
      </c>
      <c r="B135" s="2">
        <v>8.6999999999999994E-2</v>
      </c>
      <c r="C135" s="8">
        <v>0</v>
      </c>
      <c r="D135" s="8">
        <v>18.751000000000001</v>
      </c>
      <c r="E135" s="8">
        <v>2.5999999999999999E-2</v>
      </c>
      <c r="F135" s="8">
        <v>0.97499999999999998</v>
      </c>
      <c r="G135" s="8">
        <v>1.0999999999999999E-2</v>
      </c>
      <c r="H135" s="8">
        <v>-0.04</v>
      </c>
      <c r="I135" s="8">
        <v>2.1000000000000001E-2</v>
      </c>
      <c r="J135" s="8">
        <v>0.12</v>
      </c>
      <c r="K135" s="8">
        <f t="shared" ref="K135:K198" si="22">PeakMagnitudeError+StretchError+ColorError+ScatterError</f>
        <v>0.17799999999999999</v>
      </c>
      <c r="L135" s="8">
        <f t="shared" ref="L135:L198" si="23">PeakMagnitude+α*(Stretch-1)-β*Color-Mb</f>
        <v>38.212524999999999</v>
      </c>
      <c r="M135" s="1">
        <f t="shared" ref="M135:M198" si="24">10^((ObservedDistanceModuli-25)/5)</f>
        <v>439.04092025723889</v>
      </c>
      <c r="N135" s="1">
        <f t="shared" ref="N135:N198" si="25">(RedShift*Age*(2*InitialTangentVelocity-UniverseAcceleration*Age))/(2+RedShift)*(1+RedShift)</f>
        <v>1.3851591216714353E+25</v>
      </c>
      <c r="O135" s="2">
        <f t="shared" ref="O135:O198" si="26">N135/Mpc</f>
        <v>448.89949962673529</v>
      </c>
      <c r="P135" s="2">
        <f t="shared" ref="P135:P198" si="27">(LOG10(T2LuminousDistance)*5+25)</f>
        <v>38.260745606541917</v>
      </c>
      <c r="Q135" s="2">
        <f t="shared" ref="Q135:Q198" si="28">ObservedDistanceModuli-T2DistanceModuli</f>
        <v>-4.8220606541917732E-2</v>
      </c>
      <c r="R135" s="2">
        <f t="shared" ref="R135:R198" si="29">(ObservedDistanceModuli-T2DistanceModuli)^2/TotalError^2</f>
        <v>7.3388047445727786E-2</v>
      </c>
      <c r="S135" s="12">
        <v>378.0965228318023</v>
      </c>
      <c r="T135" s="2">
        <f t="shared" ref="T135:T198" si="30">(LOG10(ΛCDMLuminousDistance)*5+25)</f>
        <v>37.888013416938243</v>
      </c>
      <c r="U135" s="2">
        <f t="shared" ref="U135:U198" si="31">ObservedDistanceModuli-ΛCDMDistanceModuli</f>
        <v>0.32451158306175643</v>
      </c>
      <c r="V135" s="2">
        <f t="shared" ref="V135:V198" si="32">(ObservedDistanceModuli-ΛCDMDistanceModuli)^2/TotalError^2</f>
        <v>3.3236891661800039</v>
      </c>
    </row>
    <row r="136" spans="1:22" x14ac:dyDescent="0.25">
      <c r="A136" t="s">
        <v>162</v>
      </c>
      <c r="B136" s="2">
        <v>0.09</v>
      </c>
      <c r="C136" s="8">
        <v>0</v>
      </c>
      <c r="D136" s="8">
        <v>18.663</v>
      </c>
      <c r="E136" s="8">
        <v>4.4999999999999998E-2</v>
      </c>
      <c r="F136" s="8">
        <v>0.97899999999999998</v>
      </c>
      <c r="G136" s="8">
        <v>1.7000000000000001E-2</v>
      </c>
      <c r="H136" s="8">
        <v>-1.0999999999999999E-2</v>
      </c>
      <c r="I136" s="8">
        <v>2.5000000000000001E-2</v>
      </c>
      <c r="J136" s="8">
        <v>0.12</v>
      </c>
      <c r="K136" s="8">
        <f t="shared" si="22"/>
        <v>0.20699999999999999</v>
      </c>
      <c r="L136" s="8">
        <f t="shared" si="23"/>
        <v>38.034343</v>
      </c>
      <c r="M136" s="1">
        <f t="shared" si="24"/>
        <v>404.4535018606702</v>
      </c>
      <c r="N136" s="1">
        <f t="shared" si="25"/>
        <v>1.4348154350207873E+25</v>
      </c>
      <c r="O136" s="2">
        <f t="shared" si="26"/>
        <v>464.99201482378703</v>
      </c>
      <c r="P136" s="2">
        <f t="shared" si="27"/>
        <v>38.337227474689094</v>
      </c>
      <c r="Q136" s="2">
        <f t="shared" si="28"/>
        <v>-0.30288447468909396</v>
      </c>
      <c r="R136" s="2">
        <f t="shared" si="29"/>
        <v>2.140983570391104</v>
      </c>
      <c r="S136" s="12">
        <v>391.93658716091977</v>
      </c>
      <c r="T136" s="2">
        <f t="shared" si="30"/>
        <v>37.966079033139792</v>
      </c>
      <c r="U136" s="2">
        <f t="shared" si="31"/>
        <v>6.8263966860207859E-2</v>
      </c>
      <c r="V136" s="2">
        <f t="shared" si="32"/>
        <v>0.10875327712412325</v>
      </c>
    </row>
    <row r="137" spans="1:22" x14ac:dyDescent="0.25">
      <c r="A137" t="s">
        <v>163</v>
      </c>
      <c r="B137" s="2">
        <v>9.5000000000000001E-2</v>
      </c>
      <c r="C137" s="8">
        <v>0</v>
      </c>
      <c r="D137" s="8">
        <v>18.634</v>
      </c>
      <c r="E137" s="8">
        <v>4.1000000000000002E-2</v>
      </c>
      <c r="F137" s="8">
        <v>1.133</v>
      </c>
      <c r="G137" s="8">
        <v>3.2000000000000001E-2</v>
      </c>
      <c r="H137" s="8">
        <v>-9.4E-2</v>
      </c>
      <c r="I137" s="8">
        <v>2.4E-2</v>
      </c>
      <c r="J137" s="8">
        <v>0.12</v>
      </c>
      <c r="K137" s="8">
        <f t="shared" si="22"/>
        <v>0.217</v>
      </c>
      <c r="L137" s="8">
        <f t="shared" si="23"/>
        <v>38.287770999999999</v>
      </c>
      <c r="M137" s="1">
        <f t="shared" si="24"/>
        <v>454.52125797397622</v>
      </c>
      <c r="N137" s="1">
        <f t="shared" si="25"/>
        <v>1.5178435723257311E+25</v>
      </c>
      <c r="O137" s="2">
        <f t="shared" si="26"/>
        <v>491.89960161869254</v>
      </c>
      <c r="P137" s="2">
        <f t="shared" si="27"/>
        <v>38.459382354157974</v>
      </c>
      <c r="Q137" s="2">
        <f t="shared" si="28"/>
        <v>-0.17161135415797446</v>
      </c>
      <c r="R137" s="2">
        <f t="shared" si="29"/>
        <v>0.62542115729647563</v>
      </c>
      <c r="S137" s="12">
        <v>415.11806064955596</v>
      </c>
      <c r="T137" s="2">
        <f t="shared" si="30"/>
        <v>38.09085814376337</v>
      </c>
      <c r="U137" s="2">
        <f t="shared" si="31"/>
        <v>0.19691285623662935</v>
      </c>
      <c r="V137" s="2">
        <f t="shared" si="32"/>
        <v>0.82343377330730017</v>
      </c>
    </row>
    <row r="138" spans="1:22" x14ac:dyDescent="0.25">
      <c r="A138" t="s">
        <v>9</v>
      </c>
      <c r="B138" s="2">
        <v>0.104</v>
      </c>
      <c r="C138" s="8">
        <v>0</v>
      </c>
      <c r="D138" s="8">
        <v>19.184999999999999</v>
      </c>
      <c r="E138" s="8">
        <v>4.2000000000000003E-2</v>
      </c>
      <c r="F138" s="8">
        <v>1.01</v>
      </c>
      <c r="G138" s="8">
        <v>3.3000000000000002E-2</v>
      </c>
      <c r="H138" s="8">
        <v>-5.2999999999999999E-2</v>
      </c>
      <c r="I138" s="8">
        <v>2.9000000000000001E-2</v>
      </c>
      <c r="J138" s="8">
        <v>0.12</v>
      </c>
      <c r="K138" s="8">
        <f t="shared" si="22"/>
        <v>0.224</v>
      </c>
      <c r="L138" s="8">
        <f t="shared" si="23"/>
        <v>38.692360000000001</v>
      </c>
      <c r="M138" s="1">
        <f t="shared" si="24"/>
        <v>547.61079405111434</v>
      </c>
      <c r="N138" s="1">
        <f t="shared" si="25"/>
        <v>1.6681303956909156E+25</v>
      </c>
      <c r="O138" s="2">
        <f t="shared" si="26"/>
        <v>540.6042441060597</v>
      </c>
      <c r="P138" s="2">
        <f t="shared" si="27"/>
        <v>38.664397254395915</v>
      </c>
      <c r="Q138" s="2">
        <f t="shared" si="28"/>
        <v>2.7962745604085626E-2</v>
      </c>
      <c r="R138" s="2">
        <f t="shared" si="29"/>
        <v>1.5583449093566843E-2</v>
      </c>
      <c r="S138" s="12">
        <v>457.20370066586736</v>
      </c>
      <c r="T138" s="2">
        <f t="shared" si="30"/>
        <v>38.300548684865795</v>
      </c>
      <c r="U138" s="2">
        <f t="shared" si="31"/>
        <v>0.39181131513420553</v>
      </c>
      <c r="V138" s="2">
        <f t="shared" si="32"/>
        <v>3.0595525085139448</v>
      </c>
    </row>
    <row r="139" spans="1:22" x14ac:dyDescent="0.25">
      <c r="A139" t="s">
        <v>164</v>
      </c>
      <c r="B139" s="2">
        <v>0.108</v>
      </c>
      <c r="C139" s="8">
        <v>0</v>
      </c>
      <c r="D139" s="8">
        <v>19.495000000000001</v>
      </c>
      <c r="E139" s="8">
        <v>5.0999999999999997E-2</v>
      </c>
      <c r="F139" s="8">
        <v>0.94199999999999995</v>
      </c>
      <c r="G139" s="8">
        <v>1.7999999999999999E-2</v>
      </c>
      <c r="H139" s="8">
        <v>-2.9000000000000001E-2</v>
      </c>
      <c r="I139" s="8">
        <v>3.3000000000000002E-2</v>
      </c>
      <c r="J139" s="8">
        <v>0.12</v>
      </c>
      <c r="K139" s="8">
        <f t="shared" si="22"/>
        <v>0.22199999999999998</v>
      </c>
      <c r="L139" s="8">
        <f t="shared" si="23"/>
        <v>38.917243999999997</v>
      </c>
      <c r="M139" s="1">
        <f t="shared" si="24"/>
        <v>607.36365510995051</v>
      </c>
      <c r="N139" s="1">
        <f t="shared" si="25"/>
        <v>1.7352666813291458E+25</v>
      </c>
      <c r="O139" s="2">
        <f t="shared" si="26"/>
        <v>562.36163252323524</v>
      </c>
      <c r="P139" s="2">
        <f t="shared" si="27"/>
        <v>38.750078415038878</v>
      </c>
      <c r="Q139" s="2">
        <f t="shared" si="28"/>
        <v>0.16716558496111844</v>
      </c>
      <c r="R139" s="2">
        <f t="shared" si="29"/>
        <v>0.56700618446946094</v>
      </c>
      <c r="S139" s="12">
        <v>476.05557376989634</v>
      </c>
      <c r="T139" s="2">
        <f t="shared" si="30"/>
        <v>38.388288271720029</v>
      </c>
      <c r="U139" s="2">
        <f t="shared" si="31"/>
        <v>0.52895572827996773</v>
      </c>
      <c r="V139" s="2">
        <f t="shared" si="32"/>
        <v>5.6771804739913794</v>
      </c>
    </row>
    <row r="140" spans="1:22" x14ac:dyDescent="0.25">
      <c r="A140" t="s">
        <v>165</v>
      </c>
      <c r="B140" s="2">
        <v>0.11</v>
      </c>
      <c r="C140" s="8">
        <v>0</v>
      </c>
      <c r="D140" s="8">
        <v>19.515999999999998</v>
      </c>
      <c r="E140" s="8">
        <v>0.03</v>
      </c>
      <c r="F140" s="8">
        <v>0.79600000000000004</v>
      </c>
      <c r="G140" s="8">
        <v>1.9E-2</v>
      </c>
      <c r="H140" s="8">
        <v>-3.4000000000000002E-2</v>
      </c>
      <c r="I140" s="8">
        <v>2.5999999999999999E-2</v>
      </c>
      <c r="J140" s="8">
        <v>0.12</v>
      </c>
      <c r="K140" s="8">
        <f t="shared" si="22"/>
        <v>0.19500000000000001</v>
      </c>
      <c r="L140" s="8">
        <f t="shared" si="23"/>
        <v>38.932431999999999</v>
      </c>
      <c r="M140" s="1">
        <f t="shared" si="24"/>
        <v>611.62664947005123</v>
      </c>
      <c r="N140" s="1">
        <f t="shared" si="25"/>
        <v>1.7689132186786849E+25</v>
      </c>
      <c r="O140" s="2">
        <f t="shared" si="26"/>
        <v>573.26573266889568</v>
      </c>
      <c r="P140" s="2">
        <f t="shared" si="27"/>
        <v>38.791779911580569</v>
      </c>
      <c r="Q140" s="2">
        <f t="shared" si="28"/>
        <v>0.14065208841942933</v>
      </c>
      <c r="R140" s="2">
        <f t="shared" si="29"/>
        <v>0.52026324725172823</v>
      </c>
      <c r="S140" s="12">
        <v>485.51527303790886</v>
      </c>
      <c r="T140" s="2">
        <f t="shared" si="30"/>
        <v>38.431014481124919</v>
      </c>
      <c r="U140" s="2">
        <f t="shared" si="31"/>
        <v>0.50141751887507979</v>
      </c>
      <c r="V140" s="2">
        <f t="shared" si="32"/>
        <v>6.6119534052555151</v>
      </c>
    </row>
    <row r="141" spans="1:22" x14ac:dyDescent="0.25">
      <c r="A141" t="s">
        <v>166</v>
      </c>
      <c r="B141" s="2">
        <v>0.11600000000000001</v>
      </c>
      <c r="C141" s="8">
        <v>0</v>
      </c>
      <c r="D141" s="8">
        <v>19.391999999999999</v>
      </c>
      <c r="E141" s="8">
        <v>3.3000000000000002E-2</v>
      </c>
      <c r="F141" s="8">
        <v>0.99199999999999999</v>
      </c>
      <c r="G141" s="8">
        <v>2.1000000000000001E-2</v>
      </c>
      <c r="H141" s="8">
        <v>-5.8999999999999997E-2</v>
      </c>
      <c r="I141" s="8">
        <v>2.5000000000000001E-2</v>
      </c>
      <c r="J141" s="8">
        <v>0.12</v>
      </c>
      <c r="K141" s="8">
        <f t="shared" si="22"/>
        <v>0.19900000000000001</v>
      </c>
      <c r="L141" s="8">
        <f t="shared" si="23"/>
        <v>38.915493999999995</v>
      </c>
      <c r="M141" s="1">
        <f t="shared" si="24"/>
        <v>606.87437501861473</v>
      </c>
      <c r="N141" s="1">
        <f t="shared" si="25"/>
        <v>1.8701646305231663E+25</v>
      </c>
      <c r="O141" s="2">
        <f t="shared" si="26"/>
        <v>606.07908053801475</v>
      </c>
      <c r="P141" s="2">
        <f t="shared" si="27"/>
        <v>38.912646470671277</v>
      </c>
      <c r="Q141" s="2">
        <f t="shared" si="28"/>
        <v>2.8475293287186787E-3</v>
      </c>
      <c r="R141" s="2">
        <f t="shared" si="29"/>
        <v>2.0475299305353523E-4</v>
      </c>
      <c r="S141" s="12">
        <v>514.02880375063944</v>
      </c>
      <c r="T141" s="2">
        <f t="shared" si="30"/>
        <v>38.554937277461519</v>
      </c>
      <c r="U141" s="2">
        <f t="shared" si="31"/>
        <v>0.36055672253847604</v>
      </c>
      <c r="V141" s="2">
        <f t="shared" si="32"/>
        <v>3.2827744291226884</v>
      </c>
    </row>
    <row r="142" spans="1:22" x14ac:dyDescent="0.25">
      <c r="A142" t="s">
        <v>167</v>
      </c>
      <c r="B142" s="2">
        <v>0.11700000000000001</v>
      </c>
      <c r="C142" s="8">
        <v>0</v>
      </c>
      <c r="D142" s="8">
        <v>19.459</v>
      </c>
      <c r="E142" s="8">
        <v>3.1E-2</v>
      </c>
      <c r="F142" s="8">
        <v>1.1100000000000001</v>
      </c>
      <c r="G142" s="8">
        <v>1.6E-2</v>
      </c>
      <c r="H142" s="8">
        <v>2E-3</v>
      </c>
      <c r="I142" s="8">
        <v>2.1000000000000001E-2</v>
      </c>
      <c r="J142" s="8">
        <v>0.12</v>
      </c>
      <c r="K142" s="8">
        <f t="shared" si="22"/>
        <v>0.188</v>
      </c>
      <c r="L142" s="8">
        <f t="shared" si="23"/>
        <v>38.808909999999997</v>
      </c>
      <c r="M142" s="1">
        <f t="shared" si="24"/>
        <v>577.8059370798594</v>
      </c>
      <c r="N142" s="1">
        <f t="shared" si="25"/>
        <v>1.8870851433241613E+25</v>
      </c>
      <c r="O142" s="2">
        <f t="shared" si="26"/>
        <v>611.5626452858894</v>
      </c>
      <c r="P142" s="2">
        <f t="shared" si="27"/>
        <v>38.932204752556416</v>
      </c>
      <c r="Q142" s="2">
        <f t="shared" si="28"/>
        <v>-0.12329475255641853</v>
      </c>
      <c r="R142" s="2">
        <f t="shared" si="29"/>
        <v>0.43010400656259828</v>
      </c>
      <c r="S142" s="12">
        <v>518.80059619730889</v>
      </c>
      <c r="T142" s="2">
        <f t="shared" si="30"/>
        <v>38.575002332482846</v>
      </c>
      <c r="U142" s="2">
        <f t="shared" si="31"/>
        <v>0.2339076675171512</v>
      </c>
      <c r="V142" s="2">
        <f t="shared" si="32"/>
        <v>1.5480080614337413</v>
      </c>
    </row>
    <row r="143" spans="1:22" x14ac:dyDescent="0.25">
      <c r="A143" t="s">
        <v>168</v>
      </c>
      <c r="B143" s="2">
        <v>0.11799999999999999</v>
      </c>
      <c r="C143" s="8">
        <v>0</v>
      </c>
      <c r="D143" s="8">
        <v>19.812999999999999</v>
      </c>
      <c r="E143" s="8">
        <v>3.3000000000000002E-2</v>
      </c>
      <c r="F143" s="8">
        <v>0.99299999999999999</v>
      </c>
      <c r="G143" s="8">
        <v>1.7000000000000001E-2</v>
      </c>
      <c r="H143" s="8">
        <v>8.5999999999999993E-2</v>
      </c>
      <c r="I143" s="8">
        <v>2.3E-2</v>
      </c>
      <c r="J143" s="8">
        <v>0.12</v>
      </c>
      <c r="K143" s="8">
        <f t="shared" si="22"/>
        <v>0.193</v>
      </c>
      <c r="L143" s="8">
        <f t="shared" si="23"/>
        <v>38.882790999999997</v>
      </c>
      <c r="M143" s="1">
        <f t="shared" si="24"/>
        <v>597.80315119176896</v>
      </c>
      <c r="N143" s="1">
        <f t="shared" si="25"/>
        <v>1.9040185436890917E+25</v>
      </c>
      <c r="O143" s="2">
        <f t="shared" si="26"/>
        <v>617.05038660879529</v>
      </c>
      <c r="P143" s="2">
        <f t="shared" si="27"/>
        <v>38.951603143769937</v>
      </c>
      <c r="Q143" s="2">
        <f t="shared" si="28"/>
        <v>-6.8812143769939382E-2</v>
      </c>
      <c r="R143" s="2">
        <f t="shared" si="29"/>
        <v>0.12712048995180558</v>
      </c>
      <c r="S143" s="12">
        <v>523.57795362542549</v>
      </c>
      <c r="T143" s="2">
        <f t="shared" si="30"/>
        <v>38.594906756807639</v>
      </c>
      <c r="U143" s="2">
        <f t="shared" si="31"/>
        <v>0.28788424319235872</v>
      </c>
      <c r="V143" s="2">
        <f t="shared" si="32"/>
        <v>2.2249546961914985</v>
      </c>
    </row>
    <row r="144" spans="1:22" x14ac:dyDescent="0.25">
      <c r="A144" t="s">
        <v>169</v>
      </c>
      <c r="B144" s="2">
        <v>0.11899999999999999</v>
      </c>
      <c r="C144" s="8">
        <v>0</v>
      </c>
      <c r="D144" s="8">
        <v>19.073</v>
      </c>
      <c r="E144" s="8">
        <v>2.8000000000000001E-2</v>
      </c>
      <c r="F144" s="8">
        <v>1.0720000000000001</v>
      </c>
      <c r="G144" s="8">
        <v>1.7000000000000001E-2</v>
      </c>
      <c r="H144" s="8">
        <v>-7.5999999999999998E-2</v>
      </c>
      <c r="I144" s="8">
        <v>2.1999999999999999E-2</v>
      </c>
      <c r="J144" s="8">
        <v>0.12</v>
      </c>
      <c r="K144" s="8">
        <f t="shared" si="22"/>
        <v>0.187</v>
      </c>
      <c r="L144" s="8">
        <f t="shared" si="23"/>
        <v>38.661464000000002</v>
      </c>
      <c r="M144" s="1">
        <f t="shared" si="24"/>
        <v>539.87448155510049</v>
      </c>
      <c r="N144" s="1">
        <f t="shared" si="25"/>
        <v>1.9209648133722334E+25</v>
      </c>
      <c r="O144" s="2">
        <f t="shared" si="26"/>
        <v>622.54229859369605</v>
      </c>
      <c r="P144" s="2">
        <f t="shared" si="27"/>
        <v>38.970844324395053</v>
      </c>
      <c r="Q144" s="2">
        <f t="shared" si="28"/>
        <v>-0.30938032439505037</v>
      </c>
      <c r="R144" s="2">
        <f t="shared" si="29"/>
        <v>2.7371724991502928</v>
      </c>
      <c r="S144" s="12">
        <v>528.3608696258741</v>
      </c>
      <c r="T144" s="2">
        <f t="shared" si="30"/>
        <v>38.61465323155165</v>
      </c>
      <c r="U144" s="2">
        <f t="shared" si="31"/>
        <v>4.6810768448352746E-2</v>
      </c>
      <c r="V144" s="2">
        <f t="shared" si="32"/>
        <v>6.2662588084454712E-2</v>
      </c>
    </row>
    <row r="145" spans="1:22" x14ac:dyDescent="0.25">
      <c r="A145" t="s">
        <v>170</v>
      </c>
      <c r="B145" s="2">
        <v>0.121</v>
      </c>
      <c r="C145" s="8">
        <v>0</v>
      </c>
      <c r="D145" s="8">
        <v>19.654</v>
      </c>
      <c r="E145" s="8">
        <v>2.5999999999999999E-2</v>
      </c>
      <c r="F145" s="8">
        <v>1.02</v>
      </c>
      <c r="G145" s="8">
        <v>1.4999999999999999E-2</v>
      </c>
      <c r="H145" s="8">
        <v>3.3000000000000002E-2</v>
      </c>
      <c r="I145" s="8">
        <v>2.1000000000000001E-2</v>
      </c>
      <c r="J145" s="8">
        <v>0.12</v>
      </c>
      <c r="K145" s="8">
        <f t="shared" si="22"/>
        <v>0.182</v>
      </c>
      <c r="L145" s="8">
        <f t="shared" si="23"/>
        <v>38.893649999999994</v>
      </c>
      <c r="M145" s="1">
        <f t="shared" si="24"/>
        <v>600.80010514326375</v>
      </c>
      <c r="N145" s="1">
        <f t="shared" si="25"/>
        <v>1.9548958878822954E+25</v>
      </c>
      <c r="O145" s="2">
        <f t="shared" si="26"/>
        <v>633.53861095309105</v>
      </c>
      <c r="P145" s="2">
        <f t="shared" si="27"/>
        <v>39.008865440318928</v>
      </c>
      <c r="Q145" s="2">
        <f t="shared" si="28"/>
        <v>-0.11521544031893427</v>
      </c>
      <c r="R145" s="2">
        <f t="shared" si="29"/>
        <v>0.40075466996395076</v>
      </c>
      <c r="S145" s="12">
        <v>537.9433517252387</v>
      </c>
      <c r="T145" s="2">
        <f t="shared" si="30"/>
        <v>38.653682722863039</v>
      </c>
      <c r="U145" s="2">
        <f t="shared" si="31"/>
        <v>0.2399672771369552</v>
      </c>
      <c r="V145" s="2">
        <f t="shared" si="32"/>
        <v>1.738446265442708</v>
      </c>
    </row>
    <row r="146" spans="1:22" x14ac:dyDescent="0.25">
      <c r="A146" t="s">
        <v>171</v>
      </c>
      <c r="B146" s="2">
        <v>0.124</v>
      </c>
      <c r="C146" s="8">
        <v>0</v>
      </c>
      <c r="D146" s="8">
        <v>19.937000000000001</v>
      </c>
      <c r="E146" s="8">
        <v>6.2E-2</v>
      </c>
      <c r="F146" s="8">
        <v>0.875</v>
      </c>
      <c r="G146" s="8">
        <v>2.8000000000000001E-2</v>
      </c>
      <c r="H146" s="8">
        <v>6.6000000000000003E-2</v>
      </c>
      <c r="I146" s="8">
        <v>3.7999999999999999E-2</v>
      </c>
      <c r="J146" s="8">
        <v>0.12</v>
      </c>
      <c r="K146" s="8">
        <f t="shared" si="22"/>
        <v>0.248</v>
      </c>
      <c r="L146" s="8">
        <f t="shared" si="23"/>
        <v>39.052045000000007</v>
      </c>
      <c r="M146" s="1">
        <f t="shared" si="24"/>
        <v>646.26256502755678</v>
      </c>
      <c r="N146" s="1">
        <f t="shared" si="25"/>
        <v>2.0058885653659917E+25</v>
      </c>
      <c r="O146" s="2">
        <f t="shared" si="26"/>
        <v>650.06421227132614</v>
      </c>
      <c r="P146" s="2">
        <f t="shared" si="27"/>
        <v>39.064781288273849</v>
      </c>
      <c r="Q146" s="2">
        <f t="shared" si="28"/>
        <v>-1.2736288273842433E-2</v>
      </c>
      <c r="R146" s="2">
        <f t="shared" si="29"/>
        <v>2.6374388494149366E-3</v>
      </c>
      <c r="S146" s="12">
        <v>552.35860414591502</v>
      </c>
      <c r="T146" s="2">
        <f t="shared" si="30"/>
        <v>38.711105617231595</v>
      </c>
      <c r="U146" s="2">
        <f t="shared" si="31"/>
        <v>0.34093938276841129</v>
      </c>
      <c r="V146" s="2">
        <f t="shared" si="32"/>
        <v>1.8899528928607128</v>
      </c>
    </row>
    <row r="147" spans="1:22" x14ac:dyDescent="0.25">
      <c r="A147" t="s">
        <v>172</v>
      </c>
      <c r="B147" s="2">
        <v>0.124</v>
      </c>
      <c r="C147" s="8">
        <v>0</v>
      </c>
      <c r="D147" s="8">
        <v>19.771999999999998</v>
      </c>
      <c r="E147" s="8">
        <v>2.3E-2</v>
      </c>
      <c r="F147" s="8">
        <v>0.96399999999999997</v>
      </c>
      <c r="G147" s="8">
        <v>1.7999999999999999E-2</v>
      </c>
      <c r="H147" s="8">
        <v>-4.0000000000000001E-3</v>
      </c>
      <c r="I147" s="8">
        <v>0.02</v>
      </c>
      <c r="J147" s="8">
        <v>0.12</v>
      </c>
      <c r="K147" s="8">
        <f t="shared" si="22"/>
        <v>0.18099999999999999</v>
      </c>
      <c r="L147" s="8">
        <f t="shared" si="23"/>
        <v>39.119227999999993</v>
      </c>
      <c r="M147" s="1">
        <f t="shared" si="24"/>
        <v>666.56974878072469</v>
      </c>
      <c r="N147" s="1">
        <f t="shared" si="25"/>
        <v>2.0058885653659917E+25</v>
      </c>
      <c r="O147" s="2">
        <f t="shared" si="26"/>
        <v>650.06421227132614</v>
      </c>
      <c r="P147" s="2">
        <f t="shared" si="27"/>
        <v>39.064781288273849</v>
      </c>
      <c r="Q147" s="2">
        <f t="shared" si="28"/>
        <v>5.4446711726143349E-2</v>
      </c>
      <c r="R147" s="2">
        <f t="shared" si="29"/>
        <v>9.0486994224527814E-2</v>
      </c>
      <c r="S147" s="12">
        <v>552.35860414591502</v>
      </c>
      <c r="T147" s="2">
        <f t="shared" si="30"/>
        <v>38.711105617231595</v>
      </c>
      <c r="U147" s="2">
        <f t="shared" si="31"/>
        <v>0.40812238276839707</v>
      </c>
      <c r="V147" s="2">
        <f t="shared" si="32"/>
        <v>5.0842123047695127</v>
      </c>
    </row>
    <row r="148" spans="1:22" x14ac:dyDescent="0.25">
      <c r="A148" t="s">
        <v>173</v>
      </c>
      <c r="B148" s="2">
        <v>0.125</v>
      </c>
      <c r="C148" s="8">
        <v>0</v>
      </c>
      <c r="D148" s="8">
        <v>19.616</v>
      </c>
      <c r="E148" s="8">
        <v>3.1E-2</v>
      </c>
      <c r="F148" s="8">
        <v>1</v>
      </c>
      <c r="G148" s="8">
        <v>1.6E-2</v>
      </c>
      <c r="H148" s="8">
        <v>2.5999999999999999E-2</v>
      </c>
      <c r="I148" s="8">
        <v>2.1000000000000001E-2</v>
      </c>
      <c r="J148" s="8">
        <v>0.12</v>
      </c>
      <c r="K148" s="8">
        <f t="shared" si="22"/>
        <v>0.188</v>
      </c>
      <c r="L148" s="8">
        <f t="shared" si="23"/>
        <v>38.87462</v>
      </c>
      <c r="M148" s="1">
        <f t="shared" si="24"/>
        <v>595.55791387850343</v>
      </c>
      <c r="N148" s="1">
        <f t="shared" si="25"/>
        <v>2.0229116697203486E+25</v>
      </c>
      <c r="O148" s="2">
        <f t="shared" si="26"/>
        <v>655.5810246773575</v>
      </c>
      <c r="P148" s="2">
        <f t="shared" si="27"/>
        <v>39.083131873690157</v>
      </c>
      <c r="Q148" s="2">
        <f t="shared" si="28"/>
        <v>-0.20851187369015634</v>
      </c>
      <c r="R148" s="2">
        <f t="shared" si="29"/>
        <v>1.2301154784342381</v>
      </c>
      <c r="S148" s="12">
        <v>557.17473719089662</v>
      </c>
      <c r="T148" s="2">
        <f t="shared" si="30"/>
        <v>38.729957084458519</v>
      </c>
      <c r="U148" s="2">
        <f t="shared" si="31"/>
        <v>0.14466291554148114</v>
      </c>
      <c r="V148" s="2">
        <f t="shared" si="32"/>
        <v>0.59210500036673008</v>
      </c>
    </row>
    <row r="149" spans="1:22" x14ac:dyDescent="0.25">
      <c r="A149" t="s">
        <v>174</v>
      </c>
      <c r="B149" s="2">
        <v>0.127</v>
      </c>
      <c r="C149" s="8">
        <v>0</v>
      </c>
      <c r="D149" s="8">
        <v>20.033999999999999</v>
      </c>
      <c r="E149" s="8">
        <v>4.5999999999999999E-2</v>
      </c>
      <c r="F149" s="8">
        <v>0.88900000000000001</v>
      </c>
      <c r="G149" s="8">
        <v>1.7000000000000001E-2</v>
      </c>
      <c r="H149" s="8">
        <v>0.127</v>
      </c>
      <c r="I149" s="8">
        <v>2.7E-2</v>
      </c>
      <c r="J149" s="8">
        <v>0.12</v>
      </c>
      <c r="K149" s="8">
        <f t="shared" si="22"/>
        <v>0.21</v>
      </c>
      <c r="L149" s="8">
        <f t="shared" si="23"/>
        <v>38.960172999999998</v>
      </c>
      <c r="M149" s="1">
        <f t="shared" si="24"/>
        <v>619.49042756887491</v>
      </c>
      <c r="N149" s="1">
        <f t="shared" si="25"/>
        <v>2.0569960881290773E+25</v>
      </c>
      <c r="O149" s="2">
        <f t="shared" si="26"/>
        <v>666.62703240987264</v>
      </c>
      <c r="P149" s="2">
        <f t="shared" si="27"/>
        <v>39.119414603841292</v>
      </c>
      <c r="Q149" s="2">
        <f t="shared" si="28"/>
        <v>-0.15924160384129493</v>
      </c>
      <c r="R149" s="2">
        <f t="shared" si="29"/>
        <v>0.57500880711900049</v>
      </c>
      <c r="S149" s="12">
        <v>566.82353833065554</v>
      </c>
      <c r="T149" s="2">
        <f t="shared" si="30"/>
        <v>38.767239383907977</v>
      </c>
      <c r="U149" s="2">
        <f t="shared" si="31"/>
        <v>0.19293361609202009</v>
      </c>
      <c r="V149" s="2">
        <f t="shared" si="32"/>
        <v>0.84406757864723347</v>
      </c>
    </row>
    <row r="150" spans="1:22" x14ac:dyDescent="0.25">
      <c r="A150" t="s">
        <v>175</v>
      </c>
      <c r="B150" s="2">
        <v>0.128</v>
      </c>
      <c r="C150" s="8">
        <v>0</v>
      </c>
      <c r="D150" s="8">
        <v>19.792999999999999</v>
      </c>
      <c r="E150" s="8">
        <v>5.2999999999999999E-2</v>
      </c>
      <c r="F150" s="8">
        <v>1.149</v>
      </c>
      <c r="G150" s="8">
        <v>4.5999999999999999E-2</v>
      </c>
      <c r="H150" s="8">
        <v>0.08</v>
      </c>
      <c r="I150" s="8">
        <v>3.1E-2</v>
      </c>
      <c r="J150" s="8">
        <v>0.12</v>
      </c>
      <c r="K150" s="8">
        <f t="shared" si="22"/>
        <v>0.25</v>
      </c>
      <c r="L150" s="8">
        <f t="shared" si="23"/>
        <v>38.904502999999998</v>
      </c>
      <c r="M150" s="1">
        <f t="shared" si="24"/>
        <v>603.81041526876822</v>
      </c>
      <c r="N150" s="1">
        <f t="shared" si="25"/>
        <v>2.0740573662720752E+25</v>
      </c>
      <c r="O150" s="2">
        <f t="shared" si="26"/>
        <v>672.15621609827281</v>
      </c>
      <c r="P150" s="2">
        <f t="shared" si="27"/>
        <v>39.13735109670553</v>
      </c>
      <c r="Q150" s="2">
        <f t="shared" si="28"/>
        <v>-0.2328480967055313</v>
      </c>
      <c r="R150" s="2">
        <f t="shared" si="29"/>
        <v>0.86749177823021528</v>
      </c>
      <c r="S150" s="12">
        <v>571.65619366932435</v>
      </c>
      <c r="T150" s="2">
        <f t="shared" si="30"/>
        <v>38.785674566313546</v>
      </c>
      <c r="U150" s="2">
        <f t="shared" si="31"/>
        <v>0.11882843368645268</v>
      </c>
      <c r="V150" s="2">
        <f t="shared" si="32"/>
        <v>0.22592314643801092</v>
      </c>
    </row>
    <row r="151" spans="1:22" x14ac:dyDescent="0.25">
      <c r="A151" t="s">
        <v>176</v>
      </c>
      <c r="B151" s="2">
        <v>0.13</v>
      </c>
      <c r="C151" s="8">
        <v>0</v>
      </c>
      <c r="D151" s="8">
        <v>20.135999999999999</v>
      </c>
      <c r="E151" s="8">
        <v>2.5000000000000001E-2</v>
      </c>
      <c r="F151" s="8">
        <v>1.0680000000000001</v>
      </c>
      <c r="G151" s="8">
        <v>1.4E-2</v>
      </c>
      <c r="H151" s="8">
        <v>0.191</v>
      </c>
      <c r="I151" s="8">
        <v>0.02</v>
      </c>
      <c r="J151" s="8">
        <v>0.12</v>
      </c>
      <c r="K151" s="8">
        <f t="shared" si="22"/>
        <v>0.17899999999999999</v>
      </c>
      <c r="L151" s="8">
        <f t="shared" si="23"/>
        <v>38.888165999999998</v>
      </c>
      <c r="M151" s="1">
        <f t="shared" si="24"/>
        <v>599.28471364682048</v>
      </c>
      <c r="N151" s="1">
        <f t="shared" si="25"/>
        <v>2.108217970909808E+25</v>
      </c>
      <c r="O151" s="2">
        <f t="shared" si="26"/>
        <v>683.22691410610958</v>
      </c>
      <c r="P151" s="2">
        <f t="shared" si="27"/>
        <v>39.172824830102215</v>
      </c>
      <c r="Q151" s="2">
        <f t="shared" si="28"/>
        <v>-0.2846588301022166</v>
      </c>
      <c r="R151" s="2">
        <f t="shared" si="29"/>
        <v>2.5289675589139735</v>
      </c>
      <c r="S151" s="12">
        <v>581.33798202208641</v>
      </c>
      <c r="T151" s="2">
        <f t="shared" si="30"/>
        <v>38.822143493706115</v>
      </c>
      <c r="U151" s="2">
        <f t="shared" si="31"/>
        <v>6.6022506293883509E-2</v>
      </c>
      <c r="V151" s="2">
        <f t="shared" si="32"/>
        <v>0.13604354849492487</v>
      </c>
    </row>
    <row r="152" spans="1:22" x14ac:dyDescent="0.25">
      <c r="A152" t="s">
        <v>177</v>
      </c>
      <c r="B152" s="2">
        <v>0.13</v>
      </c>
      <c r="C152" s="8">
        <v>0</v>
      </c>
      <c r="D152" s="8">
        <v>20.326000000000001</v>
      </c>
      <c r="E152" s="8">
        <v>4.3999999999999997E-2</v>
      </c>
      <c r="F152" s="8">
        <v>0.71699999999999997</v>
      </c>
      <c r="G152" s="8">
        <v>0.02</v>
      </c>
      <c r="H152" s="8">
        <v>8.7999999999999995E-2</v>
      </c>
      <c r="I152" s="8">
        <v>3.5000000000000003E-2</v>
      </c>
      <c r="J152" s="8">
        <v>0.12</v>
      </c>
      <c r="K152" s="8">
        <f t="shared" si="22"/>
        <v>0.219</v>
      </c>
      <c r="L152" s="8">
        <f t="shared" si="23"/>
        <v>39.348959000000001</v>
      </c>
      <c r="M152" s="1">
        <f t="shared" si="24"/>
        <v>740.9549436647992</v>
      </c>
      <c r="N152" s="1">
        <f t="shared" si="25"/>
        <v>2.108217970909808E+25</v>
      </c>
      <c r="O152" s="2">
        <f t="shared" si="26"/>
        <v>683.22691410610958</v>
      </c>
      <c r="P152" s="2">
        <f t="shared" si="27"/>
        <v>39.172824830102215</v>
      </c>
      <c r="Q152" s="2">
        <f t="shared" si="28"/>
        <v>0.17613416989778585</v>
      </c>
      <c r="R152" s="2">
        <f t="shared" si="29"/>
        <v>0.64684318103421723</v>
      </c>
      <c r="S152" s="12">
        <v>581.33798202208641</v>
      </c>
      <c r="T152" s="2">
        <f t="shared" si="30"/>
        <v>38.822143493706115</v>
      </c>
      <c r="U152" s="2">
        <f t="shared" si="31"/>
        <v>0.52681550629388596</v>
      </c>
      <c r="V152" s="2">
        <f t="shared" si="32"/>
        <v>5.786672039191914</v>
      </c>
    </row>
    <row r="153" spans="1:22" x14ac:dyDescent="0.25">
      <c r="A153" t="s">
        <v>178</v>
      </c>
      <c r="B153" s="2">
        <v>0.14299999999999999</v>
      </c>
      <c r="C153" s="8">
        <v>0</v>
      </c>
      <c r="D153" s="8">
        <v>19.829999999999998</v>
      </c>
      <c r="E153" s="8">
        <v>4.3999999999999997E-2</v>
      </c>
      <c r="F153" s="8">
        <v>1.0920000000000001</v>
      </c>
      <c r="G153" s="8">
        <v>1.4999999999999999E-2</v>
      </c>
      <c r="H153" s="8">
        <v>-1.4999999999999999E-2</v>
      </c>
      <c r="I153" s="8">
        <v>2.3E-2</v>
      </c>
      <c r="J153" s="8">
        <v>0.12</v>
      </c>
      <c r="K153" s="8">
        <f t="shared" si="22"/>
        <v>0.20199999999999999</v>
      </c>
      <c r="L153" s="8">
        <f t="shared" si="23"/>
        <v>39.230474000000001</v>
      </c>
      <c r="M153" s="1">
        <f t="shared" si="24"/>
        <v>701.60843234947345</v>
      </c>
      <c r="N153" s="1">
        <f t="shared" si="25"/>
        <v>2.3314892400352831E+25</v>
      </c>
      <c r="O153" s="2">
        <f t="shared" si="26"/>
        <v>755.58420463206119</v>
      </c>
      <c r="P153" s="2">
        <f t="shared" si="27"/>
        <v>39.391414352437195</v>
      </c>
      <c r="Q153" s="2">
        <f t="shared" si="28"/>
        <v>-0.16094035243719418</v>
      </c>
      <c r="R153" s="2">
        <f t="shared" si="29"/>
        <v>0.63478573283521911</v>
      </c>
      <c r="S153" s="12">
        <v>644.80182603853564</v>
      </c>
      <c r="T153" s="2">
        <f t="shared" si="30"/>
        <v>39.04713129346824</v>
      </c>
      <c r="U153" s="2">
        <f t="shared" si="31"/>
        <v>0.18334270653176077</v>
      </c>
      <c r="V153" s="2">
        <f t="shared" si="32"/>
        <v>0.82380521611585533</v>
      </c>
    </row>
    <row r="154" spans="1:22" x14ac:dyDescent="0.25">
      <c r="A154" t="s">
        <v>179</v>
      </c>
      <c r="B154" s="2">
        <v>0.14299999999999999</v>
      </c>
      <c r="C154" s="8">
        <v>0</v>
      </c>
      <c r="D154" s="8">
        <v>20.058</v>
      </c>
      <c r="E154" s="8">
        <v>4.4999999999999998E-2</v>
      </c>
      <c r="F154" s="8">
        <v>1.1359999999999999</v>
      </c>
      <c r="G154" s="8">
        <v>5.1999999999999998E-2</v>
      </c>
      <c r="H154" s="8">
        <v>1.7999999999999999E-2</v>
      </c>
      <c r="I154" s="8">
        <v>2.7E-2</v>
      </c>
      <c r="J154" s="8">
        <v>0.12</v>
      </c>
      <c r="K154" s="8">
        <f t="shared" si="22"/>
        <v>0.24399999999999999</v>
      </c>
      <c r="L154" s="8">
        <f t="shared" si="23"/>
        <v>39.361651999999999</v>
      </c>
      <c r="M154" s="1">
        <f t="shared" si="24"/>
        <v>745.29876228577268</v>
      </c>
      <c r="N154" s="1">
        <f t="shared" si="25"/>
        <v>2.3314892400352831E+25</v>
      </c>
      <c r="O154" s="2">
        <f t="shared" si="26"/>
        <v>755.58420463206119</v>
      </c>
      <c r="P154" s="2">
        <f t="shared" si="27"/>
        <v>39.391414352437195</v>
      </c>
      <c r="Q154" s="2">
        <f t="shared" si="28"/>
        <v>-2.9762352437195716E-2</v>
      </c>
      <c r="R154" s="2">
        <f t="shared" si="29"/>
        <v>1.4878352972921423E-2</v>
      </c>
      <c r="S154" s="12">
        <v>644.80182603853564</v>
      </c>
      <c r="T154" s="2">
        <f t="shared" si="30"/>
        <v>39.04713129346824</v>
      </c>
      <c r="U154" s="2">
        <f t="shared" si="31"/>
        <v>0.31452070653175923</v>
      </c>
      <c r="V154" s="2">
        <f t="shared" si="32"/>
        <v>1.6615707275805733</v>
      </c>
    </row>
    <row r="155" spans="1:22" x14ac:dyDescent="0.25">
      <c r="A155" t="s">
        <v>180</v>
      </c>
      <c r="B155" s="2">
        <v>0.14499999999999999</v>
      </c>
      <c r="C155" s="8">
        <v>0</v>
      </c>
      <c r="D155" s="8">
        <v>19.960999999999999</v>
      </c>
      <c r="E155" s="8">
        <v>5.3999999999999999E-2</v>
      </c>
      <c r="F155" s="8">
        <v>1.1040000000000001</v>
      </c>
      <c r="G155" s="8">
        <v>2.7E-2</v>
      </c>
      <c r="H155" s="8">
        <v>7.0000000000000001E-3</v>
      </c>
      <c r="I155" s="8">
        <v>0.03</v>
      </c>
      <c r="J155" s="8">
        <v>0.12</v>
      </c>
      <c r="K155" s="8">
        <f t="shared" si="22"/>
        <v>0.23099999999999998</v>
      </c>
      <c r="L155" s="8">
        <f t="shared" si="23"/>
        <v>39.294378000000002</v>
      </c>
      <c r="M155" s="1">
        <f t="shared" si="24"/>
        <v>722.56280192198608</v>
      </c>
      <c r="N155" s="1">
        <f t="shared" si="25"/>
        <v>2.3660259909496838E+25</v>
      </c>
      <c r="O155" s="2">
        <f t="shared" si="26"/>
        <v>766.77680334627962</v>
      </c>
      <c r="P155" s="2">
        <f t="shared" si="27"/>
        <v>39.423344830295314</v>
      </c>
      <c r="Q155" s="2">
        <f t="shared" si="28"/>
        <v>-0.12896683029531175</v>
      </c>
      <c r="R155" s="2">
        <f t="shared" si="29"/>
        <v>0.31169661956147271</v>
      </c>
      <c r="S155" s="12">
        <v>654.64683559871992</v>
      </c>
      <c r="T155" s="2">
        <f t="shared" si="30"/>
        <v>39.080035364731998</v>
      </c>
      <c r="U155" s="2">
        <f t="shared" si="31"/>
        <v>0.21434263526800379</v>
      </c>
      <c r="V155" s="2">
        <f t="shared" si="32"/>
        <v>0.86098021576867956</v>
      </c>
    </row>
    <row r="156" spans="1:22" x14ac:dyDescent="0.25">
      <c r="A156" t="s">
        <v>181</v>
      </c>
      <c r="B156" s="2">
        <v>0.14599999999999999</v>
      </c>
      <c r="C156" s="8">
        <v>0</v>
      </c>
      <c r="D156" s="8">
        <v>20.376999999999999</v>
      </c>
      <c r="E156" s="8">
        <v>0.03</v>
      </c>
      <c r="F156" s="8">
        <v>0.96299999999999997</v>
      </c>
      <c r="G156" s="8">
        <v>1.6E-2</v>
      </c>
      <c r="H156" s="8">
        <v>5.5E-2</v>
      </c>
      <c r="I156" s="8">
        <v>2.5000000000000001E-2</v>
      </c>
      <c r="J156" s="8">
        <v>0.12</v>
      </c>
      <c r="K156" s="8">
        <f t="shared" si="22"/>
        <v>0.191</v>
      </c>
      <c r="L156" s="8">
        <f t="shared" si="23"/>
        <v>39.539411000000001</v>
      </c>
      <c r="M156" s="1">
        <f t="shared" si="24"/>
        <v>808.87646610773231</v>
      </c>
      <c r="N156" s="1">
        <f t="shared" si="25"/>
        <v>2.3833129592319798E+25</v>
      </c>
      <c r="O156" s="2">
        <f t="shared" si="26"/>
        <v>772.37912822764201</v>
      </c>
      <c r="P156" s="2">
        <f t="shared" si="27"/>
        <v>39.439152647274</v>
      </c>
      <c r="Q156" s="2">
        <f t="shared" si="28"/>
        <v>0.10025835272600148</v>
      </c>
      <c r="R156" s="2">
        <f t="shared" si="29"/>
        <v>0.275533491168864</v>
      </c>
      <c r="S156" s="12">
        <v>659.57742394444392</v>
      </c>
      <c r="T156" s="2">
        <f t="shared" si="30"/>
        <v>39.096328910846744</v>
      </c>
      <c r="U156" s="2">
        <f t="shared" si="31"/>
        <v>0.44308208915325764</v>
      </c>
      <c r="V156" s="2">
        <f t="shared" si="32"/>
        <v>5.3814790638528374</v>
      </c>
    </row>
    <row r="157" spans="1:22" x14ac:dyDescent="0.25">
      <c r="A157" t="s">
        <v>12</v>
      </c>
      <c r="B157" s="2">
        <v>0.14699999999999999</v>
      </c>
      <c r="C157" s="8">
        <v>0</v>
      </c>
      <c r="D157" s="8">
        <v>20.309000000000001</v>
      </c>
      <c r="E157" s="8">
        <v>0.03</v>
      </c>
      <c r="F157" s="8">
        <v>0.86199999999999999</v>
      </c>
      <c r="G157" s="8">
        <v>6.5000000000000002E-2</v>
      </c>
      <c r="H157" s="8">
        <v>0.11</v>
      </c>
      <c r="I157" s="8">
        <v>2.8000000000000001E-2</v>
      </c>
      <c r="J157" s="8">
        <v>0.12</v>
      </c>
      <c r="K157" s="8">
        <f t="shared" si="22"/>
        <v>0.24299999999999999</v>
      </c>
      <c r="L157" s="8">
        <f t="shared" si="23"/>
        <v>39.284413999999998</v>
      </c>
      <c r="M157" s="1">
        <f t="shared" si="24"/>
        <v>719.25485155859428</v>
      </c>
      <c r="N157" s="1">
        <f t="shared" si="25"/>
        <v>2.4006122996379155E+25</v>
      </c>
      <c r="O157" s="2">
        <f t="shared" si="26"/>
        <v>777.98546264121205</v>
      </c>
      <c r="P157" s="2">
        <f t="shared" si="27"/>
        <v>39.454857409410593</v>
      </c>
      <c r="Q157" s="2">
        <f t="shared" si="28"/>
        <v>-0.17044340941059488</v>
      </c>
      <c r="R157" s="2">
        <f t="shared" si="29"/>
        <v>0.49198048758671042</v>
      </c>
      <c r="S157" s="12">
        <v>664.51339293017315</v>
      </c>
      <c r="T157" s="2">
        <f t="shared" si="30"/>
        <v>39.112518691759114</v>
      </c>
      <c r="U157" s="2">
        <f t="shared" si="31"/>
        <v>0.1718953082408845</v>
      </c>
      <c r="V157" s="2">
        <f t="shared" si="32"/>
        <v>0.50039792367743219</v>
      </c>
    </row>
    <row r="158" spans="1:22" x14ac:dyDescent="0.25">
      <c r="A158" t="s">
        <v>8</v>
      </c>
      <c r="B158" s="2">
        <v>0.14699999999999999</v>
      </c>
      <c r="C158" s="8">
        <v>0</v>
      </c>
      <c r="D158" s="8">
        <v>20.948</v>
      </c>
      <c r="E158" s="8">
        <v>4.2999999999999997E-2</v>
      </c>
      <c r="F158" s="8">
        <v>0.99</v>
      </c>
      <c r="G158" s="8">
        <v>3.9E-2</v>
      </c>
      <c r="H158" s="8">
        <v>0.2</v>
      </c>
      <c r="I158" s="8">
        <v>3.1E-2</v>
      </c>
      <c r="J158" s="8">
        <v>0.12</v>
      </c>
      <c r="K158" s="8">
        <f t="shared" si="22"/>
        <v>0.23299999999999998</v>
      </c>
      <c r="L158" s="8">
        <f t="shared" si="23"/>
        <v>39.660529999999994</v>
      </c>
      <c r="M158" s="1">
        <f t="shared" si="24"/>
        <v>855.27543792568542</v>
      </c>
      <c r="N158" s="1">
        <f t="shared" si="25"/>
        <v>2.4006122996379155E+25</v>
      </c>
      <c r="O158" s="2">
        <f t="shared" si="26"/>
        <v>777.98546264121205</v>
      </c>
      <c r="P158" s="2">
        <f t="shared" si="27"/>
        <v>39.454857409410593</v>
      </c>
      <c r="Q158" s="2">
        <f t="shared" si="28"/>
        <v>0.20567259058940124</v>
      </c>
      <c r="R158" s="2">
        <f t="shared" si="29"/>
        <v>0.7791857378061019</v>
      </c>
      <c r="S158" s="12">
        <v>664.51339293017315</v>
      </c>
      <c r="T158" s="2">
        <f t="shared" si="30"/>
        <v>39.112518691759114</v>
      </c>
      <c r="U158" s="2">
        <f t="shared" si="31"/>
        <v>0.54801130824088062</v>
      </c>
      <c r="V158" s="2">
        <f t="shared" si="32"/>
        <v>5.5318092792256541</v>
      </c>
    </row>
    <row r="159" spans="1:22" x14ac:dyDescent="0.25">
      <c r="A159" t="s">
        <v>182</v>
      </c>
      <c r="B159" s="2">
        <v>0.14799999999999999</v>
      </c>
      <c r="C159" s="8">
        <v>0</v>
      </c>
      <c r="D159" s="8">
        <v>19.587</v>
      </c>
      <c r="E159" s="8">
        <v>2.9000000000000001E-2</v>
      </c>
      <c r="F159" s="8">
        <v>1.069</v>
      </c>
      <c r="G159" s="8">
        <v>1.7999999999999999E-2</v>
      </c>
      <c r="H159" s="8">
        <v>-0.16400000000000001</v>
      </c>
      <c r="I159" s="8">
        <v>2.1999999999999999E-2</v>
      </c>
      <c r="J159" s="8">
        <v>0.12</v>
      </c>
      <c r="K159" s="8">
        <f t="shared" si="22"/>
        <v>0.189</v>
      </c>
      <c r="L159" s="8">
        <f t="shared" si="23"/>
        <v>39.450462999999999</v>
      </c>
      <c r="M159" s="1">
        <f t="shared" si="24"/>
        <v>776.41264520364768</v>
      </c>
      <c r="N159" s="1">
        <f t="shared" si="25"/>
        <v>2.4179239948879883E+25</v>
      </c>
      <c r="O159" s="2">
        <f t="shared" si="26"/>
        <v>783.59580098708454</v>
      </c>
      <c r="P159" s="2">
        <f t="shared" si="27"/>
        <v>39.47046050049159</v>
      </c>
      <c r="Q159" s="2">
        <f t="shared" si="28"/>
        <v>-1.9997500491591325E-2</v>
      </c>
      <c r="R159" s="2">
        <f t="shared" si="29"/>
        <v>1.1195096047456544E-2</v>
      </c>
      <c r="S159" s="12">
        <v>669.45473625820421</v>
      </c>
      <c r="T159" s="2">
        <f t="shared" si="30"/>
        <v>39.128606092267866</v>
      </c>
      <c r="U159" s="2">
        <f t="shared" si="31"/>
        <v>0.32185690773213338</v>
      </c>
      <c r="V159" s="2">
        <f t="shared" si="32"/>
        <v>2.9000271284368022</v>
      </c>
    </row>
    <row r="160" spans="1:22" x14ac:dyDescent="0.25">
      <c r="A160" t="s">
        <v>183</v>
      </c>
      <c r="B160" s="2">
        <v>0.153</v>
      </c>
      <c r="C160" s="8">
        <v>0</v>
      </c>
      <c r="D160" s="8">
        <v>19.702999999999999</v>
      </c>
      <c r="E160" s="8">
        <v>3.3000000000000002E-2</v>
      </c>
      <c r="F160" s="8">
        <v>1.0489999999999999</v>
      </c>
      <c r="G160" s="8">
        <v>1.9E-2</v>
      </c>
      <c r="H160" s="8">
        <v>-9.0999999999999998E-2</v>
      </c>
      <c r="I160" s="8">
        <v>2.3E-2</v>
      </c>
      <c r="J160" s="8">
        <v>0.12</v>
      </c>
      <c r="K160" s="8">
        <f t="shared" si="22"/>
        <v>0.19500000000000001</v>
      </c>
      <c r="L160" s="8">
        <f t="shared" si="23"/>
        <v>39.335032999999996</v>
      </c>
      <c r="M160" s="1">
        <f t="shared" si="24"/>
        <v>736.21828576436985</v>
      </c>
      <c r="N160" s="1">
        <f t="shared" si="25"/>
        <v>2.5046671912650458E+25</v>
      </c>
      <c r="O160" s="2">
        <f t="shared" si="26"/>
        <v>811.70735643256864</v>
      </c>
      <c r="P160" s="2">
        <f t="shared" si="27"/>
        <v>39.546997409788673</v>
      </c>
      <c r="Q160" s="2">
        <f t="shared" si="28"/>
        <v>-0.2119644097886777</v>
      </c>
      <c r="R160" s="2">
        <f t="shared" si="29"/>
        <v>1.1815624199095984</v>
      </c>
      <c r="S160" s="12">
        <v>694.24184790177958</v>
      </c>
      <c r="T160" s="2">
        <f t="shared" si="30"/>
        <v>39.207553943861136</v>
      </c>
      <c r="U160" s="2">
        <f t="shared" si="31"/>
        <v>0.1274790561388599</v>
      </c>
      <c r="V160" s="2">
        <f t="shared" si="32"/>
        <v>0.42737435250636668</v>
      </c>
    </row>
    <row r="161" spans="1:22" x14ac:dyDescent="0.25">
      <c r="A161" t="s">
        <v>184</v>
      </c>
      <c r="B161" s="2">
        <v>0.156</v>
      </c>
      <c r="C161" s="8">
        <v>0</v>
      </c>
      <c r="D161" s="8">
        <v>19.844000000000001</v>
      </c>
      <c r="E161" s="8">
        <v>2.5999999999999999E-2</v>
      </c>
      <c r="F161" s="8">
        <v>1.202</v>
      </c>
      <c r="G161" s="8">
        <v>2.1999999999999999E-2</v>
      </c>
      <c r="H161" s="8">
        <v>-5.5E-2</v>
      </c>
      <c r="I161" s="8">
        <v>2.1999999999999999E-2</v>
      </c>
      <c r="J161" s="8">
        <v>0.12</v>
      </c>
      <c r="K161" s="8">
        <f t="shared" si="22"/>
        <v>0.19</v>
      </c>
      <c r="L161" s="8">
        <f t="shared" si="23"/>
        <v>39.385843999999999</v>
      </c>
      <c r="M161" s="1">
        <f t="shared" si="24"/>
        <v>753.64843214662847</v>
      </c>
      <c r="N161" s="1">
        <f t="shared" si="25"/>
        <v>2.5568602683165159E+25</v>
      </c>
      <c r="O161" s="2">
        <f t="shared" si="26"/>
        <v>828.6219807568217</v>
      </c>
      <c r="P161" s="2">
        <f t="shared" si="27"/>
        <v>39.591782247965973</v>
      </c>
      <c r="Q161" s="2">
        <f t="shared" si="28"/>
        <v>-0.2059382479659746</v>
      </c>
      <c r="R161" s="2">
        <f t="shared" si="29"/>
        <v>1.1748078109500066</v>
      </c>
      <c r="S161" s="12">
        <v>709.17820484433594</v>
      </c>
      <c r="T161" s="2">
        <f t="shared" si="30"/>
        <v>39.253776899863752</v>
      </c>
      <c r="U161" s="2">
        <f t="shared" si="31"/>
        <v>0.13206710013624701</v>
      </c>
      <c r="V161" s="2">
        <f t="shared" si="32"/>
        <v>0.4831501090968835</v>
      </c>
    </row>
    <row r="162" spans="1:22" x14ac:dyDescent="0.25">
      <c r="A162" t="s">
        <v>185</v>
      </c>
      <c r="B162" s="2">
        <v>0.16200000000000001</v>
      </c>
      <c r="C162" s="8">
        <v>0</v>
      </c>
      <c r="D162" s="8">
        <v>20.254000000000001</v>
      </c>
      <c r="E162" s="8">
        <v>3.3000000000000002E-2</v>
      </c>
      <c r="F162" s="8">
        <v>1.165</v>
      </c>
      <c r="G162" s="8">
        <v>2.3E-2</v>
      </c>
      <c r="H162" s="8">
        <v>9.5000000000000001E-2</v>
      </c>
      <c r="I162" s="8">
        <v>2.5999999999999999E-2</v>
      </c>
      <c r="J162" s="8">
        <v>0.12</v>
      </c>
      <c r="K162" s="8">
        <f t="shared" si="22"/>
        <v>0.20200000000000001</v>
      </c>
      <c r="L162" s="8">
        <f t="shared" si="23"/>
        <v>39.320904999999996</v>
      </c>
      <c r="M162" s="1">
        <f t="shared" si="24"/>
        <v>731.44386229178804</v>
      </c>
      <c r="N162" s="1">
        <f t="shared" si="25"/>
        <v>2.6615753865894688E+25</v>
      </c>
      <c r="O162" s="2">
        <f t="shared" si="26"/>
        <v>862.5578394322938</v>
      </c>
      <c r="P162" s="2">
        <f t="shared" si="27"/>
        <v>39.67894113324288</v>
      </c>
      <c r="Q162" s="2">
        <f t="shared" si="28"/>
        <v>-0.35803613324288364</v>
      </c>
      <c r="R162" s="2">
        <f t="shared" si="29"/>
        <v>3.1416006447288476</v>
      </c>
      <c r="S162" s="12">
        <v>739.19433195899592</v>
      </c>
      <c r="T162" s="2">
        <f t="shared" si="30"/>
        <v>39.343793140570746</v>
      </c>
      <c r="U162" s="2">
        <f t="shared" si="31"/>
        <v>-2.2888140570749727E-2</v>
      </c>
      <c r="V162" s="2">
        <f t="shared" si="32"/>
        <v>1.2838618242976167E-2</v>
      </c>
    </row>
    <row r="163" spans="1:22" x14ac:dyDescent="0.25">
      <c r="A163" t="s">
        <v>186</v>
      </c>
      <c r="B163" s="2">
        <v>0.16500000000000001</v>
      </c>
      <c r="C163" s="8">
        <v>0</v>
      </c>
      <c r="D163" s="8">
        <v>20.265999999999998</v>
      </c>
      <c r="E163" s="8">
        <v>3.2000000000000001E-2</v>
      </c>
      <c r="F163" s="8">
        <v>1.056</v>
      </c>
      <c r="G163" s="8">
        <v>0.02</v>
      </c>
      <c r="H163" s="8">
        <v>2.5000000000000001E-2</v>
      </c>
      <c r="I163" s="8">
        <v>2.4E-2</v>
      </c>
      <c r="J163" s="8">
        <v>0.12</v>
      </c>
      <c r="K163" s="8">
        <f t="shared" si="22"/>
        <v>0.19600000000000001</v>
      </c>
      <c r="L163" s="8">
        <f t="shared" si="23"/>
        <v>39.535981999999997</v>
      </c>
      <c r="M163" s="1">
        <f t="shared" si="24"/>
        <v>807.60016685604944</v>
      </c>
      <c r="N163" s="1">
        <f t="shared" si="25"/>
        <v>2.714096516131957E+25</v>
      </c>
      <c r="O163" s="2">
        <f t="shared" si="26"/>
        <v>879.57877832847237</v>
      </c>
      <c r="P163" s="2">
        <f t="shared" si="27"/>
        <v>39.721373712777421</v>
      </c>
      <c r="Q163" s="2">
        <f t="shared" si="28"/>
        <v>-0.18539171277742383</v>
      </c>
      <c r="R163" s="2">
        <f t="shared" si="29"/>
        <v>0.89468156930827814</v>
      </c>
      <c r="S163" s="12">
        <v>754.27376489426126</v>
      </c>
      <c r="T163" s="2">
        <f t="shared" si="30"/>
        <v>39.387645011867534</v>
      </c>
      <c r="U163" s="2">
        <f t="shared" si="31"/>
        <v>0.14833698813246343</v>
      </c>
      <c r="V163" s="2">
        <f t="shared" si="32"/>
        <v>0.57277858309586094</v>
      </c>
    </row>
    <row r="164" spans="1:22" x14ac:dyDescent="0.25">
      <c r="A164" t="s">
        <v>187</v>
      </c>
      <c r="B164" s="2">
        <v>0.16900000000000001</v>
      </c>
      <c r="C164" s="8">
        <v>0</v>
      </c>
      <c r="D164" s="8">
        <v>20.251000000000001</v>
      </c>
      <c r="E164" s="8">
        <v>4.1000000000000002E-2</v>
      </c>
      <c r="F164" s="8">
        <v>0.80900000000000005</v>
      </c>
      <c r="G164" s="8">
        <v>2.5999999999999999E-2</v>
      </c>
      <c r="H164" s="8">
        <v>-0.14699999999999999</v>
      </c>
      <c r="I164" s="8">
        <v>3.1E-2</v>
      </c>
      <c r="J164" s="8">
        <v>0.12</v>
      </c>
      <c r="K164" s="8">
        <f t="shared" si="22"/>
        <v>0.218</v>
      </c>
      <c r="L164" s="8">
        <f t="shared" si="23"/>
        <v>40.023032999999998</v>
      </c>
      <c r="M164" s="1">
        <f t="shared" si="24"/>
        <v>1010.6635430822232</v>
      </c>
      <c r="N164" s="1">
        <f t="shared" si="25"/>
        <v>2.7842933007479414E+25</v>
      </c>
      <c r="O164" s="2">
        <f t="shared" si="26"/>
        <v>902.32800691637442</v>
      </c>
      <c r="P164" s="2">
        <f t="shared" si="27"/>
        <v>39.776822187151225</v>
      </c>
      <c r="Q164" s="2">
        <f t="shared" si="28"/>
        <v>0.24621081284877278</v>
      </c>
      <c r="R164" s="2">
        <f t="shared" si="29"/>
        <v>1.2755610715355066</v>
      </c>
      <c r="S164" s="12">
        <v>774.45331034421019</v>
      </c>
      <c r="T164" s="2">
        <f t="shared" si="30"/>
        <v>39.44497620233485</v>
      </c>
      <c r="U164" s="2">
        <f t="shared" si="31"/>
        <v>0.57805679766514828</v>
      </c>
      <c r="V164" s="2">
        <f t="shared" si="32"/>
        <v>7.0311771173909223</v>
      </c>
    </row>
    <row r="165" spans="1:22" x14ac:dyDescent="0.25">
      <c r="A165" t="s">
        <v>188</v>
      </c>
      <c r="B165" s="2">
        <v>0.17199999999999999</v>
      </c>
      <c r="C165" s="8">
        <v>0</v>
      </c>
      <c r="D165" s="8">
        <v>20.439</v>
      </c>
      <c r="E165" s="8">
        <v>3.4000000000000002E-2</v>
      </c>
      <c r="F165" s="8">
        <v>0.92200000000000004</v>
      </c>
      <c r="G165" s="8">
        <v>2.5999999999999999E-2</v>
      </c>
      <c r="H165" s="8">
        <v>1.4E-2</v>
      </c>
      <c r="I165" s="8">
        <v>2.5999999999999999E-2</v>
      </c>
      <c r="J165" s="8">
        <v>0.12</v>
      </c>
      <c r="K165" s="8">
        <f t="shared" si="22"/>
        <v>0.20599999999999999</v>
      </c>
      <c r="L165" s="8">
        <f t="shared" si="23"/>
        <v>39.723714000000001</v>
      </c>
      <c r="M165" s="1">
        <f t="shared" si="24"/>
        <v>880.52724841448821</v>
      </c>
      <c r="N165" s="1">
        <f t="shared" si="25"/>
        <v>2.8370667659060419E+25</v>
      </c>
      <c r="O165" s="2">
        <f t="shared" si="26"/>
        <v>919.43072221629916</v>
      </c>
      <c r="P165" s="2">
        <f t="shared" si="27"/>
        <v>39.817595056708676</v>
      </c>
      <c r="Q165" s="2">
        <f t="shared" si="28"/>
        <v>-9.3881056708674748E-2</v>
      </c>
      <c r="R165" s="2">
        <f t="shared" si="29"/>
        <v>0.20769282705102754</v>
      </c>
      <c r="S165" s="12">
        <v>789.64297822704646</v>
      </c>
      <c r="T165" s="2">
        <f t="shared" si="30"/>
        <v>39.487153889157</v>
      </c>
      <c r="U165" s="2">
        <f t="shared" si="31"/>
        <v>0.23656011084300133</v>
      </c>
      <c r="V165" s="2">
        <f t="shared" si="32"/>
        <v>1.3187078433889405</v>
      </c>
    </row>
    <row r="166" spans="1:22" x14ac:dyDescent="0.25">
      <c r="A166" t="s">
        <v>189</v>
      </c>
      <c r="B166" s="2">
        <v>0.17399999999999999</v>
      </c>
      <c r="C166" s="8">
        <v>0</v>
      </c>
      <c r="D166" s="8">
        <v>20.236000000000001</v>
      </c>
      <c r="E166" s="8">
        <v>3.1E-2</v>
      </c>
      <c r="F166" s="8">
        <v>0.999</v>
      </c>
      <c r="G166" s="8">
        <v>2.1000000000000001E-2</v>
      </c>
      <c r="H166" s="8">
        <v>-3.7999999999999999E-2</v>
      </c>
      <c r="I166" s="8">
        <v>2.3E-2</v>
      </c>
      <c r="J166" s="8">
        <v>0.12</v>
      </c>
      <c r="K166" s="8">
        <f t="shared" si="22"/>
        <v>0.19500000000000001</v>
      </c>
      <c r="L166" s="8">
        <f t="shared" si="23"/>
        <v>39.694793000000004</v>
      </c>
      <c r="M166" s="1">
        <f t="shared" si="24"/>
        <v>868.87759782370688</v>
      </c>
      <c r="N166" s="1">
        <f t="shared" si="25"/>
        <v>2.8723087691483171E+25</v>
      </c>
      <c r="O166" s="2">
        <f t="shared" si="26"/>
        <v>930.8518776444289</v>
      </c>
      <c r="P166" s="2">
        <f t="shared" si="27"/>
        <v>39.844402895564215</v>
      </c>
      <c r="Q166" s="2">
        <f t="shared" si="28"/>
        <v>-0.14960989556421112</v>
      </c>
      <c r="R166" s="2">
        <f t="shared" si="29"/>
        <v>0.58864223144600014</v>
      </c>
      <c r="S166" s="12">
        <v>799.79552519412664</v>
      </c>
      <c r="T166" s="2">
        <f t="shared" si="30"/>
        <v>39.514894849769362</v>
      </c>
      <c r="U166" s="2">
        <f t="shared" si="31"/>
        <v>0.17989815023064182</v>
      </c>
      <c r="V166" s="2">
        <f t="shared" si="32"/>
        <v>0.85110702054981124</v>
      </c>
    </row>
    <row r="167" spans="1:22" x14ac:dyDescent="0.25">
      <c r="A167" t="s">
        <v>190</v>
      </c>
      <c r="B167" s="2">
        <v>0.17499999999999999</v>
      </c>
      <c r="C167" s="8">
        <v>0</v>
      </c>
      <c r="D167" s="8">
        <v>20.323</v>
      </c>
      <c r="E167" s="8">
        <v>6.3E-2</v>
      </c>
      <c r="F167" s="8">
        <v>0.91300000000000003</v>
      </c>
      <c r="G167" s="8">
        <v>3.1E-2</v>
      </c>
      <c r="H167" s="8">
        <v>-5.7000000000000002E-2</v>
      </c>
      <c r="I167" s="8">
        <v>3.4000000000000002E-2</v>
      </c>
      <c r="J167" s="8">
        <v>0.12</v>
      </c>
      <c r="K167" s="8">
        <f t="shared" si="22"/>
        <v>0.248</v>
      </c>
      <c r="L167" s="8">
        <f t="shared" si="23"/>
        <v>39.828620999999998</v>
      </c>
      <c r="M167" s="1">
        <f t="shared" si="24"/>
        <v>924.11112804010895</v>
      </c>
      <c r="N167" s="1">
        <f t="shared" si="25"/>
        <v>2.8899476293093006E+25</v>
      </c>
      <c r="O167" s="2">
        <f t="shared" si="26"/>
        <v>936.5682429171037</v>
      </c>
      <c r="P167" s="2">
        <f t="shared" si="27"/>
        <v>39.857697138361587</v>
      </c>
      <c r="Q167" s="2">
        <f t="shared" si="28"/>
        <v>-2.9076138361588733E-2</v>
      </c>
      <c r="R167" s="2">
        <f t="shared" si="29"/>
        <v>1.3745802257125584E-2</v>
      </c>
      <c r="S167" s="12">
        <v>804.87961063438229</v>
      </c>
      <c r="T167" s="2">
        <f t="shared" si="30"/>
        <v>39.528654629496614</v>
      </c>
      <c r="U167" s="2">
        <f t="shared" si="31"/>
        <v>0.29996637050338393</v>
      </c>
      <c r="V167" s="2">
        <f t="shared" si="32"/>
        <v>1.4629914059731628</v>
      </c>
    </row>
    <row r="168" spans="1:22" x14ac:dyDescent="0.25">
      <c r="A168" t="s">
        <v>191</v>
      </c>
      <c r="B168" s="2">
        <v>0.17899999999999999</v>
      </c>
      <c r="C168" s="8">
        <v>0</v>
      </c>
      <c r="D168" s="8">
        <v>20.922999999999998</v>
      </c>
      <c r="E168" s="8">
        <v>4.2000000000000003E-2</v>
      </c>
      <c r="F168" s="8">
        <v>1.0109999999999999</v>
      </c>
      <c r="G168" s="8">
        <v>3.9E-2</v>
      </c>
      <c r="H168" s="8">
        <v>2E-3</v>
      </c>
      <c r="I168" s="8">
        <v>3.2000000000000001E-2</v>
      </c>
      <c r="J168" s="8">
        <v>0.12</v>
      </c>
      <c r="K168" s="8">
        <f t="shared" si="22"/>
        <v>0.23299999999999998</v>
      </c>
      <c r="L168" s="8">
        <f t="shared" si="23"/>
        <v>40.258356999999997</v>
      </c>
      <c r="M168" s="1">
        <f t="shared" si="24"/>
        <v>1126.3449079434008</v>
      </c>
      <c r="N168" s="1">
        <f t="shared" si="25"/>
        <v>2.9606217444171885E+25</v>
      </c>
      <c r="O168" s="2">
        <f t="shared" si="26"/>
        <v>959.47216378231872</v>
      </c>
      <c r="P168" s="2">
        <f t="shared" si="27"/>
        <v>39.910161897488251</v>
      </c>
      <c r="Q168" s="2">
        <f t="shared" si="28"/>
        <v>0.34819510251174535</v>
      </c>
      <c r="R168" s="2">
        <f t="shared" si="29"/>
        <v>2.2332301094727272</v>
      </c>
      <c r="S168" s="12">
        <v>825.26788804024272</v>
      </c>
      <c r="T168" s="2">
        <f t="shared" si="30"/>
        <v>39.582974733130342</v>
      </c>
      <c r="U168" s="2">
        <f t="shared" si="31"/>
        <v>0.6753822668696543</v>
      </c>
      <c r="V168" s="2">
        <f t="shared" si="32"/>
        <v>8.4020926228516473</v>
      </c>
    </row>
    <row r="169" spans="1:22" x14ac:dyDescent="0.25">
      <c r="A169" t="s">
        <v>192</v>
      </c>
      <c r="B169" s="2">
        <v>0.18099999999999999</v>
      </c>
      <c r="C169" s="8">
        <v>0</v>
      </c>
      <c r="D169" s="8">
        <v>20.58</v>
      </c>
      <c r="E169" s="8">
        <v>3.5000000000000003E-2</v>
      </c>
      <c r="F169" s="8">
        <v>1.032</v>
      </c>
      <c r="G169" s="8">
        <v>3.1E-2</v>
      </c>
      <c r="H169" s="8">
        <v>4.4999999999999998E-2</v>
      </c>
      <c r="I169" s="8">
        <v>2.4E-2</v>
      </c>
      <c r="J169" s="8">
        <v>0.12</v>
      </c>
      <c r="K169" s="8">
        <f t="shared" si="22"/>
        <v>0.21</v>
      </c>
      <c r="L169" s="8">
        <f t="shared" si="23"/>
        <v>39.783853999999998</v>
      </c>
      <c r="M169" s="1">
        <f t="shared" si="24"/>
        <v>905.25472436210373</v>
      </c>
      <c r="N169" s="1">
        <f t="shared" si="25"/>
        <v>2.9960297781154636E+25</v>
      </c>
      <c r="O169" s="2">
        <f t="shared" si="26"/>
        <v>970.94712601679657</v>
      </c>
      <c r="P169" s="2">
        <f t="shared" si="27"/>
        <v>39.935977902864614</v>
      </c>
      <c r="Q169" s="2">
        <f t="shared" si="28"/>
        <v>-0.15212390286461641</v>
      </c>
      <c r="R169" s="2">
        <f t="shared" si="29"/>
        <v>0.52475468985857721</v>
      </c>
      <c r="S169" s="12">
        <v>835.49310183399359</v>
      </c>
      <c r="T169" s="2">
        <f t="shared" si="30"/>
        <v>39.60971434267428</v>
      </c>
      <c r="U169" s="2">
        <f t="shared" si="31"/>
        <v>0.17413965732571768</v>
      </c>
      <c r="V169" s="2">
        <f t="shared" si="32"/>
        <v>0.68763311232467994</v>
      </c>
    </row>
    <row r="170" spans="1:22" x14ac:dyDescent="0.25">
      <c r="A170" t="s">
        <v>193</v>
      </c>
      <c r="B170" s="2">
        <v>0.18099999999999999</v>
      </c>
      <c r="C170" s="8">
        <v>0</v>
      </c>
      <c r="D170" s="8">
        <v>20.574999999999999</v>
      </c>
      <c r="E170" s="8">
        <v>3.1E-2</v>
      </c>
      <c r="F170" s="8">
        <v>1.0029999999999999</v>
      </c>
      <c r="G170" s="8">
        <v>3.2000000000000001E-2</v>
      </c>
      <c r="H170" s="8">
        <v>-7.0000000000000001E-3</v>
      </c>
      <c r="I170" s="8">
        <v>2.5000000000000001E-2</v>
      </c>
      <c r="J170" s="8">
        <v>0.12</v>
      </c>
      <c r="K170" s="8">
        <f t="shared" si="22"/>
        <v>0.20799999999999999</v>
      </c>
      <c r="L170" s="8">
        <f t="shared" si="23"/>
        <v>39.937350999999992</v>
      </c>
      <c r="M170" s="1">
        <f t="shared" si="24"/>
        <v>971.56128363449795</v>
      </c>
      <c r="N170" s="1">
        <f t="shared" si="25"/>
        <v>2.9960297781154636E+25</v>
      </c>
      <c r="O170" s="2">
        <f t="shared" si="26"/>
        <v>970.94712601679657</v>
      </c>
      <c r="P170" s="2">
        <f t="shared" si="27"/>
        <v>39.935977902864614</v>
      </c>
      <c r="Q170" s="2">
        <f t="shared" si="28"/>
        <v>1.3730971353780319E-3</v>
      </c>
      <c r="R170" s="2">
        <f t="shared" si="29"/>
        <v>4.3578858708934853E-5</v>
      </c>
      <c r="S170" s="12">
        <v>835.49310183399359</v>
      </c>
      <c r="T170" s="2">
        <f t="shared" si="30"/>
        <v>39.60971434267428</v>
      </c>
      <c r="U170" s="2">
        <f t="shared" si="31"/>
        <v>0.32763665732571212</v>
      </c>
      <c r="V170" s="2">
        <f t="shared" si="32"/>
        <v>2.481180178059498</v>
      </c>
    </row>
    <row r="171" spans="1:22" x14ac:dyDescent="0.25">
      <c r="A171" t="s">
        <v>194</v>
      </c>
      <c r="B171" s="2">
        <v>0.183</v>
      </c>
      <c r="C171" s="8">
        <v>0</v>
      </c>
      <c r="D171" s="8">
        <v>20.291</v>
      </c>
      <c r="E171" s="8">
        <v>4.3999999999999997E-2</v>
      </c>
      <c r="F171" s="8">
        <v>1.099</v>
      </c>
      <c r="G171" s="8">
        <v>2.5000000000000001E-2</v>
      </c>
      <c r="H171" s="8">
        <v>-1.4E-2</v>
      </c>
      <c r="I171" s="8">
        <v>2.5999999999999999E-2</v>
      </c>
      <c r="J171" s="8">
        <v>0.12</v>
      </c>
      <c r="K171" s="8">
        <f t="shared" si="22"/>
        <v>0.215</v>
      </c>
      <c r="L171" s="8">
        <f t="shared" si="23"/>
        <v>39.689373000000003</v>
      </c>
      <c r="M171" s="1">
        <f t="shared" si="24"/>
        <v>866.71158170762101</v>
      </c>
      <c r="N171" s="1">
        <f t="shared" si="25"/>
        <v>3.0314849558399779E+25</v>
      </c>
      <c r="O171" s="2">
        <f t="shared" si="26"/>
        <v>982.43736658966748</v>
      </c>
      <c r="P171" s="2">
        <f t="shared" si="27"/>
        <v>39.961524361590719</v>
      </c>
      <c r="Q171" s="2">
        <f t="shared" si="28"/>
        <v>-0.27215136159071562</v>
      </c>
      <c r="R171" s="2">
        <f t="shared" si="29"/>
        <v>1.6023009976350557</v>
      </c>
      <c r="S171" s="12">
        <v>845.73896671594616</v>
      </c>
      <c r="T171" s="2">
        <f t="shared" si="30"/>
        <v>39.636181704037384</v>
      </c>
      <c r="U171" s="2">
        <f t="shared" si="31"/>
        <v>5.3191295962619733E-2</v>
      </c>
      <c r="V171" s="2">
        <f t="shared" si="32"/>
        <v>6.1207441128891441E-2</v>
      </c>
    </row>
    <row r="172" spans="1:22" x14ac:dyDescent="0.25">
      <c r="A172" t="s">
        <v>195</v>
      </c>
      <c r="B172" s="2">
        <v>0.184</v>
      </c>
      <c r="C172" s="8">
        <v>1E-3</v>
      </c>
      <c r="D172" s="8">
        <v>20.765000000000001</v>
      </c>
      <c r="E172" s="8">
        <v>2.5000000000000001E-2</v>
      </c>
      <c r="F172" s="8">
        <v>0.99099999999999999</v>
      </c>
      <c r="G172" s="8">
        <v>1.9E-2</v>
      </c>
      <c r="H172" s="8">
        <v>1.9E-2</v>
      </c>
      <c r="I172" s="8">
        <v>0.02</v>
      </c>
      <c r="J172" s="8">
        <v>0.12</v>
      </c>
      <c r="K172" s="8">
        <f t="shared" si="22"/>
        <v>0.184</v>
      </c>
      <c r="L172" s="8">
        <f t="shared" si="23"/>
        <v>40.044207</v>
      </c>
      <c r="M172" s="1">
        <f t="shared" si="24"/>
        <v>1020.5667148918301</v>
      </c>
      <c r="N172" s="1">
        <f t="shared" si="25"/>
        <v>3.0492301832381505E+25</v>
      </c>
      <c r="O172" s="2">
        <f t="shared" si="26"/>
        <v>988.18820313629487</v>
      </c>
      <c r="P172" s="2">
        <f t="shared" si="27"/>
        <v>39.974198325163307</v>
      </c>
      <c r="Q172" s="2">
        <f t="shared" si="28"/>
        <v>7.0008674836692819E-2</v>
      </c>
      <c r="R172" s="2">
        <f t="shared" si="29"/>
        <v>0.14476649788485901</v>
      </c>
      <c r="S172" s="12">
        <v>850.86962795688692</v>
      </c>
      <c r="T172" s="2">
        <f t="shared" si="30"/>
        <v>39.649315108317154</v>
      </c>
      <c r="U172" s="2">
        <f t="shared" si="31"/>
        <v>0.39489189168284611</v>
      </c>
      <c r="V172" s="2">
        <f t="shared" si="32"/>
        <v>4.6059666267975157</v>
      </c>
    </row>
    <row r="173" spans="1:22" x14ac:dyDescent="0.25">
      <c r="A173" t="s">
        <v>196</v>
      </c>
      <c r="B173" s="2">
        <v>0.184</v>
      </c>
      <c r="C173" s="8">
        <v>0</v>
      </c>
      <c r="D173" s="8">
        <v>20.274000000000001</v>
      </c>
      <c r="E173" s="8">
        <v>2.8000000000000001E-2</v>
      </c>
      <c r="F173" s="8">
        <v>1.08</v>
      </c>
      <c r="G173" s="8">
        <v>2.3E-2</v>
      </c>
      <c r="H173" s="8">
        <v>-9.7000000000000003E-2</v>
      </c>
      <c r="I173" s="8">
        <v>2.1999999999999999E-2</v>
      </c>
      <c r="J173" s="8">
        <v>0.12</v>
      </c>
      <c r="K173" s="8">
        <f t="shared" si="22"/>
        <v>0.193</v>
      </c>
      <c r="L173" s="8">
        <f t="shared" si="23"/>
        <v>39.929369999999999</v>
      </c>
      <c r="M173" s="1">
        <f t="shared" si="24"/>
        <v>967.99697469683269</v>
      </c>
      <c r="N173" s="1">
        <f t="shared" si="25"/>
        <v>3.0492301832381505E+25</v>
      </c>
      <c r="O173" s="2">
        <f t="shared" si="26"/>
        <v>988.18820313629487</v>
      </c>
      <c r="P173" s="2">
        <f t="shared" si="27"/>
        <v>39.974198325163307</v>
      </c>
      <c r="Q173" s="2">
        <f t="shared" si="28"/>
        <v>-4.4828325163308591E-2</v>
      </c>
      <c r="R173" s="2">
        <f t="shared" si="29"/>
        <v>5.3949870787063439E-2</v>
      </c>
      <c r="S173" s="12">
        <v>850.86962795688692</v>
      </c>
      <c r="T173" s="2">
        <f t="shared" si="30"/>
        <v>39.649315108317154</v>
      </c>
      <c r="U173" s="2">
        <f t="shared" si="31"/>
        <v>0.2800548916828447</v>
      </c>
      <c r="V173" s="2">
        <f t="shared" si="32"/>
        <v>2.1055798103436296</v>
      </c>
    </row>
    <row r="174" spans="1:22" x14ac:dyDescent="0.25">
      <c r="A174" t="s">
        <v>197</v>
      </c>
      <c r="B174" s="2">
        <v>0.185</v>
      </c>
      <c r="C174" s="8">
        <v>0</v>
      </c>
      <c r="D174" s="8">
        <v>21.132999999999999</v>
      </c>
      <c r="E174" s="8">
        <v>4.1000000000000002E-2</v>
      </c>
      <c r="F174" s="8">
        <v>0.92300000000000004</v>
      </c>
      <c r="G174" s="8">
        <v>3.3000000000000002E-2</v>
      </c>
      <c r="H174" s="8">
        <v>0.17899999999999999</v>
      </c>
      <c r="I174" s="8">
        <v>3.2000000000000001E-2</v>
      </c>
      <c r="J174" s="8">
        <v>0.12</v>
      </c>
      <c r="K174" s="8">
        <f t="shared" si="22"/>
        <v>0.22600000000000001</v>
      </c>
      <c r="L174" s="8">
        <f t="shared" si="23"/>
        <v>39.901410999999996</v>
      </c>
      <c r="M174" s="1">
        <f t="shared" si="24"/>
        <v>955.61333184427781</v>
      </c>
      <c r="N174" s="1">
        <f t="shared" si="25"/>
        <v>3.0669871481334506E+25</v>
      </c>
      <c r="O174" s="2">
        <f t="shared" si="26"/>
        <v>993.94284354668412</v>
      </c>
      <c r="P174" s="2">
        <f t="shared" si="27"/>
        <v>39.986807055558103</v>
      </c>
      <c r="Q174" s="2">
        <f t="shared" si="28"/>
        <v>-8.5396055558106809E-2</v>
      </c>
      <c r="R174" s="2">
        <f t="shared" si="29"/>
        <v>0.14277716158045392</v>
      </c>
      <c r="S174" s="12">
        <v>856.0054335494583</v>
      </c>
      <c r="T174" s="2">
        <f t="shared" si="30"/>
        <v>39.662382606990079</v>
      </c>
      <c r="U174" s="2">
        <f t="shared" si="31"/>
        <v>0.23902839300991729</v>
      </c>
      <c r="V174" s="2">
        <f t="shared" si="32"/>
        <v>1.1186187772124574</v>
      </c>
    </row>
    <row r="175" spans="1:22" x14ac:dyDescent="0.25">
      <c r="A175" t="s">
        <v>198</v>
      </c>
      <c r="B175" s="2">
        <v>0.187</v>
      </c>
      <c r="C175" s="8">
        <v>0</v>
      </c>
      <c r="D175" s="8">
        <v>20.475999999999999</v>
      </c>
      <c r="E175" s="8">
        <v>4.1000000000000002E-2</v>
      </c>
      <c r="F175" s="8">
        <v>1.0740000000000001</v>
      </c>
      <c r="G175" s="8">
        <v>3.1E-2</v>
      </c>
      <c r="H175" s="8">
        <v>-4.1000000000000002E-2</v>
      </c>
      <c r="I175" s="8">
        <v>2.5999999999999999E-2</v>
      </c>
      <c r="J175" s="8">
        <v>0.12</v>
      </c>
      <c r="K175" s="8">
        <f t="shared" si="22"/>
        <v>0.218</v>
      </c>
      <c r="L175" s="8">
        <f t="shared" si="23"/>
        <v>39.955207999999999</v>
      </c>
      <c r="M175" s="1">
        <f t="shared" si="24"/>
        <v>979.58381283840549</v>
      </c>
      <c r="N175" s="1">
        <f t="shared" si="25"/>
        <v>3.1025362260121542E+25</v>
      </c>
      <c r="O175" s="2">
        <f t="shared" si="26"/>
        <v>1005.463515087067</v>
      </c>
      <c r="P175" s="2">
        <f t="shared" si="27"/>
        <v>40.011831580611883</v>
      </c>
      <c r="Q175" s="2">
        <f t="shared" si="28"/>
        <v>-5.6623580611883995E-2</v>
      </c>
      <c r="R175" s="2">
        <f t="shared" si="29"/>
        <v>6.7465488622812167E-2</v>
      </c>
      <c r="S175" s="12">
        <v>866.29245327252238</v>
      </c>
      <c r="T175" s="2">
        <f t="shared" si="30"/>
        <v>39.688322655243461</v>
      </c>
      <c r="U175" s="2">
        <f t="shared" si="31"/>
        <v>0.26688534475653825</v>
      </c>
      <c r="V175" s="2">
        <f t="shared" si="32"/>
        <v>1.4987750872362653</v>
      </c>
    </row>
    <row r="176" spans="1:22" x14ac:dyDescent="0.25">
      <c r="A176" t="s">
        <v>199</v>
      </c>
      <c r="B176" s="2">
        <v>0.19</v>
      </c>
      <c r="C176" s="8">
        <v>0</v>
      </c>
      <c r="D176" s="8">
        <v>20.952000000000002</v>
      </c>
      <c r="E176" s="8">
        <v>2.8000000000000001E-2</v>
      </c>
      <c r="F176" s="8">
        <v>0.92700000000000005</v>
      </c>
      <c r="G176" s="8">
        <v>3.5000000000000003E-2</v>
      </c>
      <c r="H176" s="8">
        <v>9.5000000000000001E-2</v>
      </c>
      <c r="I176" s="8">
        <v>2.4E-2</v>
      </c>
      <c r="J176" s="8">
        <v>0.12</v>
      </c>
      <c r="K176" s="8">
        <f t="shared" si="22"/>
        <v>0.20699999999999999</v>
      </c>
      <c r="L176" s="8">
        <f t="shared" si="23"/>
        <v>39.983919</v>
      </c>
      <c r="M176" s="1">
        <f t="shared" si="24"/>
        <v>992.62177952341915</v>
      </c>
      <c r="N176" s="1">
        <f t="shared" si="25"/>
        <v>3.1559474723101387E+25</v>
      </c>
      <c r="O176" s="2">
        <f t="shared" si="26"/>
        <v>1022.7729211780251</v>
      </c>
      <c r="P176" s="2">
        <f t="shared" si="27"/>
        <v>40.048896105870824</v>
      </c>
      <c r="Q176" s="2">
        <f t="shared" si="28"/>
        <v>-6.4977105870823948E-2</v>
      </c>
      <c r="R176" s="2">
        <f t="shared" si="29"/>
        <v>9.8532621236161022E-2</v>
      </c>
      <c r="S176" s="12">
        <v>881.76141238676519</v>
      </c>
      <c r="T176" s="2">
        <f t="shared" si="30"/>
        <v>39.726755446628303</v>
      </c>
      <c r="U176" s="2">
        <f t="shared" si="31"/>
        <v>0.25716355337169716</v>
      </c>
      <c r="V176" s="2">
        <f t="shared" si="32"/>
        <v>1.5433987533608189</v>
      </c>
    </row>
    <row r="177" spans="1:22" x14ac:dyDescent="0.25">
      <c r="A177" t="s">
        <v>200</v>
      </c>
      <c r="B177" s="2">
        <v>0.191</v>
      </c>
      <c r="C177" s="8">
        <v>0</v>
      </c>
      <c r="D177" s="8">
        <v>20.657</v>
      </c>
      <c r="E177" s="8">
        <v>3.4000000000000002E-2</v>
      </c>
      <c r="F177" s="8">
        <v>1.1020000000000001</v>
      </c>
      <c r="G177" s="8">
        <v>0.03</v>
      </c>
      <c r="H177" s="8">
        <v>8.9999999999999993E-3</v>
      </c>
      <c r="I177" s="8">
        <v>2.7E-2</v>
      </c>
      <c r="J177" s="8">
        <v>0.12</v>
      </c>
      <c r="K177" s="8">
        <f t="shared" si="22"/>
        <v>0.21099999999999999</v>
      </c>
      <c r="L177" s="8">
        <f t="shared" si="23"/>
        <v>39.983823999999998</v>
      </c>
      <c r="M177" s="1">
        <f t="shared" si="24"/>
        <v>992.57835414719773</v>
      </c>
      <c r="N177" s="1">
        <f t="shared" si="25"/>
        <v>3.1737745249451307E+25</v>
      </c>
      <c r="O177" s="2">
        <f t="shared" si="26"/>
        <v>1028.5502754779491</v>
      </c>
      <c r="P177" s="2">
        <f t="shared" si="27"/>
        <v>40.061127624193617</v>
      </c>
      <c r="Q177" s="2">
        <f t="shared" si="28"/>
        <v>-7.7303624193618248E-2</v>
      </c>
      <c r="R177" s="2">
        <f t="shared" si="29"/>
        <v>0.1342254287520083</v>
      </c>
      <c r="S177" s="12">
        <v>886.92795551512211</v>
      </c>
      <c r="T177" s="2">
        <f t="shared" si="30"/>
        <v>39.739441719265898</v>
      </c>
      <c r="U177" s="2">
        <f t="shared" si="31"/>
        <v>0.24438228073410073</v>
      </c>
      <c r="V177" s="2">
        <f t="shared" si="32"/>
        <v>1.3414500828103777</v>
      </c>
    </row>
    <row r="178" spans="1:22" x14ac:dyDescent="0.25">
      <c r="A178" t="s">
        <v>201</v>
      </c>
      <c r="B178" s="2">
        <v>0.193</v>
      </c>
      <c r="C178" s="8">
        <v>0</v>
      </c>
      <c r="D178" s="8">
        <v>20.652999999999999</v>
      </c>
      <c r="E178" s="8">
        <v>3.5000000000000003E-2</v>
      </c>
      <c r="F178" s="8">
        <v>1.0509999999999999</v>
      </c>
      <c r="G178" s="8">
        <v>3.1E-2</v>
      </c>
      <c r="H178" s="8">
        <v>-6.2E-2</v>
      </c>
      <c r="I178" s="8">
        <v>2.5999999999999999E-2</v>
      </c>
      <c r="J178" s="8">
        <v>0.12</v>
      </c>
      <c r="K178" s="8">
        <f t="shared" si="22"/>
        <v>0.21199999999999999</v>
      </c>
      <c r="L178" s="8">
        <f t="shared" si="23"/>
        <v>40.194557000000003</v>
      </c>
      <c r="M178" s="1">
        <f t="shared" si="24"/>
        <v>1093.7332120483572</v>
      </c>
      <c r="N178" s="1">
        <f t="shared" si="25"/>
        <v>3.2094634903802967E+25</v>
      </c>
      <c r="O178" s="2">
        <f t="shared" si="26"/>
        <v>1040.1162814879372</v>
      </c>
      <c r="P178" s="2">
        <f t="shared" si="27"/>
        <v>40.085409473347582</v>
      </c>
      <c r="Q178" s="2">
        <f t="shared" si="28"/>
        <v>0.10914752665242133</v>
      </c>
      <c r="R178" s="2">
        <f t="shared" si="29"/>
        <v>0.2650672520100798</v>
      </c>
      <c r="S178" s="12">
        <v>897.27634028780574</v>
      </c>
      <c r="T178" s="2">
        <f t="shared" si="30"/>
        <v>39.764631081327515</v>
      </c>
      <c r="U178" s="2">
        <f t="shared" si="31"/>
        <v>0.42992591867248819</v>
      </c>
      <c r="V178" s="2">
        <f t="shared" si="32"/>
        <v>4.1125911255425178</v>
      </c>
    </row>
    <row r="179" spans="1:22" x14ac:dyDescent="0.25">
      <c r="A179" t="s">
        <v>202</v>
      </c>
      <c r="B179" s="2">
        <v>0.19800000000000001</v>
      </c>
      <c r="C179" s="8">
        <v>0</v>
      </c>
      <c r="D179" s="8">
        <v>21.265000000000001</v>
      </c>
      <c r="E179" s="8">
        <v>4.2000000000000003E-2</v>
      </c>
      <c r="F179" s="8">
        <v>0.78100000000000003</v>
      </c>
      <c r="G179" s="8">
        <v>4.8000000000000001E-2</v>
      </c>
      <c r="H179" s="8">
        <v>6.7000000000000004E-2</v>
      </c>
      <c r="I179" s="8">
        <v>3.3000000000000002E-2</v>
      </c>
      <c r="J179" s="8">
        <v>0.12</v>
      </c>
      <c r="K179" s="8">
        <f t="shared" si="22"/>
        <v>0.24299999999999999</v>
      </c>
      <c r="L179" s="8">
        <f t="shared" si="23"/>
        <v>40.363096999999996</v>
      </c>
      <c r="M179" s="1">
        <f t="shared" si="24"/>
        <v>1182.0052349929813</v>
      </c>
      <c r="N179" s="1">
        <f t="shared" si="25"/>
        <v>3.2988885148008799E+25</v>
      </c>
      <c r="O179" s="2">
        <f t="shared" si="26"/>
        <v>1069.0969582119724</v>
      </c>
      <c r="P179" s="2">
        <f t="shared" si="27"/>
        <v>40.14508546948138</v>
      </c>
      <c r="Q179" s="2">
        <f t="shared" si="28"/>
        <v>0.21801153051861633</v>
      </c>
      <c r="R179" s="2">
        <f t="shared" si="29"/>
        <v>0.80490825312993586</v>
      </c>
      <c r="S179" s="12">
        <v>923.23625935882967</v>
      </c>
      <c r="T179" s="2">
        <f t="shared" si="30"/>
        <v>39.826564263559057</v>
      </c>
      <c r="U179" s="2">
        <f t="shared" si="31"/>
        <v>0.53653273644093957</v>
      </c>
      <c r="V179" s="2">
        <f t="shared" si="32"/>
        <v>4.8750593112974432</v>
      </c>
    </row>
    <row r="180" spans="1:22" x14ac:dyDescent="0.25">
      <c r="A180" t="s">
        <v>203</v>
      </c>
      <c r="B180" s="2">
        <v>0.20200000000000001</v>
      </c>
      <c r="C180" s="8">
        <v>0</v>
      </c>
      <c r="D180" s="8">
        <v>20.946999999999999</v>
      </c>
      <c r="E180" s="8">
        <v>5.6000000000000001E-2</v>
      </c>
      <c r="F180" s="8">
        <v>0.78900000000000003</v>
      </c>
      <c r="G180" s="8">
        <v>3.5000000000000003E-2</v>
      </c>
      <c r="H180" s="8">
        <v>-4.0000000000000001E-3</v>
      </c>
      <c r="I180" s="8">
        <v>3.5000000000000003E-2</v>
      </c>
      <c r="J180" s="8">
        <v>0.12</v>
      </c>
      <c r="K180" s="8">
        <f t="shared" si="22"/>
        <v>0.246</v>
      </c>
      <c r="L180" s="8">
        <f t="shared" si="23"/>
        <v>40.268502999999995</v>
      </c>
      <c r="M180" s="1">
        <f t="shared" si="24"/>
        <v>1131.6199622785341</v>
      </c>
      <c r="N180" s="1">
        <f t="shared" si="25"/>
        <v>3.3706358929987899E+25</v>
      </c>
      <c r="O180" s="2">
        <f t="shared" si="26"/>
        <v>1092.3486999567824</v>
      </c>
      <c r="P180" s="2">
        <f t="shared" si="27"/>
        <v>40.19180648073268</v>
      </c>
      <c r="Q180" s="2">
        <f t="shared" si="28"/>
        <v>7.6696519267315466E-2</v>
      </c>
      <c r="R180" s="2">
        <f t="shared" si="29"/>
        <v>9.7203319249813153E-2</v>
      </c>
      <c r="S180" s="12">
        <v>944.09529239731967</v>
      </c>
      <c r="T180" s="2">
        <f t="shared" si="30"/>
        <v>39.875079160439782</v>
      </c>
      <c r="U180" s="2">
        <f t="shared" si="31"/>
        <v>0.39342383956021365</v>
      </c>
      <c r="V180" s="2">
        <f t="shared" si="32"/>
        <v>2.5577089948823573</v>
      </c>
    </row>
    <row r="181" spans="1:22" x14ac:dyDescent="0.25">
      <c r="A181" t="s">
        <v>204</v>
      </c>
      <c r="B181" s="2">
        <v>0.20399999999999999</v>
      </c>
      <c r="C181" s="8">
        <v>0</v>
      </c>
      <c r="D181" s="8">
        <v>20.789000000000001</v>
      </c>
      <c r="E181" s="8">
        <v>4.5999999999999999E-2</v>
      </c>
      <c r="F181" s="8">
        <v>1.079</v>
      </c>
      <c r="G181" s="8">
        <v>3.9E-2</v>
      </c>
      <c r="H181" s="8">
        <v>2E-3</v>
      </c>
      <c r="I181" s="8">
        <v>3.2000000000000001E-2</v>
      </c>
      <c r="J181" s="8">
        <v>0.12</v>
      </c>
      <c r="K181" s="8">
        <f t="shared" si="22"/>
        <v>0.23699999999999999</v>
      </c>
      <c r="L181" s="8">
        <f t="shared" si="23"/>
        <v>40.134353000000004</v>
      </c>
      <c r="M181" s="1">
        <f t="shared" si="24"/>
        <v>1063.8259992426174</v>
      </c>
      <c r="N181" s="1">
        <f t="shared" si="25"/>
        <v>3.4065783566810094E+25</v>
      </c>
      <c r="O181" s="2">
        <f t="shared" si="26"/>
        <v>1103.9968591537065</v>
      </c>
      <c r="P181" s="2">
        <f t="shared" si="27"/>
        <v>40.214839189184403</v>
      </c>
      <c r="Q181" s="2">
        <f t="shared" si="28"/>
        <v>-8.0486189184398427E-2</v>
      </c>
      <c r="R181" s="2">
        <f t="shared" si="29"/>
        <v>0.11533099484460778</v>
      </c>
      <c r="S181" s="12">
        <v>954.55504152792912</v>
      </c>
      <c r="T181" s="2">
        <f t="shared" si="30"/>
        <v>39.899004878644021</v>
      </c>
      <c r="U181" s="2">
        <f t="shared" si="31"/>
        <v>0.23534812135598315</v>
      </c>
      <c r="V181" s="2">
        <f t="shared" si="32"/>
        <v>0.98610867606314123</v>
      </c>
    </row>
    <row r="182" spans="1:22" x14ac:dyDescent="0.25">
      <c r="A182" t="s">
        <v>205</v>
      </c>
      <c r="B182" s="2">
        <v>0.20599999999999999</v>
      </c>
      <c r="C182" s="8">
        <v>0</v>
      </c>
      <c r="D182" s="8">
        <v>21.088999999999999</v>
      </c>
      <c r="E182" s="8">
        <v>4.3999999999999997E-2</v>
      </c>
      <c r="F182" s="8">
        <v>0.95</v>
      </c>
      <c r="G182" s="8">
        <v>3.1E-2</v>
      </c>
      <c r="H182" s="8">
        <v>7.5999999999999998E-2</v>
      </c>
      <c r="I182" s="8">
        <v>0.03</v>
      </c>
      <c r="J182" s="8">
        <v>0.12</v>
      </c>
      <c r="K182" s="8">
        <f t="shared" si="22"/>
        <v>0.22499999999999998</v>
      </c>
      <c r="L182" s="8">
        <f t="shared" si="23"/>
        <v>40.183769999999996</v>
      </c>
      <c r="M182" s="1">
        <f t="shared" si="24"/>
        <v>1088.313458858627</v>
      </c>
      <c r="N182" s="1">
        <f t="shared" si="25"/>
        <v>3.4425665038126151E+25</v>
      </c>
      <c r="O182" s="2">
        <f t="shared" si="26"/>
        <v>1115.6598233483019</v>
      </c>
      <c r="P182" s="2">
        <f t="shared" si="27"/>
        <v>40.237658968690191</v>
      </c>
      <c r="Q182" s="2">
        <f t="shared" si="28"/>
        <v>-5.3888968690195327E-2</v>
      </c>
      <c r="R182" s="2">
        <f t="shared" si="29"/>
        <v>5.7363376720846473E-2</v>
      </c>
      <c r="S182" s="12">
        <v>965.03488126461923</v>
      </c>
      <c r="T182" s="2">
        <f t="shared" si="30"/>
        <v>39.922715056185112</v>
      </c>
      <c r="U182" s="2">
        <f t="shared" si="31"/>
        <v>0.2610549438148837</v>
      </c>
      <c r="V182" s="2">
        <f t="shared" si="32"/>
        <v>1.346166591411202</v>
      </c>
    </row>
    <row r="183" spans="1:22" x14ac:dyDescent="0.25">
      <c r="A183" t="s">
        <v>206</v>
      </c>
      <c r="B183" s="2">
        <v>0.21099999999999999</v>
      </c>
      <c r="C183" s="8">
        <v>1E-3</v>
      </c>
      <c r="D183" s="8">
        <v>21.084</v>
      </c>
      <c r="E183" s="8">
        <v>2.5999999999999999E-2</v>
      </c>
      <c r="F183" s="8">
        <v>0.85599999999999998</v>
      </c>
      <c r="G183" s="8">
        <v>2.4E-2</v>
      </c>
      <c r="H183" s="8">
        <v>2.3E-2</v>
      </c>
      <c r="I183" s="8">
        <v>2.1000000000000001E-2</v>
      </c>
      <c r="J183" s="8">
        <v>0.12</v>
      </c>
      <c r="K183" s="8">
        <f t="shared" si="22"/>
        <v>0.191</v>
      </c>
      <c r="L183" s="8">
        <f t="shared" si="23"/>
        <v>40.330842000000004</v>
      </c>
      <c r="M183" s="1">
        <f t="shared" si="24"/>
        <v>1164.5775130097231</v>
      </c>
      <c r="N183" s="1">
        <f t="shared" si="25"/>
        <v>3.5327359231705814E+25</v>
      </c>
      <c r="O183" s="2">
        <f t="shared" si="26"/>
        <v>1144.8817420420773</v>
      </c>
      <c r="P183" s="2">
        <f t="shared" si="27"/>
        <v>40.293803147654771</v>
      </c>
      <c r="Q183" s="2">
        <f t="shared" si="28"/>
        <v>3.7038852345233408E-2</v>
      </c>
      <c r="R183" s="2">
        <f t="shared" si="29"/>
        <v>3.7605235137523708E-2</v>
      </c>
      <c r="S183" s="12">
        <v>991.32206054725373</v>
      </c>
      <c r="T183" s="2">
        <f t="shared" si="30"/>
        <v>39.981073854644954</v>
      </c>
      <c r="U183" s="2">
        <f t="shared" si="31"/>
        <v>0.34976814535504985</v>
      </c>
      <c r="V183" s="2">
        <f t="shared" si="32"/>
        <v>3.3534649682056763</v>
      </c>
    </row>
    <row r="184" spans="1:22" x14ac:dyDescent="0.25">
      <c r="A184" t="s">
        <v>207</v>
      </c>
      <c r="B184" s="2">
        <v>0.21199999999999999</v>
      </c>
      <c r="C184" s="8">
        <v>0</v>
      </c>
      <c r="D184" s="8">
        <v>21.225000000000001</v>
      </c>
      <c r="E184" s="8">
        <v>3.3000000000000002E-2</v>
      </c>
      <c r="F184" s="8">
        <v>1.0169999999999999</v>
      </c>
      <c r="G184" s="8">
        <v>4.2999999999999997E-2</v>
      </c>
      <c r="H184" s="8">
        <v>0.155</v>
      </c>
      <c r="I184" s="8">
        <v>2.8000000000000001E-2</v>
      </c>
      <c r="J184" s="8">
        <v>0.12</v>
      </c>
      <c r="K184" s="8">
        <f t="shared" si="22"/>
        <v>0.22399999999999998</v>
      </c>
      <c r="L184" s="8">
        <f t="shared" si="23"/>
        <v>40.082349000000001</v>
      </c>
      <c r="M184" s="1">
        <f t="shared" si="24"/>
        <v>1038.651374099584</v>
      </c>
      <c r="N184" s="1">
        <f t="shared" si="25"/>
        <v>3.5508038067505042E+25</v>
      </c>
      <c r="O184" s="2">
        <f t="shared" si="26"/>
        <v>1150.7371443358979</v>
      </c>
      <c r="P184" s="2">
        <f t="shared" si="27"/>
        <v>40.304880658976415</v>
      </c>
      <c r="Q184" s="2">
        <f t="shared" si="28"/>
        <v>-0.2225316589764148</v>
      </c>
      <c r="R184" s="2">
        <f t="shared" si="29"/>
        <v>0.98693278154486963</v>
      </c>
      <c r="S184" s="12">
        <v>996.59446198491787</v>
      </c>
      <c r="T184" s="2">
        <f t="shared" si="30"/>
        <v>39.992592347468019</v>
      </c>
      <c r="U184" s="2">
        <f t="shared" si="31"/>
        <v>8.9756652531981729E-2</v>
      </c>
      <c r="V184" s="2">
        <f t="shared" si="32"/>
        <v>0.1605599624072645</v>
      </c>
    </row>
    <row r="185" spans="1:22" x14ac:dyDescent="0.25">
      <c r="A185" t="s">
        <v>208</v>
      </c>
      <c r="B185" s="2">
        <v>0.21299999999999999</v>
      </c>
      <c r="C185" s="8">
        <v>0</v>
      </c>
      <c r="D185" s="8">
        <v>20.832000000000001</v>
      </c>
      <c r="E185" s="8">
        <v>0.03</v>
      </c>
      <c r="F185" s="8">
        <v>0.995</v>
      </c>
      <c r="G185" s="8">
        <v>2.7E-2</v>
      </c>
      <c r="H185" s="8">
        <v>2E-3</v>
      </c>
      <c r="I185" s="8">
        <v>2.5000000000000001E-2</v>
      </c>
      <c r="J185" s="8">
        <v>0.12</v>
      </c>
      <c r="K185" s="8">
        <f t="shared" si="22"/>
        <v>0.20199999999999999</v>
      </c>
      <c r="L185" s="8">
        <f t="shared" si="23"/>
        <v>40.165005000000001</v>
      </c>
      <c r="M185" s="1">
        <f t="shared" si="24"/>
        <v>1078.9492065993288</v>
      </c>
      <c r="N185" s="1">
        <f t="shared" si="25"/>
        <v>3.5688829877180724E+25</v>
      </c>
      <c r="O185" s="2">
        <f t="shared" si="26"/>
        <v>1156.596207863711</v>
      </c>
      <c r="P185" s="2">
        <f t="shared" si="27"/>
        <v>40.315908820234881</v>
      </c>
      <c r="Q185" s="2">
        <f t="shared" si="28"/>
        <v>-0.15090382023488047</v>
      </c>
      <c r="R185" s="2">
        <f t="shared" si="29"/>
        <v>0.55808163320951676</v>
      </c>
      <c r="S185" s="12">
        <v>1001.871837940022</v>
      </c>
      <c r="T185" s="2">
        <f t="shared" si="30"/>
        <v>40.004060845004553</v>
      </c>
      <c r="U185" s="2">
        <f t="shared" si="31"/>
        <v>0.16094415499544823</v>
      </c>
      <c r="V185" s="2">
        <f t="shared" si="32"/>
        <v>0.6348157295166863</v>
      </c>
    </row>
    <row r="186" spans="1:22" x14ac:dyDescent="0.25">
      <c r="A186" t="s">
        <v>209</v>
      </c>
      <c r="B186" s="2">
        <v>0.214</v>
      </c>
      <c r="C186" s="8">
        <v>0</v>
      </c>
      <c r="D186" s="8">
        <v>20.811</v>
      </c>
      <c r="E186" s="8">
        <v>4.9000000000000002E-2</v>
      </c>
      <c r="F186" s="8">
        <v>1.0980000000000001</v>
      </c>
      <c r="G186" s="8">
        <v>4.3999999999999997E-2</v>
      </c>
      <c r="H186" s="8">
        <v>-1E-3</v>
      </c>
      <c r="I186" s="8">
        <v>3.3000000000000002E-2</v>
      </c>
      <c r="J186" s="8">
        <v>0.12</v>
      </c>
      <c r="K186" s="8">
        <f t="shared" si="22"/>
        <v>0.246</v>
      </c>
      <c r="L186" s="8">
        <f t="shared" si="23"/>
        <v>40.168536000000003</v>
      </c>
      <c r="M186" s="1">
        <f t="shared" si="24"/>
        <v>1080.7050975870211</v>
      </c>
      <c r="N186" s="1">
        <f t="shared" si="25"/>
        <v>3.586973450765171E+25</v>
      </c>
      <c r="O186" s="2">
        <f t="shared" si="26"/>
        <v>1162.458927664494</v>
      </c>
      <c r="P186" s="2">
        <f t="shared" si="27"/>
        <v>40.326888086073247</v>
      </c>
      <c r="Q186" s="2">
        <f t="shared" si="28"/>
        <v>-0.15835208607324347</v>
      </c>
      <c r="R186" s="2">
        <f t="shared" si="29"/>
        <v>0.4143595605087565</v>
      </c>
      <c r="S186" s="12">
        <v>1007.1541824185057</v>
      </c>
      <c r="T186" s="2">
        <f t="shared" si="30"/>
        <v>40.015479802856959</v>
      </c>
      <c r="U186" s="2">
        <f t="shared" si="31"/>
        <v>0.15305619714304441</v>
      </c>
      <c r="V186" s="2">
        <f t="shared" si="32"/>
        <v>0.38710753327864494</v>
      </c>
    </row>
    <row r="187" spans="1:22" x14ac:dyDescent="0.25">
      <c r="A187" t="s">
        <v>210</v>
      </c>
      <c r="B187" s="2">
        <v>0.217</v>
      </c>
      <c r="C187" s="8">
        <v>0</v>
      </c>
      <c r="D187" s="8">
        <v>20.907</v>
      </c>
      <c r="E187" s="8">
        <v>8.2000000000000003E-2</v>
      </c>
      <c r="F187" s="8">
        <v>1.0580000000000001</v>
      </c>
      <c r="G187" s="8">
        <v>0.13300000000000001</v>
      </c>
      <c r="H187" s="8">
        <v>-7.2999999999999995E-2</v>
      </c>
      <c r="I187" s="8">
        <v>3.9E-2</v>
      </c>
      <c r="J187" s="8">
        <v>0.12</v>
      </c>
      <c r="K187" s="8">
        <f t="shared" si="22"/>
        <v>0.374</v>
      </c>
      <c r="L187" s="8">
        <f t="shared" si="23"/>
        <v>40.484015999999997</v>
      </c>
      <c r="M187" s="1">
        <f t="shared" si="24"/>
        <v>1249.6926052526978</v>
      </c>
      <c r="N187" s="1">
        <f t="shared" si="25"/>
        <v>3.6413123797168199E+25</v>
      </c>
      <c r="O187" s="2">
        <f t="shared" si="26"/>
        <v>1180.0689752287146</v>
      </c>
      <c r="P187" s="2">
        <f t="shared" si="27"/>
        <v>40.359536963165155</v>
      </c>
      <c r="Q187" s="2">
        <f t="shared" si="28"/>
        <v>0.12447903683484185</v>
      </c>
      <c r="R187" s="2">
        <f t="shared" si="29"/>
        <v>0.11077690676978119</v>
      </c>
      <c r="S187" s="12">
        <v>1023.0309671294472</v>
      </c>
      <c r="T187" s="2">
        <f t="shared" si="30"/>
        <v>40.049443899987438</v>
      </c>
      <c r="U187" s="2">
        <f t="shared" si="31"/>
        <v>0.4345721000125593</v>
      </c>
      <c r="V187" s="2">
        <f t="shared" si="32"/>
        <v>1.3501452008159072</v>
      </c>
    </row>
    <row r="188" spans="1:22" x14ac:dyDescent="0.25">
      <c r="A188" t="s">
        <v>211</v>
      </c>
      <c r="B188" s="2">
        <v>0.218</v>
      </c>
      <c r="C188" s="8">
        <v>0</v>
      </c>
      <c r="D188" s="8">
        <v>21.056999999999999</v>
      </c>
      <c r="E188" s="8">
        <v>6.0999999999999999E-2</v>
      </c>
      <c r="F188" s="8">
        <v>0.83</v>
      </c>
      <c r="G188" s="8">
        <v>3.9E-2</v>
      </c>
      <c r="H188" s="8">
        <v>-0.11799999999999999</v>
      </c>
      <c r="I188" s="8">
        <v>4.9000000000000002E-2</v>
      </c>
      <c r="J188" s="8">
        <v>0.12</v>
      </c>
      <c r="K188" s="8">
        <f t="shared" si="22"/>
        <v>0.26900000000000002</v>
      </c>
      <c r="L188" s="8">
        <f t="shared" si="23"/>
        <v>40.741349999999997</v>
      </c>
      <c r="M188" s="1">
        <f t="shared" si="24"/>
        <v>1406.9219328094589</v>
      </c>
      <c r="N188" s="1">
        <f t="shared" si="25"/>
        <v>3.659447818552866E+25</v>
      </c>
      <c r="O188" s="2">
        <f t="shared" si="26"/>
        <v>1185.9462706900395</v>
      </c>
      <c r="P188" s="2">
        <f t="shared" si="27"/>
        <v>40.370325068786222</v>
      </c>
      <c r="Q188" s="2">
        <f t="shared" si="28"/>
        <v>0.37102493121377478</v>
      </c>
      <c r="R188" s="2">
        <f t="shared" si="29"/>
        <v>1.9023990766046117</v>
      </c>
      <c r="S188" s="12">
        <v>1028.3331258620142</v>
      </c>
      <c r="T188" s="2">
        <f t="shared" si="30"/>
        <v>40.060669130142685</v>
      </c>
      <c r="U188" s="2">
        <f t="shared" si="31"/>
        <v>0.68068086985731213</v>
      </c>
      <c r="V188" s="2">
        <f t="shared" si="32"/>
        <v>6.4029856772253986</v>
      </c>
    </row>
    <row r="189" spans="1:22" x14ac:dyDescent="0.25">
      <c r="A189" t="s">
        <v>212</v>
      </c>
      <c r="B189" s="2">
        <v>0.219</v>
      </c>
      <c r="C189" s="8">
        <v>1E-3</v>
      </c>
      <c r="D189" s="8">
        <v>20.867000000000001</v>
      </c>
      <c r="E189" s="8">
        <v>2.5000000000000001E-2</v>
      </c>
      <c r="F189" s="8">
        <v>1.069</v>
      </c>
      <c r="G189" s="8">
        <v>1.2999999999999999E-2</v>
      </c>
      <c r="H189" s="8">
        <v>-1.6E-2</v>
      </c>
      <c r="I189" s="8">
        <v>2.1000000000000001E-2</v>
      </c>
      <c r="J189" s="8">
        <v>0.12</v>
      </c>
      <c r="K189" s="8">
        <f t="shared" si="22"/>
        <v>0.17899999999999999</v>
      </c>
      <c r="L189" s="8">
        <f t="shared" si="23"/>
        <v>40.267223000000001</v>
      </c>
      <c r="M189" s="1">
        <f t="shared" si="24"/>
        <v>1130.9531121176331</v>
      </c>
      <c r="N189" s="1">
        <f t="shared" si="25"/>
        <v>3.6775944633413011E+25</v>
      </c>
      <c r="O189" s="2">
        <f t="shared" si="26"/>
        <v>1191.8271977532083</v>
      </c>
      <c r="P189" s="2">
        <f t="shared" si="27"/>
        <v>40.381066459477083</v>
      </c>
      <c r="Q189" s="2">
        <f t="shared" si="28"/>
        <v>-0.11384345947708141</v>
      </c>
      <c r="R189" s="2">
        <f t="shared" si="29"/>
        <v>0.40449215897474727</v>
      </c>
      <c r="S189" s="12">
        <v>1033.6402232236346</v>
      </c>
      <c r="T189" s="2">
        <f t="shared" si="30"/>
        <v>40.071847005887463</v>
      </c>
      <c r="U189" s="2">
        <f t="shared" si="31"/>
        <v>0.19537599411253836</v>
      </c>
      <c r="V189" s="2">
        <f t="shared" si="32"/>
        <v>1.1913416895684474</v>
      </c>
    </row>
    <row r="190" spans="1:22" x14ac:dyDescent="0.25">
      <c r="A190" t="s">
        <v>213</v>
      </c>
      <c r="B190" s="2">
        <v>0.219</v>
      </c>
      <c r="C190" s="8">
        <v>0</v>
      </c>
      <c r="D190" s="8">
        <v>21.103999999999999</v>
      </c>
      <c r="E190" s="8">
        <v>4.3999999999999997E-2</v>
      </c>
      <c r="F190" s="8">
        <v>1.0549999999999999</v>
      </c>
      <c r="G190" s="8">
        <v>3.9E-2</v>
      </c>
      <c r="H190" s="8">
        <v>2.7E-2</v>
      </c>
      <c r="I190" s="8">
        <v>0.03</v>
      </c>
      <c r="J190" s="8">
        <v>0.12</v>
      </c>
      <c r="K190" s="8">
        <f t="shared" si="22"/>
        <v>0.23299999999999998</v>
      </c>
      <c r="L190" s="8">
        <f t="shared" si="23"/>
        <v>40.367575000000002</v>
      </c>
      <c r="M190" s="1">
        <f t="shared" si="24"/>
        <v>1184.4452755812238</v>
      </c>
      <c r="N190" s="1">
        <f t="shared" si="25"/>
        <v>3.6775944633413011E+25</v>
      </c>
      <c r="O190" s="2">
        <f t="shared" si="26"/>
        <v>1191.8271977532083</v>
      </c>
      <c r="P190" s="2">
        <f t="shared" si="27"/>
        <v>40.381066459477083</v>
      </c>
      <c r="Q190" s="2">
        <f t="shared" si="28"/>
        <v>-1.3491459477080525E-2</v>
      </c>
      <c r="R190" s="2">
        <f t="shared" si="29"/>
        <v>3.3527874674741838E-3</v>
      </c>
      <c r="S190" s="12">
        <v>1033.6402232236346</v>
      </c>
      <c r="T190" s="2">
        <f t="shared" si="30"/>
        <v>40.071847005887463</v>
      </c>
      <c r="U190" s="2">
        <f t="shared" si="31"/>
        <v>0.29572799411253925</v>
      </c>
      <c r="V190" s="2">
        <f t="shared" si="32"/>
        <v>1.6109165116658266</v>
      </c>
    </row>
    <row r="191" spans="1:22" x14ac:dyDescent="0.25">
      <c r="A191" t="s">
        <v>214</v>
      </c>
      <c r="B191" s="2">
        <v>0.22</v>
      </c>
      <c r="C191" s="8">
        <v>0</v>
      </c>
      <c r="D191" s="8">
        <v>21.172999999999998</v>
      </c>
      <c r="E191" s="8">
        <v>3.4000000000000002E-2</v>
      </c>
      <c r="F191" s="8">
        <v>0.97599999999999998</v>
      </c>
      <c r="G191" s="8">
        <v>3.1E-2</v>
      </c>
      <c r="H191" s="8">
        <v>4.5999999999999999E-2</v>
      </c>
      <c r="I191" s="8">
        <v>2.5000000000000001E-2</v>
      </c>
      <c r="J191" s="8">
        <v>0.12</v>
      </c>
      <c r="K191" s="8">
        <f t="shared" si="22"/>
        <v>0.21</v>
      </c>
      <c r="L191" s="8">
        <f t="shared" si="23"/>
        <v>40.365492000000003</v>
      </c>
      <c r="M191" s="1">
        <f t="shared" si="24"/>
        <v>1183.3096329926391</v>
      </c>
      <c r="N191" s="1">
        <f t="shared" si="25"/>
        <v>3.6957522989389413E+25</v>
      </c>
      <c r="O191" s="2">
        <f t="shared" si="26"/>
        <v>1197.7117515106493</v>
      </c>
      <c r="P191" s="2">
        <f t="shared" si="27"/>
        <v>40.391761553576202</v>
      </c>
      <c r="Q191" s="2">
        <f t="shared" si="28"/>
        <v>-2.6269553576199201E-2</v>
      </c>
      <c r="R191" s="2">
        <f t="shared" si="29"/>
        <v>1.5648286736798193E-2</v>
      </c>
      <c r="S191" s="12">
        <v>1038.952253250719</v>
      </c>
      <c r="T191" s="2">
        <f t="shared" si="30"/>
        <v>40.082977946514397</v>
      </c>
      <c r="U191" s="2">
        <f t="shared" si="31"/>
        <v>0.2825140534856061</v>
      </c>
      <c r="V191" s="2">
        <f t="shared" si="32"/>
        <v>1.8098455876840798</v>
      </c>
    </row>
    <row r="192" spans="1:22" x14ac:dyDescent="0.25">
      <c r="A192" t="s">
        <v>215</v>
      </c>
      <c r="B192" s="2">
        <v>0.23</v>
      </c>
      <c r="C192" s="8">
        <v>0</v>
      </c>
      <c r="D192" s="8">
        <v>20.798999999999999</v>
      </c>
      <c r="E192" s="8">
        <v>3.7999999999999999E-2</v>
      </c>
      <c r="F192" s="8">
        <v>1.0920000000000001</v>
      </c>
      <c r="G192" s="8">
        <v>2.5000000000000001E-2</v>
      </c>
      <c r="H192" s="8">
        <v>-6.8000000000000005E-2</v>
      </c>
      <c r="I192" s="8">
        <v>2.8000000000000001E-2</v>
      </c>
      <c r="J192" s="8">
        <v>0.12</v>
      </c>
      <c r="K192" s="8">
        <f t="shared" si="22"/>
        <v>0.21099999999999999</v>
      </c>
      <c r="L192" s="8">
        <f t="shared" si="23"/>
        <v>40.365364</v>
      </c>
      <c r="M192" s="1">
        <f t="shared" si="24"/>
        <v>1183.2398834676858</v>
      </c>
      <c r="N192" s="1">
        <f t="shared" si="25"/>
        <v>3.8779428373437269E+25</v>
      </c>
      <c r="O192" s="2">
        <f t="shared" si="26"/>
        <v>1256.7556838986811</v>
      </c>
      <c r="P192" s="2">
        <f t="shared" si="27"/>
        <v>40.496254290388769</v>
      </c>
      <c r="Q192" s="2">
        <f t="shared" si="28"/>
        <v>-0.13089029038876987</v>
      </c>
      <c r="R192" s="2">
        <f t="shared" si="29"/>
        <v>0.38481319193316643</v>
      </c>
      <c r="S192" s="12">
        <v>1092.3425418059824</v>
      </c>
      <c r="T192" s="2">
        <f t="shared" si="30"/>
        <v>40.19179423895288</v>
      </c>
      <c r="U192" s="2">
        <f t="shared" si="31"/>
        <v>0.17356976104711919</v>
      </c>
      <c r="V192" s="2">
        <f t="shared" si="32"/>
        <v>0.67667981289625245</v>
      </c>
    </row>
    <row r="193" spans="1:22" x14ac:dyDescent="0.25">
      <c r="A193" t="s">
        <v>10</v>
      </c>
      <c r="B193" s="2">
        <v>0.24399999999999999</v>
      </c>
      <c r="C193" s="8">
        <v>0</v>
      </c>
      <c r="D193" s="8">
        <v>20.995000000000001</v>
      </c>
      <c r="E193" s="8">
        <v>4.8000000000000001E-2</v>
      </c>
      <c r="F193" s="8">
        <v>1.109</v>
      </c>
      <c r="G193" s="8">
        <v>0.08</v>
      </c>
      <c r="H193" s="8">
        <v>3.9E-2</v>
      </c>
      <c r="I193" s="8">
        <v>3.6999999999999998E-2</v>
      </c>
      <c r="J193" s="8">
        <v>0.12</v>
      </c>
      <c r="K193" s="8">
        <f t="shared" si="22"/>
        <v>0.28500000000000003</v>
      </c>
      <c r="L193" s="8">
        <f t="shared" si="23"/>
        <v>40.228953000000004</v>
      </c>
      <c r="M193" s="1">
        <f t="shared" si="24"/>
        <v>1111.1958224528523</v>
      </c>
      <c r="N193" s="1">
        <f t="shared" si="25"/>
        <v>4.1348586975100055E+25</v>
      </c>
      <c r="O193" s="2">
        <f t="shared" si="26"/>
        <v>1340.0164438145887</v>
      </c>
      <c r="P193" s="2">
        <f t="shared" si="27"/>
        <v>40.635550638891651</v>
      </c>
      <c r="Q193" s="2">
        <f t="shared" si="28"/>
        <v>-0.4065976388916468</v>
      </c>
      <c r="R193" s="2">
        <f t="shared" si="29"/>
        <v>2.0353541391475773</v>
      </c>
      <c r="S193" s="12">
        <v>1167.9053589077171</v>
      </c>
      <c r="T193" s="2">
        <f t="shared" si="30"/>
        <v>40.33703825596475</v>
      </c>
      <c r="U193" s="2">
        <f t="shared" si="31"/>
        <v>-0.10808525596474539</v>
      </c>
      <c r="V193" s="2">
        <f t="shared" si="32"/>
        <v>0.14382791698325054</v>
      </c>
    </row>
    <row r="194" spans="1:22" x14ac:dyDescent="0.25">
      <c r="A194" t="s">
        <v>216</v>
      </c>
      <c r="B194" s="2">
        <v>0.245</v>
      </c>
      <c r="C194" s="8">
        <v>0</v>
      </c>
      <c r="D194" s="8">
        <v>20.791</v>
      </c>
      <c r="E194" s="8">
        <v>4.1000000000000002E-2</v>
      </c>
      <c r="F194" s="8">
        <v>1.1200000000000001</v>
      </c>
      <c r="G194" s="8">
        <v>2.9000000000000001E-2</v>
      </c>
      <c r="H194" s="8">
        <v>-0.06</v>
      </c>
      <c r="I194" s="8">
        <v>2.9000000000000001E-2</v>
      </c>
      <c r="J194" s="8">
        <v>0.12</v>
      </c>
      <c r="K194" s="8">
        <f t="shared" si="22"/>
        <v>0.219</v>
      </c>
      <c r="L194" s="8">
        <f t="shared" si="23"/>
        <v>40.336439999999996</v>
      </c>
      <c r="M194" s="1">
        <f t="shared" si="24"/>
        <v>1167.5836370641669</v>
      </c>
      <c r="N194" s="1">
        <f t="shared" si="25"/>
        <v>4.1532914605135916E+25</v>
      </c>
      <c r="O194" s="2">
        <f t="shared" si="26"/>
        <v>1345.9900954764016</v>
      </c>
      <c r="P194" s="2">
        <f t="shared" si="27"/>
        <v>40.645209320629348</v>
      </c>
      <c r="Q194" s="2">
        <f t="shared" si="28"/>
        <v>-0.30876932062935225</v>
      </c>
      <c r="R194" s="2">
        <f t="shared" si="29"/>
        <v>1.9878337266093646</v>
      </c>
      <c r="S194" s="12">
        <v>1173.3387825649461</v>
      </c>
      <c r="T194" s="2">
        <f t="shared" si="30"/>
        <v>40.347117128589467</v>
      </c>
      <c r="U194" s="2">
        <f t="shared" si="31"/>
        <v>-1.0677128589470897E-2</v>
      </c>
      <c r="V194" s="2">
        <f t="shared" si="32"/>
        <v>2.3769536689413648E-3</v>
      </c>
    </row>
    <row r="195" spans="1:22" x14ac:dyDescent="0.25">
      <c r="A195" t="s">
        <v>217</v>
      </c>
      <c r="B195" s="2">
        <v>0.246</v>
      </c>
      <c r="C195" s="8">
        <v>1E-3</v>
      </c>
      <c r="D195" s="8">
        <v>21.521000000000001</v>
      </c>
      <c r="E195" s="8">
        <v>3.2000000000000001E-2</v>
      </c>
      <c r="F195" s="8">
        <v>0.91200000000000003</v>
      </c>
      <c r="G195" s="8">
        <v>2.7E-2</v>
      </c>
      <c r="H195" s="8">
        <v>3.4000000000000002E-2</v>
      </c>
      <c r="I195" s="8">
        <v>2.5000000000000001E-2</v>
      </c>
      <c r="J195" s="8">
        <v>0.12</v>
      </c>
      <c r="K195" s="8">
        <f t="shared" si="22"/>
        <v>0.20399999999999999</v>
      </c>
      <c r="L195" s="8">
        <f t="shared" si="23"/>
        <v>40.741644000000001</v>
      </c>
      <c r="M195" s="1">
        <f t="shared" si="24"/>
        <v>1407.1124316843902</v>
      </c>
      <c r="N195" s="1">
        <f t="shared" si="25"/>
        <v>4.1717350299998182E+25</v>
      </c>
      <c r="O195" s="2">
        <f t="shared" si="26"/>
        <v>1351.9672492807297</v>
      </c>
      <c r="P195" s="2">
        <f t="shared" si="27"/>
        <v>40.654830855850079</v>
      </c>
      <c r="Q195" s="2">
        <f t="shared" si="28"/>
        <v>8.6813144149921584E-2</v>
      </c>
      <c r="R195" s="2">
        <f t="shared" si="29"/>
        <v>0.18109674157043121</v>
      </c>
      <c r="S195" s="12">
        <v>1178.7769856620828</v>
      </c>
      <c r="T195" s="2">
        <f t="shared" si="30"/>
        <v>40.357158240667466</v>
      </c>
      <c r="U195" s="2">
        <f t="shared" si="31"/>
        <v>0.38448575933253437</v>
      </c>
      <c r="V195" s="2">
        <f t="shared" si="32"/>
        <v>3.552222681889551</v>
      </c>
    </row>
    <row r="196" spans="1:22" x14ac:dyDescent="0.25">
      <c r="A196" t="s">
        <v>218</v>
      </c>
      <c r="B196" s="2">
        <v>0.25</v>
      </c>
      <c r="C196" s="8">
        <v>0</v>
      </c>
      <c r="D196" s="8">
        <v>20.957999999999998</v>
      </c>
      <c r="E196" s="8">
        <v>3.6999999999999998E-2</v>
      </c>
      <c r="F196" s="8">
        <v>1.0549999999999999</v>
      </c>
      <c r="G196" s="8">
        <v>3.4000000000000002E-2</v>
      </c>
      <c r="H196" s="8">
        <v>-3.7999999999999999E-2</v>
      </c>
      <c r="I196" s="8">
        <v>2.9000000000000001E-2</v>
      </c>
      <c r="J196" s="8">
        <v>0.12</v>
      </c>
      <c r="K196" s="8">
        <f t="shared" si="22"/>
        <v>0.22</v>
      </c>
      <c r="L196" s="8">
        <f t="shared" si="23"/>
        <v>40.425024999999998</v>
      </c>
      <c r="M196" s="1">
        <f t="shared" si="24"/>
        <v>1216.2000025857469</v>
      </c>
      <c r="N196" s="1">
        <f t="shared" si="25"/>
        <v>4.2456170845982628E+25</v>
      </c>
      <c r="O196" s="2">
        <f t="shared" si="26"/>
        <v>1375.9107925327257</v>
      </c>
      <c r="P196" s="2">
        <f t="shared" si="27"/>
        <v>40.692951386188277</v>
      </c>
      <c r="Q196" s="2">
        <f t="shared" si="28"/>
        <v>-0.2679263861882788</v>
      </c>
      <c r="R196" s="2">
        <f t="shared" si="29"/>
        <v>1.4831518267750148</v>
      </c>
      <c r="S196" s="12">
        <v>1200.5774760965946</v>
      </c>
      <c r="T196" s="2">
        <f t="shared" si="30"/>
        <v>40.396950956723799</v>
      </c>
      <c r="U196" s="2">
        <f t="shared" si="31"/>
        <v>2.8074043276198779E-2</v>
      </c>
      <c r="V196" s="2">
        <f t="shared" si="32"/>
        <v>1.6284130286650451E-2</v>
      </c>
    </row>
    <row r="197" spans="1:22" x14ac:dyDescent="0.25">
      <c r="A197" t="s">
        <v>219</v>
      </c>
      <c r="B197" s="2">
        <v>0.25</v>
      </c>
      <c r="C197" s="8">
        <v>0</v>
      </c>
      <c r="D197" s="8">
        <v>21.891999999999999</v>
      </c>
      <c r="E197" s="8">
        <v>2.8000000000000001E-2</v>
      </c>
      <c r="F197" s="8">
        <v>0.94899999999999995</v>
      </c>
      <c r="G197" s="8">
        <v>1.4999999999999999E-2</v>
      </c>
      <c r="H197" s="8">
        <v>0.16</v>
      </c>
      <c r="I197" s="8">
        <v>2.3E-2</v>
      </c>
      <c r="J197" s="8">
        <v>0.12</v>
      </c>
      <c r="K197" s="8">
        <f t="shared" si="22"/>
        <v>0.186</v>
      </c>
      <c r="L197" s="8">
        <f t="shared" si="23"/>
        <v>40.723703</v>
      </c>
      <c r="M197" s="1">
        <f t="shared" si="24"/>
        <v>1395.5345724291051</v>
      </c>
      <c r="N197" s="1">
        <f t="shared" si="25"/>
        <v>4.2456170845982628E+25</v>
      </c>
      <c r="O197" s="2">
        <f t="shared" si="26"/>
        <v>1375.9107925327257</v>
      </c>
      <c r="P197" s="2">
        <f t="shared" si="27"/>
        <v>40.692951386188277</v>
      </c>
      <c r="Q197" s="2">
        <f t="shared" si="28"/>
        <v>3.0751613811723644E-2</v>
      </c>
      <c r="R197" s="2">
        <f t="shared" si="29"/>
        <v>2.7334424558486309E-2</v>
      </c>
      <c r="S197" s="12">
        <v>1200.5774760965946</v>
      </c>
      <c r="T197" s="2">
        <f t="shared" si="30"/>
        <v>40.396950956723799</v>
      </c>
      <c r="U197" s="2">
        <f t="shared" si="31"/>
        <v>0.32675204327620122</v>
      </c>
      <c r="V197" s="2">
        <f t="shared" si="32"/>
        <v>3.0861052660762076</v>
      </c>
    </row>
    <row r="198" spans="1:22" x14ac:dyDescent="0.25">
      <c r="A198" t="s">
        <v>220</v>
      </c>
      <c r="B198" s="2">
        <v>0.251</v>
      </c>
      <c r="C198" s="8">
        <v>0</v>
      </c>
      <c r="D198" s="8">
        <v>21.539000000000001</v>
      </c>
      <c r="E198" s="8">
        <v>0.04</v>
      </c>
      <c r="F198" s="8">
        <v>1.1639999999999999</v>
      </c>
      <c r="G198" s="8">
        <v>3.2000000000000001E-2</v>
      </c>
      <c r="H198" s="8">
        <v>0.03</v>
      </c>
      <c r="I198" s="8">
        <v>3.2000000000000001E-2</v>
      </c>
      <c r="J198" s="8">
        <v>0.12</v>
      </c>
      <c r="K198" s="8">
        <f t="shared" si="22"/>
        <v>0.224</v>
      </c>
      <c r="L198" s="8">
        <f t="shared" si="23"/>
        <v>40.809207999999998</v>
      </c>
      <c r="M198" s="1">
        <f t="shared" si="24"/>
        <v>1451.5820862481173</v>
      </c>
      <c r="N198" s="1">
        <f t="shared" si="25"/>
        <v>4.2641144705920752E+25</v>
      </c>
      <c r="O198" s="2">
        <f t="shared" si="26"/>
        <v>1381.9053870793834</v>
      </c>
      <c r="P198" s="2">
        <f t="shared" si="27"/>
        <v>40.702391549214312</v>
      </c>
      <c r="Q198" s="2">
        <f t="shared" si="28"/>
        <v>0.10681645078568636</v>
      </c>
      <c r="R198" s="2">
        <f t="shared" si="29"/>
        <v>0.22739465398698488</v>
      </c>
      <c r="S198" s="12">
        <v>1206.0394891757217</v>
      </c>
      <c r="T198" s="2">
        <f t="shared" si="30"/>
        <v>40.406807640390227</v>
      </c>
      <c r="U198" s="2">
        <f t="shared" si="31"/>
        <v>0.40240035960977139</v>
      </c>
      <c r="V198" s="2">
        <f t="shared" si="32"/>
        <v>3.2271613802230807</v>
      </c>
    </row>
    <row r="199" spans="1:22" x14ac:dyDescent="0.25">
      <c r="A199" t="s">
        <v>221</v>
      </c>
      <c r="B199" s="2">
        <v>0.252</v>
      </c>
      <c r="C199" s="8">
        <v>0</v>
      </c>
      <c r="D199" s="8">
        <v>21.355</v>
      </c>
      <c r="E199" s="8">
        <v>3.4000000000000002E-2</v>
      </c>
      <c r="F199" s="8">
        <v>1.175</v>
      </c>
      <c r="G199" s="8">
        <v>3.1E-2</v>
      </c>
      <c r="H199" s="8">
        <v>-1.2E-2</v>
      </c>
      <c r="I199" s="8">
        <v>2.5999999999999999E-2</v>
      </c>
      <c r="J199" s="8">
        <v>0.12</v>
      </c>
      <c r="K199" s="8">
        <f t="shared" ref="K199:K262" si="33">PeakMagnitudeError+StretchError+ColorError+ScatterError</f>
        <v>0.21099999999999999</v>
      </c>
      <c r="L199" s="8">
        <f t="shared" ref="L199:L262" si="34">PeakMagnitude+α*(Stretch-1)-β*Color-Mb</f>
        <v>40.758285000000001</v>
      </c>
      <c r="M199" s="1">
        <f t="shared" ref="M199:M262" si="35">10^((ObservedDistanceModuli-25)/5)</f>
        <v>1417.9372114118282</v>
      </c>
      <c r="N199" s="1">
        <f t="shared" ref="N199:N262" si="36">(RedShift*Age*(2*InitialTangentVelocity-UniverseAcceleration*Age))/(2+RedShift)*(1+RedShift)</f>
        <v>4.282622576885191E+25</v>
      </c>
      <c r="O199" s="2">
        <f t="shared" ref="O199:O262" si="37">N199/Mpc</f>
        <v>1387.903455838439</v>
      </c>
      <c r="P199" s="2">
        <f t="shared" ref="P199:P262" si="38">(LOG10(T2LuminousDistance)*5+25)</f>
        <v>40.711796285727857</v>
      </c>
      <c r="Q199" s="2">
        <f t="shared" ref="Q199:Q262" si="39">ObservedDistanceModuli-T2DistanceModuli</f>
        <v>4.6488714272143739E-2</v>
      </c>
      <c r="R199" s="2">
        <f t="shared" ref="R199:R262" si="40">(ObservedDistanceModuli-T2DistanceModuli)^2/TotalError^2</f>
        <v>4.8543396479796518E-2</v>
      </c>
      <c r="S199" s="12">
        <v>1211.5062468456167</v>
      </c>
      <c r="T199" s="2">
        <f t="shared" ref="T199:T262" si="41">(LOG10(ΛCDMLuminousDistance)*5+25)</f>
        <v>40.416628289080734</v>
      </c>
      <c r="U199" s="2">
        <f t="shared" ref="U199:U262" si="42">ObservedDistanceModuli-ΛCDMDistanceModuli</f>
        <v>0.34165671091926697</v>
      </c>
      <c r="V199" s="2">
        <f t="shared" ref="V199:V262" si="43">(ObservedDistanceModuli-ΛCDMDistanceModuli)^2/TotalError^2</f>
        <v>2.6218932215397581</v>
      </c>
    </row>
    <row r="200" spans="1:22" x14ac:dyDescent="0.25">
      <c r="A200" t="s">
        <v>222</v>
      </c>
      <c r="B200" s="2">
        <v>0.253</v>
      </c>
      <c r="C200" s="8">
        <v>0</v>
      </c>
      <c r="D200" s="8">
        <v>21.420999999999999</v>
      </c>
      <c r="E200" s="8">
        <v>3.5000000000000003E-2</v>
      </c>
      <c r="F200" s="8">
        <v>0.94899999999999995</v>
      </c>
      <c r="G200" s="8">
        <v>0.03</v>
      </c>
      <c r="H200" s="8">
        <v>1.0999999999999999E-2</v>
      </c>
      <c r="I200" s="8">
        <v>2.5999999999999999E-2</v>
      </c>
      <c r="J200" s="8">
        <v>0.12</v>
      </c>
      <c r="K200" s="8">
        <f t="shared" si="33"/>
        <v>0.21099999999999999</v>
      </c>
      <c r="L200" s="8">
        <f t="shared" si="34"/>
        <v>40.719072999999995</v>
      </c>
      <c r="M200" s="1">
        <f t="shared" si="35"/>
        <v>1392.5621922429029</v>
      </c>
      <c r="N200" s="1">
        <f t="shared" si="36"/>
        <v>4.3011413892029104E+25</v>
      </c>
      <c r="O200" s="2">
        <f t="shared" si="37"/>
        <v>1393.9049941837768</v>
      </c>
      <c r="P200" s="2">
        <f t="shared" si="38"/>
        <v>40.721165870575305</v>
      </c>
      <c r="Q200" s="2">
        <f t="shared" si="39"/>
        <v>-2.0928705753107124E-3</v>
      </c>
      <c r="R200" s="2">
        <f t="shared" si="40"/>
        <v>9.8382948383939992E-5</v>
      </c>
      <c r="S200" s="12">
        <v>1216.9777433170714</v>
      </c>
      <c r="T200" s="2">
        <f t="shared" si="41"/>
        <v>40.426413178566229</v>
      </c>
      <c r="U200" s="2">
        <f t="shared" si="42"/>
        <v>0.2926598214337659</v>
      </c>
      <c r="V200" s="2">
        <f t="shared" si="43"/>
        <v>1.9238060933412042</v>
      </c>
    </row>
    <row r="201" spans="1:22" x14ac:dyDescent="0.25">
      <c r="A201" t="s">
        <v>223</v>
      </c>
      <c r="B201" s="2">
        <v>0.254</v>
      </c>
      <c r="C201" s="8">
        <v>0</v>
      </c>
      <c r="D201" s="8">
        <v>21.344999999999999</v>
      </c>
      <c r="E201" s="8">
        <v>5.8000000000000003E-2</v>
      </c>
      <c r="F201" s="8">
        <v>1.075</v>
      </c>
      <c r="G201" s="8">
        <v>5.3999999999999999E-2</v>
      </c>
      <c r="H201" s="8">
        <v>4.1000000000000002E-2</v>
      </c>
      <c r="I201" s="8">
        <v>3.9E-2</v>
      </c>
      <c r="J201" s="8">
        <v>0.12</v>
      </c>
      <c r="K201" s="8">
        <f t="shared" si="33"/>
        <v>0.27100000000000002</v>
      </c>
      <c r="L201" s="8">
        <f t="shared" si="34"/>
        <v>40.567695000000001</v>
      </c>
      <c r="M201" s="1">
        <f t="shared" si="35"/>
        <v>1298.7901910148557</v>
      </c>
      <c r="N201" s="1">
        <f t="shared" si="36"/>
        <v>4.3196708932958665E+25</v>
      </c>
      <c r="O201" s="2">
        <f t="shared" si="37"/>
        <v>1399.909997497492</v>
      </c>
      <c r="P201" s="2">
        <f t="shared" si="38"/>
        <v>40.730500575367358</v>
      </c>
      <c r="Q201" s="2">
        <f t="shared" si="39"/>
        <v>-0.16280557536735785</v>
      </c>
      <c r="R201" s="2">
        <f t="shared" si="40"/>
        <v>0.36091087227429408</v>
      </c>
      <c r="S201" s="12">
        <v>1222.4539728063237</v>
      </c>
      <c r="T201" s="2">
        <f t="shared" si="41"/>
        <v>40.436162581380984</v>
      </c>
      <c r="U201" s="2">
        <f t="shared" si="42"/>
        <v>0.13153241861901677</v>
      </c>
      <c r="V201" s="2">
        <f t="shared" si="43"/>
        <v>0.23557382317463363</v>
      </c>
    </row>
    <row r="202" spans="1:22" x14ac:dyDescent="0.25">
      <c r="A202" t="s">
        <v>224</v>
      </c>
      <c r="B202" s="2">
        <v>0.25700000000000001</v>
      </c>
      <c r="C202" s="8">
        <v>0</v>
      </c>
      <c r="D202" s="8">
        <v>21.452999999999999</v>
      </c>
      <c r="E202" s="8">
        <v>6.9000000000000006E-2</v>
      </c>
      <c r="F202" s="8">
        <v>0.97799999999999998</v>
      </c>
      <c r="G202" s="8">
        <v>6.4000000000000001E-2</v>
      </c>
      <c r="H202" s="8">
        <v>2.1999999999999999E-2</v>
      </c>
      <c r="I202" s="8">
        <v>4.9000000000000002E-2</v>
      </c>
      <c r="J202" s="8">
        <v>0.12</v>
      </c>
      <c r="K202" s="8">
        <f t="shared" si="33"/>
        <v>0.30199999999999999</v>
      </c>
      <c r="L202" s="8">
        <f t="shared" si="34"/>
        <v>40.720905999999999</v>
      </c>
      <c r="M202" s="1">
        <f t="shared" si="35"/>
        <v>1393.7381888323307</v>
      </c>
      <c r="N202" s="1">
        <f t="shared" si="36"/>
        <v>4.3753234141112839E+25</v>
      </c>
      <c r="O202" s="2">
        <f t="shared" si="37"/>
        <v>1417.9457511926066</v>
      </c>
      <c r="P202" s="2">
        <f t="shared" si="38"/>
        <v>40.758298078042074</v>
      </c>
      <c r="Q202" s="2">
        <f t="shared" si="39"/>
        <v>-3.7392078042074672E-2</v>
      </c>
      <c r="R202" s="2">
        <f t="shared" si="40"/>
        <v>1.5330111621251294E-2</v>
      </c>
      <c r="S202" s="12">
        <v>1238.9110016251464</v>
      </c>
      <c r="T202" s="2">
        <f t="shared" si="41"/>
        <v>40.46520054765373</v>
      </c>
      <c r="U202" s="2">
        <f t="shared" si="42"/>
        <v>0.25570545234626962</v>
      </c>
      <c r="V202" s="2">
        <f t="shared" si="43"/>
        <v>0.71691239813616037</v>
      </c>
    </row>
    <row r="203" spans="1:22" x14ac:dyDescent="0.25">
      <c r="A203" t="s">
        <v>225</v>
      </c>
      <c r="B203" s="2">
        <v>0.25800000000000001</v>
      </c>
      <c r="C203" s="8">
        <v>0</v>
      </c>
      <c r="D203" s="8">
        <v>21.562999999999999</v>
      </c>
      <c r="E203" s="8">
        <v>5.6000000000000001E-2</v>
      </c>
      <c r="F203" s="8">
        <v>0.91800000000000004</v>
      </c>
      <c r="G203" s="8">
        <v>8.2000000000000003E-2</v>
      </c>
      <c r="H203" s="8">
        <v>2.1999999999999999E-2</v>
      </c>
      <c r="I203" s="8">
        <v>4.3999999999999997E-2</v>
      </c>
      <c r="J203" s="8">
        <v>0.12</v>
      </c>
      <c r="K203" s="8">
        <f t="shared" si="33"/>
        <v>0.30199999999999999</v>
      </c>
      <c r="L203" s="8">
        <f t="shared" si="34"/>
        <v>40.822085999999999</v>
      </c>
      <c r="M203" s="1">
        <f t="shared" si="35"/>
        <v>1460.2163267509777</v>
      </c>
      <c r="N203" s="1">
        <f t="shared" si="36"/>
        <v>4.3938955433161929E+25</v>
      </c>
      <c r="O203" s="2">
        <f t="shared" si="37"/>
        <v>1423.9645683643309</v>
      </c>
      <c r="P203" s="2">
        <f t="shared" si="38"/>
        <v>40.767495915762275</v>
      </c>
      <c r="Q203" s="2">
        <f t="shared" si="39"/>
        <v>5.4590084237723602E-2</v>
      </c>
      <c r="R203" s="2">
        <f t="shared" si="40"/>
        <v>3.2674853044622594E-2</v>
      </c>
      <c r="S203" s="12">
        <v>1244.4061054572232</v>
      </c>
      <c r="T203" s="2">
        <f t="shared" si="41"/>
        <v>40.474810666152621</v>
      </c>
      <c r="U203" s="2">
        <f t="shared" si="42"/>
        <v>0.34727533384737796</v>
      </c>
      <c r="V203" s="2">
        <f t="shared" si="43"/>
        <v>1.322312151866232</v>
      </c>
    </row>
    <row r="204" spans="1:22" x14ac:dyDescent="0.25">
      <c r="A204" t="s">
        <v>226</v>
      </c>
      <c r="B204" s="2">
        <v>0.25900000000000001</v>
      </c>
      <c r="C204" s="8">
        <v>0</v>
      </c>
      <c r="D204" s="8">
        <v>21.632999999999999</v>
      </c>
      <c r="E204" s="8">
        <v>4.3999999999999997E-2</v>
      </c>
      <c r="F204" s="8">
        <v>1.0489999999999999</v>
      </c>
      <c r="G204" s="8">
        <v>4.7E-2</v>
      </c>
      <c r="H204" s="8">
        <v>7.6999999999999999E-2</v>
      </c>
      <c r="I204" s="8">
        <v>3.7999999999999999E-2</v>
      </c>
      <c r="J204" s="8">
        <v>0.12</v>
      </c>
      <c r="K204" s="8">
        <f t="shared" si="33"/>
        <v>0.249</v>
      </c>
      <c r="L204" s="8">
        <f t="shared" si="34"/>
        <v>40.739193</v>
      </c>
      <c r="M204" s="1">
        <f t="shared" si="35"/>
        <v>1405.5250816027226</v>
      </c>
      <c r="N204" s="1">
        <f t="shared" si="36"/>
        <v>4.4124782934275256E+25</v>
      </c>
      <c r="O204" s="2">
        <f t="shared" si="37"/>
        <v>1429.9868275374142</v>
      </c>
      <c r="P204" s="2">
        <f t="shared" si="38"/>
        <v>40.776660184688382</v>
      </c>
      <c r="Q204" s="2">
        <f t="shared" si="39"/>
        <v>-3.7467184688381394E-2</v>
      </c>
      <c r="R204" s="2">
        <f t="shared" si="40"/>
        <v>2.2641407855893955E-2</v>
      </c>
      <c r="S204" s="12">
        <v>1249.9059134703004</v>
      </c>
      <c r="T204" s="2">
        <f t="shared" si="41"/>
        <v>40.484386613846105</v>
      </c>
      <c r="U204" s="2">
        <f t="shared" si="42"/>
        <v>0.25480638615389495</v>
      </c>
      <c r="V204" s="2">
        <f t="shared" si="43"/>
        <v>1.0471814071516237</v>
      </c>
    </row>
    <row r="205" spans="1:22" x14ac:dyDescent="0.25">
      <c r="A205" t="s">
        <v>227</v>
      </c>
      <c r="B205" s="2">
        <v>0.25900000000000001</v>
      </c>
      <c r="C205" s="8">
        <v>0</v>
      </c>
      <c r="D205" s="8">
        <v>21.536999999999999</v>
      </c>
      <c r="E205" s="8">
        <v>3.9E-2</v>
      </c>
      <c r="F205" s="8">
        <v>1.0649999999999999</v>
      </c>
      <c r="G205" s="8">
        <v>5.5E-2</v>
      </c>
      <c r="H205" s="8">
        <v>6.3E-2</v>
      </c>
      <c r="I205" s="8">
        <v>3.2000000000000001E-2</v>
      </c>
      <c r="J205" s="8">
        <v>0.12</v>
      </c>
      <c r="K205" s="8">
        <f t="shared" si="33"/>
        <v>0.246</v>
      </c>
      <c r="L205" s="8">
        <f t="shared" si="34"/>
        <v>40.689364999999995</v>
      </c>
      <c r="M205" s="1">
        <f t="shared" si="35"/>
        <v>1373.6402249886767</v>
      </c>
      <c r="N205" s="1">
        <f t="shared" si="36"/>
        <v>4.4124782934275256E+25</v>
      </c>
      <c r="O205" s="2">
        <f t="shared" si="37"/>
        <v>1429.9868275374142</v>
      </c>
      <c r="P205" s="2">
        <f t="shared" si="38"/>
        <v>40.776660184688382</v>
      </c>
      <c r="Q205" s="2">
        <f t="shared" si="39"/>
        <v>-8.7295184688386485E-2</v>
      </c>
      <c r="R205" s="2">
        <f t="shared" si="40"/>
        <v>0.12592453681306606</v>
      </c>
      <c r="S205" s="12">
        <v>1249.9059134703004</v>
      </c>
      <c r="T205" s="2">
        <f t="shared" si="41"/>
        <v>40.484386613846105</v>
      </c>
      <c r="U205" s="2">
        <f t="shared" si="42"/>
        <v>0.20497838615388986</v>
      </c>
      <c r="V205" s="2">
        <f t="shared" si="43"/>
        <v>0.69429801689227943</v>
      </c>
    </row>
    <row r="206" spans="1:22" x14ac:dyDescent="0.25">
      <c r="A206" t="s">
        <v>228</v>
      </c>
      <c r="B206" s="2">
        <v>0.25900000000000001</v>
      </c>
      <c r="C206" s="8">
        <v>0</v>
      </c>
      <c r="D206" s="8">
        <v>21.01</v>
      </c>
      <c r="E206" s="8">
        <v>5.2999999999999999E-2</v>
      </c>
      <c r="F206" s="8">
        <v>1.0569999999999999</v>
      </c>
      <c r="G206" s="8">
        <v>4.1000000000000002E-2</v>
      </c>
      <c r="H206" s="8">
        <v>-0.16800000000000001</v>
      </c>
      <c r="I206" s="8">
        <v>3.6999999999999998E-2</v>
      </c>
      <c r="J206" s="8">
        <v>0.12</v>
      </c>
      <c r="K206" s="8">
        <f t="shared" si="33"/>
        <v>0.251</v>
      </c>
      <c r="L206" s="8">
        <f t="shared" si="34"/>
        <v>40.884219000000002</v>
      </c>
      <c r="M206" s="1">
        <f t="shared" si="35"/>
        <v>1502.6014375613963</v>
      </c>
      <c r="N206" s="1">
        <f t="shared" si="36"/>
        <v>4.4124782934275256E+25</v>
      </c>
      <c r="O206" s="2">
        <f t="shared" si="37"/>
        <v>1429.9868275374142</v>
      </c>
      <c r="P206" s="2">
        <f t="shared" si="38"/>
        <v>40.776660184688382</v>
      </c>
      <c r="Q206" s="2">
        <f t="shared" si="39"/>
        <v>0.10755881531162004</v>
      </c>
      <c r="R206" s="2">
        <f t="shared" si="40"/>
        <v>0.18363039874349912</v>
      </c>
      <c r="S206" s="12">
        <v>1249.9059134703004</v>
      </c>
      <c r="T206" s="2">
        <f t="shared" si="41"/>
        <v>40.484386613846105</v>
      </c>
      <c r="U206" s="2">
        <f t="shared" si="42"/>
        <v>0.39983238615389638</v>
      </c>
      <c r="V206" s="2">
        <f t="shared" si="43"/>
        <v>2.5375142778292168</v>
      </c>
    </row>
    <row r="207" spans="1:22" x14ac:dyDescent="0.25">
      <c r="A207" t="s">
        <v>229</v>
      </c>
      <c r="B207" s="2">
        <v>0.26200000000000001</v>
      </c>
      <c r="C207" s="8">
        <v>0</v>
      </c>
      <c r="D207" s="8">
        <v>21.23</v>
      </c>
      <c r="E207" s="8">
        <v>4.8000000000000001E-2</v>
      </c>
      <c r="F207" s="8">
        <v>0.871</v>
      </c>
      <c r="G207" s="8">
        <v>4.3999999999999997E-2</v>
      </c>
      <c r="H207" s="8">
        <v>-0.09</v>
      </c>
      <c r="I207" s="8">
        <v>4.1000000000000002E-2</v>
      </c>
      <c r="J207" s="8">
        <v>0.12</v>
      </c>
      <c r="K207" s="8">
        <f t="shared" si="33"/>
        <v>0.253</v>
      </c>
      <c r="L207" s="8">
        <f t="shared" si="34"/>
        <v>40.832737000000002</v>
      </c>
      <c r="M207" s="1">
        <f t="shared" si="35"/>
        <v>1467.396233510631</v>
      </c>
      <c r="N207" s="1">
        <f t="shared" si="36"/>
        <v>4.4682901283392306E+25</v>
      </c>
      <c r="O207" s="2">
        <f t="shared" si="37"/>
        <v>1448.0742114149305</v>
      </c>
      <c r="P207" s="2">
        <f t="shared" si="38"/>
        <v>40.803954096536742</v>
      </c>
      <c r="Q207" s="2">
        <f t="shared" si="39"/>
        <v>2.8782903463259402E-2</v>
      </c>
      <c r="R207" s="2">
        <f t="shared" si="40"/>
        <v>1.2942797603076288E-2</v>
      </c>
      <c r="S207" s="12">
        <v>1266.4335051140895</v>
      </c>
      <c r="T207" s="2">
        <f t="shared" si="41"/>
        <v>40.512911959104407</v>
      </c>
      <c r="U207" s="2">
        <f t="shared" si="42"/>
        <v>0.31982504089559427</v>
      </c>
      <c r="V207" s="2">
        <f t="shared" si="43"/>
        <v>1.5980261648185186</v>
      </c>
    </row>
    <row r="208" spans="1:22" x14ac:dyDescent="0.25">
      <c r="A208" t="s">
        <v>230</v>
      </c>
      <c r="B208" s="2">
        <v>0.26200000000000001</v>
      </c>
      <c r="C208" s="8">
        <v>0</v>
      </c>
      <c r="D208" s="8">
        <v>21.286000000000001</v>
      </c>
      <c r="E208" s="8">
        <v>5.2999999999999999E-2</v>
      </c>
      <c r="F208" s="8">
        <v>1.1479999999999999</v>
      </c>
      <c r="G208" s="8">
        <v>4.5999999999999999E-2</v>
      </c>
      <c r="H208" s="8">
        <v>-8.5000000000000006E-2</v>
      </c>
      <c r="I208" s="8">
        <v>4.1000000000000002E-2</v>
      </c>
      <c r="J208" s="8">
        <v>0.12</v>
      </c>
      <c r="K208" s="8">
        <f t="shared" si="33"/>
        <v>0.26</v>
      </c>
      <c r="L208" s="8">
        <f t="shared" si="34"/>
        <v>40.913806000000001</v>
      </c>
      <c r="M208" s="1">
        <f t="shared" si="35"/>
        <v>1523.214972585411</v>
      </c>
      <c r="N208" s="1">
        <f t="shared" si="36"/>
        <v>4.4682901283392306E+25</v>
      </c>
      <c r="O208" s="2">
        <f t="shared" si="37"/>
        <v>1448.0742114149305</v>
      </c>
      <c r="P208" s="2">
        <f t="shared" si="38"/>
        <v>40.803954096536742</v>
      </c>
      <c r="Q208" s="2">
        <f t="shared" si="39"/>
        <v>0.10985190346325879</v>
      </c>
      <c r="R208" s="2">
        <f t="shared" si="40"/>
        <v>0.17851243630918828</v>
      </c>
      <c r="S208" s="12">
        <v>1266.4335051140895</v>
      </c>
      <c r="T208" s="2">
        <f t="shared" si="41"/>
        <v>40.512911959104407</v>
      </c>
      <c r="U208" s="2">
        <f t="shared" si="42"/>
        <v>0.40089404089559366</v>
      </c>
      <c r="V208" s="2">
        <f t="shared" si="43"/>
        <v>2.3774560950532235</v>
      </c>
    </row>
    <row r="209" spans="1:22" x14ac:dyDescent="0.25">
      <c r="A209" t="s">
        <v>231</v>
      </c>
      <c r="B209" s="2">
        <v>0.26300000000000001</v>
      </c>
      <c r="C209" s="8">
        <v>1E-3</v>
      </c>
      <c r="D209" s="8">
        <v>21.696999999999999</v>
      </c>
      <c r="E209" s="8">
        <v>2.5999999999999999E-2</v>
      </c>
      <c r="F209" s="8">
        <v>0.89100000000000001</v>
      </c>
      <c r="G209" s="8">
        <v>1.7999999999999999E-2</v>
      </c>
      <c r="H209" s="8">
        <v>8.8999999999999996E-2</v>
      </c>
      <c r="I209" s="8">
        <v>0.02</v>
      </c>
      <c r="J209" s="8">
        <v>0.12</v>
      </c>
      <c r="K209" s="8">
        <f t="shared" si="33"/>
        <v>0.184</v>
      </c>
      <c r="L209" s="8">
        <f t="shared" si="34"/>
        <v>40.742407</v>
      </c>
      <c r="M209" s="1">
        <f t="shared" si="35"/>
        <v>1407.6069419647372</v>
      </c>
      <c r="N209" s="1">
        <f t="shared" si="36"/>
        <v>4.4869152213399145E+25</v>
      </c>
      <c r="O209" s="2">
        <f t="shared" si="37"/>
        <v>1454.1101929839069</v>
      </c>
      <c r="P209" s="2">
        <f t="shared" si="38"/>
        <v>40.812986593796424</v>
      </c>
      <c r="Q209" s="2">
        <f t="shared" si="39"/>
        <v>-7.0579593796423978E-2</v>
      </c>
      <c r="R209" s="2">
        <f t="shared" si="40"/>
        <v>0.14713725958377274</v>
      </c>
      <c r="S209" s="12">
        <v>1271.9520723972896</v>
      </c>
      <c r="T209" s="2">
        <f t="shared" si="41"/>
        <v>40.522353736257202</v>
      </c>
      <c r="U209" s="2">
        <f t="shared" si="42"/>
        <v>0.22005326374279832</v>
      </c>
      <c r="V209" s="2">
        <f t="shared" si="43"/>
        <v>1.4302764320610102</v>
      </c>
    </row>
    <row r="210" spans="1:22" x14ac:dyDescent="0.25">
      <c r="A210" t="s">
        <v>232</v>
      </c>
      <c r="B210" s="2">
        <v>0.26300000000000001</v>
      </c>
      <c r="C210" s="8">
        <v>0</v>
      </c>
      <c r="D210" s="8">
        <v>21.184000000000001</v>
      </c>
      <c r="E210" s="8">
        <v>3.2000000000000001E-2</v>
      </c>
      <c r="F210" s="8">
        <v>1.1679999999999999</v>
      </c>
      <c r="G210" s="8">
        <v>1.7999999999999999E-2</v>
      </c>
      <c r="H210" s="8">
        <v>-6.0000000000000001E-3</v>
      </c>
      <c r="I210" s="8">
        <v>2.1999999999999999E-2</v>
      </c>
      <c r="J210" s="8">
        <v>0.12</v>
      </c>
      <c r="K210" s="8">
        <f t="shared" si="33"/>
        <v>0.192</v>
      </c>
      <c r="L210" s="8">
        <f t="shared" si="34"/>
        <v>40.567475999999999</v>
      </c>
      <c r="M210" s="1">
        <f t="shared" si="35"/>
        <v>1298.6592104378183</v>
      </c>
      <c r="N210" s="1">
        <f t="shared" si="36"/>
        <v>4.4869152213399145E+25</v>
      </c>
      <c r="O210" s="2">
        <f t="shared" si="37"/>
        <v>1454.1101929839069</v>
      </c>
      <c r="P210" s="2">
        <f t="shared" si="38"/>
        <v>40.812986593796424</v>
      </c>
      <c r="Q210" s="2">
        <f t="shared" si="39"/>
        <v>-0.24551059379642481</v>
      </c>
      <c r="R210" s="2">
        <f t="shared" si="40"/>
        <v>1.635076271329023</v>
      </c>
      <c r="S210" s="12">
        <v>1271.9520723972896</v>
      </c>
      <c r="T210" s="2">
        <f t="shared" si="41"/>
        <v>40.522353736257202</v>
      </c>
      <c r="U210" s="2">
        <f t="shared" si="42"/>
        <v>4.5122263742797486E-2</v>
      </c>
      <c r="V210" s="2">
        <f t="shared" si="43"/>
        <v>5.5230541592734828E-2</v>
      </c>
    </row>
    <row r="211" spans="1:22" x14ac:dyDescent="0.25">
      <c r="A211" t="s">
        <v>233</v>
      </c>
      <c r="B211" s="2">
        <v>0.26500000000000001</v>
      </c>
      <c r="C211" s="8">
        <v>0</v>
      </c>
      <c r="D211" s="8">
        <v>21.143999999999998</v>
      </c>
      <c r="E211" s="8">
        <v>3.5999999999999997E-2</v>
      </c>
      <c r="F211" s="8">
        <v>1.1120000000000001</v>
      </c>
      <c r="G211" s="8">
        <v>2.8000000000000001E-2</v>
      </c>
      <c r="H211" s="8">
        <v>-0.156</v>
      </c>
      <c r="I211" s="8">
        <v>3.1E-2</v>
      </c>
      <c r="J211" s="8">
        <v>0.12</v>
      </c>
      <c r="K211" s="8">
        <f t="shared" si="33"/>
        <v>0.215</v>
      </c>
      <c r="L211" s="8">
        <f t="shared" si="34"/>
        <v>40.988743999999997</v>
      </c>
      <c r="M211" s="1">
        <f t="shared" si="35"/>
        <v>1576.6990284001722</v>
      </c>
      <c r="N211" s="1">
        <f t="shared" si="36"/>
        <v>4.5241970453545522E+25</v>
      </c>
      <c r="O211" s="2">
        <f t="shared" si="37"/>
        <v>1466.1924093036812</v>
      </c>
      <c r="P211" s="2">
        <f t="shared" si="38"/>
        <v>40.830954833843592</v>
      </c>
      <c r="Q211" s="2">
        <f t="shared" si="39"/>
        <v>0.15778916615640526</v>
      </c>
      <c r="R211" s="2">
        <f t="shared" si="40"/>
        <v>0.53861375784388676</v>
      </c>
      <c r="S211" s="12">
        <v>1283.003227685376</v>
      </c>
      <c r="T211" s="2">
        <f t="shared" si="41"/>
        <v>40.541138744712462</v>
      </c>
      <c r="U211" s="2">
        <f t="shared" si="42"/>
        <v>0.44760525528753448</v>
      </c>
      <c r="V211" s="2">
        <f t="shared" si="43"/>
        <v>4.3342447714660661</v>
      </c>
    </row>
    <row r="212" spans="1:22" x14ac:dyDescent="0.25">
      <c r="A212" t="s">
        <v>234</v>
      </c>
      <c r="B212" s="2">
        <v>0.26500000000000001</v>
      </c>
      <c r="C212" s="8">
        <v>0</v>
      </c>
      <c r="D212" s="8">
        <v>21.372</v>
      </c>
      <c r="E212" s="8">
        <v>4.1000000000000002E-2</v>
      </c>
      <c r="F212" s="8">
        <v>1.0549999999999999</v>
      </c>
      <c r="G212" s="8">
        <v>4.1000000000000002E-2</v>
      </c>
      <c r="H212" s="8">
        <v>7.0000000000000001E-3</v>
      </c>
      <c r="I212" s="8">
        <v>3.7999999999999999E-2</v>
      </c>
      <c r="J212" s="8">
        <v>0.12</v>
      </c>
      <c r="K212" s="8">
        <f t="shared" si="33"/>
        <v>0.24</v>
      </c>
      <c r="L212" s="8">
        <f t="shared" si="34"/>
        <v>40.698175000000006</v>
      </c>
      <c r="M212" s="1">
        <f t="shared" si="35"/>
        <v>1379.2246169163113</v>
      </c>
      <c r="N212" s="1">
        <f t="shared" si="36"/>
        <v>4.5241970453545522E+25</v>
      </c>
      <c r="O212" s="2">
        <f t="shared" si="37"/>
        <v>1466.1924093036812</v>
      </c>
      <c r="P212" s="2">
        <f t="shared" si="38"/>
        <v>40.830954833843592</v>
      </c>
      <c r="Q212" s="2">
        <f t="shared" si="39"/>
        <v>-0.13277983384358549</v>
      </c>
      <c r="R212" s="2">
        <f t="shared" si="40"/>
        <v>0.30608479645017656</v>
      </c>
      <c r="S212" s="12">
        <v>1283.003227685376</v>
      </c>
      <c r="T212" s="2">
        <f t="shared" si="41"/>
        <v>40.541138744712462</v>
      </c>
      <c r="U212" s="2">
        <f t="shared" si="42"/>
        <v>0.15703625528754372</v>
      </c>
      <c r="V212" s="2">
        <f t="shared" si="43"/>
        <v>0.42813169226969805</v>
      </c>
    </row>
    <row r="213" spans="1:22" x14ac:dyDescent="0.25">
      <c r="A213" t="s">
        <v>235</v>
      </c>
      <c r="B213" s="2">
        <v>0.26700000000000002</v>
      </c>
      <c r="C213" s="8">
        <v>0</v>
      </c>
      <c r="D213" s="8">
        <v>20.919</v>
      </c>
      <c r="E213" s="8">
        <v>4.3999999999999997E-2</v>
      </c>
      <c r="F213" s="8">
        <v>0.97099999999999997</v>
      </c>
      <c r="G213" s="8">
        <v>3.9E-2</v>
      </c>
      <c r="H213" s="8">
        <v>-0.16600000000000001</v>
      </c>
      <c r="I213" s="8">
        <v>0.03</v>
      </c>
      <c r="J213" s="8">
        <v>0.12</v>
      </c>
      <c r="K213" s="8">
        <f t="shared" si="33"/>
        <v>0.23299999999999998</v>
      </c>
      <c r="L213" s="8">
        <f t="shared" si="34"/>
        <v>40.774316999999996</v>
      </c>
      <c r="M213" s="1">
        <f t="shared" si="35"/>
        <v>1428.4445947044953</v>
      </c>
      <c r="N213" s="1">
        <f t="shared" si="36"/>
        <v>4.561520960347581E+25</v>
      </c>
      <c r="O213" s="2">
        <f t="shared" si="37"/>
        <v>1478.2882663805663</v>
      </c>
      <c r="P213" s="2">
        <f t="shared" si="38"/>
        <v>40.84879564895212</v>
      </c>
      <c r="Q213" s="2">
        <f t="shared" si="39"/>
        <v>-7.4478648952123194E-2</v>
      </c>
      <c r="R213" s="2">
        <f t="shared" si="40"/>
        <v>0.10217666838095382</v>
      </c>
      <c r="S213" s="12">
        <v>1294.0730391415591</v>
      </c>
      <c r="T213" s="2">
        <f t="shared" si="41"/>
        <v>40.559793945809282</v>
      </c>
      <c r="U213" s="2">
        <f t="shared" si="42"/>
        <v>0.21452305419071394</v>
      </c>
      <c r="V213" s="2">
        <f t="shared" si="43"/>
        <v>0.84768812796905446</v>
      </c>
    </row>
    <row r="214" spans="1:22" x14ac:dyDescent="0.25">
      <c r="A214" t="s">
        <v>236</v>
      </c>
      <c r="B214" s="2">
        <v>0.26800000000000002</v>
      </c>
      <c r="C214" s="8">
        <v>1E-3</v>
      </c>
      <c r="D214" s="8">
        <v>21.748000000000001</v>
      </c>
      <c r="E214" s="8">
        <v>2.5999999999999999E-2</v>
      </c>
      <c r="F214" s="8">
        <v>0.999</v>
      </c>
      <c r="G214" s="8">
        <v>1.4999999999999999E-2</v>
      </c>
      <c r="H214" s="8">
        <v>0.104</v>
      </c>
      <c r="I214" s="8">
        <v>1.9E-2</v>
      </c>
      <c r="J214" s="8">
        <v>0.12</v>
      </c>
      <c r="K214" s="8">
        <f t="shared" si="33"/>
        <v>0.18</v>
      </c>
      <c r="L214" s="8">
        <f t="shared" si="34"/>
        <v>40.762332999999998</v>
      </c>
      <c r="M214" s="1">
        <f t="shared" si="35"/>
        <v>1420.5829568201275</v>
      </c>
      <c r="N214" s="1">
        <f t="shared" si="36"/>
        <v>4.5801986671635563E+25</v>
      </c>
      <c r="O214" s="2">
        <f t="shared" si="37"/>
        <v>1484.3412989258445</v>
      </c>
      <c r="P214" s="2">
        <f t="shared" si="38"/>
        <v>40.857668855112792</v>
      </c>
      <c r="Q214" s="2">
        <f t="shared" si="39"/>
        <v>-9.5335855112793411E-2</v>
      </c>
      <c r="R214" s="2">
        <f t="shared" si="40"/>
        <v>0.28052238487924497</v>
      </c>
      <c r="S214" s="12">
        <v>1299.6149266557127</v>
      </c>
      <c r="T214" s="2">
        <f t="shared" si="41"/>
        <v>40.569073453834804</v>
      </c>
      <c r="U214" s="2">
        <f t="shared" si="42"/>
        <v>0.19325954616519425</v>
      </c>
      <c r="V214" s="2">
        <f t="shared" si="43"/>
        <v>1.1527546970363225</v>
      </c>
    </row>
    <row r="215" spans="1:22" x14ac:dyDescent="0.25">
      <c r="A215" t="s">
        <v>237</v>
      </c>
      <c r="B215" s="2">
        <v>0.27</v>
      </c>
      <c r="C215" s="8">
        <v>0.01</v>
      </c>
      <c r="D215" s="8">
        <v>21.052</v>
      </c>
      <c r="E215" s="8">
        <v>0.03</v>
      </c>
      <c r="F215" s="8">
        <v>1.1240000000000001</v>
      </c>
      <c r="G215" s="8">
        <v>1.4E-2</v>
      </c>
      <c r="H215" s="8">
        <v>-6.3E-2</v>
      </c>
      <c r="I215" s="8">
        <v>0.02</v>
      </c>
      <c r="J215" s="8">
        <v>0.12</v>
      </c>
      <c r="K215" s="8">
        <f t="shared" si="33"/>
        <v>0.184</v>
      </c>
      <c r="L215" s="8">
        <f t="shared" si="34"/>
        <v>40.607417999999996</v>
      </c>
      <c r="M215" s="1">
        <f t="shared" si="35"/>
        <v>1322.7677561875917</v>
      </c>
      <c r="N215" s="1">
        <f t="shared" si="36"/>
        <v>4.617585510054167E+25</v>
      </c>
      <c r="O215" s="2">
        <f t="shared" si="37"/>
        <v>1496.4575495454608</v>
      </c>
      <c r="P215" s="2">
        <f t="shared" si="38"/>
        <v>40.875322007953727</v>
      </c>
      <c r="Q215" s="2">
        <f t="shared" si="39"/>
        <v>-0.26790400795373159</v>
      </c>
      <c r="R215" s="2">
        <f t="shared" si="40"/>
        <v>2.1199361258764498</v>
      </c>
      <c r="S215" s="12">
        <v>1310.7126367509097</v>
      </c>
      <c r="T215" s="2">
        <f t="shared" si="41"/>
        <v>40.587537432694845</v>
      </c>
      <c r="U215" s="2">
        <f t="shared" si="42"/>
        <v>1.9880567305150976E-2</v>
      </c>
      <c r="V215" s="2">
        <f t="shared" si="43"/>
        <v>1.1674059439231981E-2</v>
      </c>
    </row>
    <row r="216" spans="1:22" x14ac:dyDescent="0.25">
      <c r="A216" t="s">
        <v>238</v>
      </c>
      <c r="B216" s="2">
        <v>0.27200000000000002</v>
      </c>
      <c r="C216" s="8">
        <v>0</v>
      </c>
      <c r="D216" s="8">
        <v>21.698</v>
      </c>
      <c r="E216" s="8">
        <v>4.5999999999999999E-2</v>
      </c>
      <c r="F216" s="8">
        <v>0.82599999999999996</v>
      </c>
      <c r="G216" s="8">
        <v>6.4000000000000001E-2</v>
      </c>
      <c r="H216" s="8">
        <v>-1.7999999999999999E-2</v>
      </c>
      <c r="I216" s="8">
        <v>3.7999999999999999E-2</v>
      </c>
      <c r="J216" s="8">
        <v>0.12</v>
      </c>
      <c r="K216" s="8">
        <f t="shared" si="33"/>
        <v>0.26800000000000002</v>
      </c>
      <c r="L216" s="8">
        <f t="shared" si="34"/>
        <v>41.068762</v>
      </c>
      <c r="M216" s="1">
        <f t="shared" si="35"/>
        <v>1635.8836054419635</v>
      </c>
      <c r="N216" s="1">
        <f t="shared" si="36"/>
        <v>4.6550141664009888E+25</v>
      </c>
      <c r="O216" s="2">
        <f t="shared" si="37"/>
        <v>1508.5873509833743</v>
      </c>
      <c r="P216" s="2">
        <f t="shared" si="38"/>
        <v>40.892852309882684</v>
      </c>
      <c r="Q216" s="2">
        <f t="shared" si="39"/>
        <v>0.17590969011731517</v>
      </c>
      <c r="R216" s="2">
        <f t="shared" si="40"/>
        <v>0.43083397022123304</v>
      </c>
      <c r="S216" s="12">
        <v>1321.8288889934265</v>
      </c>
      <c r="T216" s="2">
        <f t="shared" si="41"/>
        <v>40.605876196415167</v>
      </c>
      <c r="U216" s="2">
        <f t="shared" si="42"/>
        <v>0.46288580358483244</v>
      </c>
      <c r="V216" s="2">
        <f t="shared" si="43"/>
        <v>2.983170906109045</v>
      </c>
    </row>
    <row r="217" spans="1:22" x14ac:dyDescent="0.25">
      <c r="A217" t="s">
        <v>239</v>
      </c>
      <c r="B217" s="2">
        <v>0.28000000000000003</v>
      </c>
      <c r="C217" s="8">
        <v>0</v>
      </c>
      <c r="D217" s="8">
        <v>21.452999999999999</v>
      </c>
      <c r="E217" s="8">
        <v>4.2999999999999997E-2</v>
      </c>
      <c r="F217" s="8">
        <v>0.98299999999999998</v>
      </c>
      <c r="G217" s="8">
        <v>4.9000000000000002E-2</v>
      </c>
      <c r="H217" s="8">
        <v>-8.8999999999999996E-2</v>
      </c>
      <c r="I217" s="8">
        <v>3.3000000000000002E-2</v>
      </c>
      <c r="J217" s="8">
        <v>0.12</v>
      </c>
      <c r="K217" s="8">
        <f t="shared" si="33"/>
        <v>0.245</v>
      </c>
      <c r="L217" s="8">
        <f t="shared" si="34"/>
        <v>41.069070999999994</v>
      </c>
      <c r="M217" s="1">
        <f t="shared" si="35"/>
        <v>1636.1164078478232</v>
      </c>
      <c r="N217" s="1">
        <f t="shared" si="36"/>
        <v>4.8051447256421596E+25</v>
      </c>
      <c r="O217" s="2">
        <f t="shared" si="37"/>
        <v>1557.2413517170385</v>
      </c>
      <c r="P217" s="2">
        <f t="shared" si="38"/>
        <v>40.961779638292789</v>
      </c>
      <c r="Q217" s="2">
        <f t="shared" si="39"/>
        <v>0.10729136170720466</v>
      </c>
      <c r="R217" s="2">
        <f t="shared" si="40"/>
        <v>0.19177736438127818</v>
      </c>
      <c r="S217" s="12">
        <v>1366.4784117457959</v>
      </c>
      <c r="T217" s="2">
        <f t="shared" si="41"/>
        <v>40.678013874494894</v>
      </c>
      <c r="U217" s="2">
        <f t="shared" si="42"/>
        <v>0.39105712550509963</v>
      </c>
      <c r="V217" s="2">
        <f t="shared" si="43"/>
        <v>2.5476997152571639</v>
      </c>
    </row>
    <row r="218" spans="1:22" x14ac:dyDescent="0.25">
      <c r="A218" t="s">
        <v>240</v>
      </c>
      <c r="B218" s="2">
        <v>0.28199999999999997</v>
      </c>
      <c r="C218" s="8">
        <v>0</v>
      </c>
      <c r="D218" s="8">
        <v>22.167999999999999</v>
      </c>
      <c r="E218" s="8">
        <v>2.7E-2</v>
      </c>
      <c r="F218" s="8">
        <v>0.98599999999999999</v>
      </c>
      <c r="G218" s="8">
        <v>2.5999999999999999E-2</v>
      </c>
      <c r="H218" s="8">
        <v>0.11700000000000001</v>
      </c>
      <c r="I218" s="8">
        <v>1.9E-2</v>
      </c>
      <c r="J218" s="8">
        <v>0.12</v>
      </c>
      <c r="K218" s="8">
        <f t="shared" si="33"/>
        <v>0.192</v>
      </c>
      <c r="L218" s="8">
        <f t="shared" si="34"/>
        <v>41.139731999999995</v>
      </c>
      <c r="M218" s="1">
        <f t="shared" si="35"/>
        <v>1690.2323127300374</v>
      </c>
      <c r="N218" s="1">
        <f t="shared" si="36"/>
        <v>4.842780802114187E+25</v>
      </c>
      <c r="O218" s="2">
        <f t="shared" si="37"/>
        <v>1569.4383734395826</v>
      </c>
      <c r="P218" s="2">
        <f t="shared" si="38"/>
        <v>40.97872133544444</v>
      </c>
      <c r="Q218" s="2">
        <f t="shared" si="39"/>
        <v>0.16101066455555468</v>
      </c>
      <c r="R218" s="2">
        <f t="shared" si="40"/>
        <v>0.70324528267744557</v>
      </c>
      <c r="S218" s="12">
        <v>1377.6866947443082</v>
      </c>
      <c r="T218" s="2">
        <f t="shared" si="41"/>
        <v>40.695752320752561</v>
      </c>
      <c r="U218" s="2">
        <f t="shared" si="42"/>
        <v>0.44397967924743398</v>
      </c>
      <c r="V218" s="2">
        <f t="shared" si="43"/>
        <v>5.3471667639066398</v>
      </c>
    </row>
    <row r="219" spans="1:22" x14ac:dyDescent="0.25">
      <c r="A219" t="s">
        <v>241</v>
      </c>
      <c r="B219" s="2">
        <v>0.28499999999999998</v>
      </c>
      <c r="C219" s="8">
        <v>0</v>
      </c>
      <c r="D219" s="8">
        <v>21.277000000000001</v>
      </c>
      <c r="E219" s="8">
        <v>3.2000000000000001E-2</v>
      </c>
      <c r="F219" s="8">
        <v>1.111</v>
      </c>
      <c r="G219" s="8">
        <v>1.7000000000000001E-2</v>
      </c>
      <c r="H219" s="8">
        <v>-4.2999999999999997E-2</v>
      </c>
      <c r="I219" s="8">
        <v>2.1000000000000001E-2</v>
      </c>
      <c r="J219" s="8">
        <v>0.12</v>
      </c>
      <c r="K219" s="8">
        <f t="shared" si="33"/>
        <v>0.19</v>
      </c>
      <c r="L219" s="8">
        <f t="shared" si="34"/>
        <v>40.767907000000001</v>
      </c>
      <c r="M219" s="1">
        <f t="shared" si="35"/>
        <v>1424.2341664483699</v>
      </c>
      <c r="N219" s="1">
        <f t="shared" si="36"/>
        <v>4.8993120529585947E+25</v>
      </c>
      <c r="O219" s="2">
        <f t="shared" si="37"/>
        <v>1587.7589041427314</v>
      </c>
      <c r="P219" s="2">
        <f t="shared" si="38"/>
        <v>41.003922784694396</v>
      </c>
      <c r="Q219" s="2">
        <f t="shared" si="39"/>
        <v>-0.23601578469439488</v>
      </c>
      <c r="R219" s="2">
        <f t="shared" si="40"/>
        <v>1.5430318732662316</v>
      </c>
      <c r="S219" s="12">
        <v>1394.5333629286181</v>
      </c>
      <c r="T219" s="2">
        <f t="shared" si="41"/>
        <v>40.722144544112801</v>
      </c>
      <c r="U219" s="2">
        <f t="shared" si="42"/>
        <v>4.5762455887199849E-2</v>
      </c>
      <c r="V219" s="2">
        <f t="shared" si="43"/>
        <v>5.801114595091169E-2</v>
      </c>
    </row>
    <row r="220" spans="1:22" x14ac:dyDescent="0.25">
      <c r="A220" t="s">
        <v>242</v>
      </c>
      <c r="B220" s="2">
        <v>0.28799999999999998</v>
      </c>
      <c r="C220" s="8">
        <v>0</v>
      </c>
      <c r="D220" s="8">
        <v>21.603999999999999</v>
      </c>
      <c r="E220" s="8">
        <v>4.2999999999999997E-2</v>
      </c>
      <c r="F220" s="8">
        <v>1.0629999999999999</v>
      </c>
      <c r="G220" s="8">
        <v>4.8000000000000001E-2</v>
      </c>
      <c r="H220" s="8">
        <v>-9.6000000000000002E-2</v>
      </c>
      <c r="I220" s="8">
        <v>3.4000000000000002E-2</v>
      </c>
      <c r="J220" s="8">
        <v>0.12</v>
      </c>
      <c r="K220" s="8">
        <f t="shared" si="33"/>
        <v>0.245</v>
      </c>
      <c r="L220" s="8">
        <f t="shared" si="34"/>
        <v>41.253740999999998</v>
      </c>
      <c r="M220" s="1">
        <f t="shared" si="35"/>
        <v>1781.3456599334083</v>
      </c>
      <c r="N220" s="1">
        <f t="shared" si="36"/>
        <v>4.9559355435185182E+25</v>
      </c>
      <c r="O220" s="2">
        <f t="shared" si="37"/>
        <v>1606.1093277018651</v>
      </c>
      <c r="P220" s="2">
        <f t="shared" si="38"/>
        <v>41.028875521654811</v>
      </c>
      <c r="Q220" s="2">
        <f t="shared" si="39"/>
        <v>0.22486547834518689</v>
      </c>
      <c r="R220" s="2">
        <f t="shared" si="40"/>
        <v>0.84239039319299824</v>
      </c>
      <c r="S220" s="12">
        <v>1411.4209889088722</v>
      </c>
      <c r="T220" s="2">
        <f t="shared" si="41"/>
        <v>40.748282857185089</v>
      </c>
      <c r="U220" s="2">
        <f t="shared" si="42"/>
        <v>0.50545814281490919</v>
      </c>
      <c r="V220" s="2">
        <f t="shared" si="43"/>
        <v>4.2563587528179454</v>
      </c>
    </row>
    <row r="221" spans="1:22" x14ac:dyDescent="0.25">
      <c r="A221" t="s">
        <v>243</v>
      </c>
      <c r="B221" s="2">
        <v>0.28999999999999998</v>
      </c>
      <c r="C221" s="8">
        <v>0</v>
      </c>
      <c r="D221" s="8">
        <v>21.576000000000001</v>
      </c>
      <c r="E221" s="8">
        <v>5.6000000000000001E-2</v>
      </c>
      <c r="F221" s="8">
        <v>0.90100000000000002</v>
      </c>
      <c r="G221" s="8">
        <v>5.0999999999999997E-2</v>
      </c>
      <c r="H221" s="8">
        <v>-7.6999999999999999E-2</v>
      </c>
      <c r="I221" s="8">
        <v>4.2999999999999997E-2</v>
      </c>
      <c r="J221" s="8">
        <v>0.12</v>
      </c>
      <c r="K221" s="8">
        <f t="shared" si="33"/>
        <v>0.27</v>
      </c>
      <c r="L221" s="8">
        <f t="shared" si="34"/>
        <v>41.142457</v>
      </c>
      <c r="M221" s="1">
        <f t="shared" si="35"/>
        <v>1692.3547317039236</v>
      </c>
      <c r="N221" s="1">
        <f t="shared" si="36"/>
        <v>4.9937356024921881E+25</v>
      </c>
      <c r="O221" s="2">
        <f t="shared" si="37"/>
        <v>1618.3594925339505</v>
      </c>
      <c r="P221" s="2">
        <f t="shared" si="38"/>
        <v>41.045374997636202</v>
      </c>
      <c r="Q221" s="2">
        <f t="shared" si="39"/>
        <v>9.7082002363798381E-2</v>
      </c>
      <c r="R221" s="2">
        <f t="shared" si="40"/>
        <v>0.12928553063051512</v>
      </c>
      <c r="S221" s="12">
        <v>1422.7020859567799</v>
      </c>
      <c r="T221" s="2">
        <f t="shared" si="41"/>
        <v>40.765569841354463</v>
      </c>
      <c r="U221" s="2">
        <f t="shared" si="42"/>
        <v>0.37688715864553757</v>
      </c>
      <c r="V221" s="2">
        <f t="shared" si="43"/>
        <v>1.9484764108629162</v>
      </c>
    </row>
    <row r="222" spans="1:22" x14ac:dyDescent="0.25">
      <c r="A222" t="s">
        <v>244</v>
      </c>
      <c r="B222" s="2">
        <v>0.29099999999999998</v>
      </c>
      <c r="C222" s="8">
        <v>0</v>
      </c>
      <c r="D222" s="8">
        <v>21.984000000000002</v>
      </c>
      <c r="E222" s="8">
        <v>4.7E-2</v>
      </c>
      <c r="F222" s="8">
        <v>1.0840000000000001</v>
      </c>
      <c r="G222" s="8">
        <v>3.6999999999999998E-2</v>
      </c>
      <c r="H222" s="8">
        <v>0.14599999999999999</v>
      </c>
      <c r="I222" s="8">
        <v>3.4000000000000002E-2</v>
      </c>
      <c r="J222" s="8">
        <v>0.12</v>
      </c>
      <c r="K222" s="8">
        <f t="shared" si="33"/>
        <v>0.23799999999999999</v>
      </c>
      <c r="L222" s="8">
        <f t="shared" si="34"/>
        <v>40.879367999999999</v>
      </c>
      <c r="M222" s="1">
        <f t="shared" si="35"/>
        <v>1499.2484206079985</v>
      </c>
      <c r="N222" s="1">
        <f t="shared" si="36"/>
        <v>5.0126509114380233E+25</v>
      </c>
      <c r="O222" s="2">
        <f t="shared" si="37"/>
        <v>1624.4895266854237</v>
      </c>
      <c r="P222" s="2">
        <f t="shared" si="38"/>
        <v>41.053584578659269</v>
      </c>
      <c r="Q222" s="2">
        <f t="shared" si="39"/>
        <v>-0.17421657865926932</v>
      </c>
      <c r="R222" s="2">
        <f t="shared" si="40"/>
        <v>0.53582755948982019</v>
      </c>
      <c r="S222" s="12">
        <v>1428.3494216518604</v>
      </c>
      <c r="T222" s="2">
        <f t="shared" si="41"/>
        <v>40.774172316374354</v>
      </c>
      <c r="U222" s="2">
        <f t="shared" si="42"/>
        <v>0.10519568362564513</v>
      </c>
      <c r="V222" s="2">
        <f t="shared" si="43"/>
        <v>0.19536282489702042</v>
      </c>
    </row>
    <row r="223" spans="1:22" x14ac:dyDescent="0.25">
      <c r="A223" t="s">
        <v>245</v>
      </c>
      <c r="B223" s="2">
        <v>0.29399999999999998</v>
      </c>
      <c r="C223" s="8">
        <v>0</v>
      </c>
      <c r="D223" s="8">
        <v>21.821000000000002</v>
      </c>
      <c r="E223" s="8">
        <v>4.4999999999999998E-2</v>
      </c>
      <c r="F223" s="8">
        <v>1.0860000000000001</v>
      </c>
      <c r="G223" s="8">
        <v>5.6000000000000001E-2</v>
      </c>
      <c r="H223" s="8">
        <v>6.4000000000000001E-2</v>
      </c>
      <c r="I223" s="8">
        <v>3.5000000000000003E-2</v>
      </c>
      <c r="J223" s="8">
        <v>0.12</v>
      </c>
      <c r="K223" s="8">
        <f t="shared" si="33"/>
        <v>0.25600000000000001</v>
      </c>
      <c r="L223" s="8">
        <f t="shared" si="34"/>
        <v>40.973321999999996</v>
      </c>
      <c r="M223" s="1">
        <f t="shared" si="35"/>
        <v>1565.5408347094144</v>
      </c>
      <c r="N223" s="1">
        <f t="shared" si="36"/>
        <v>5.0694577962566762E+25</v>
      </c>
      <c r="O223" s="2">
        <f t="shared" si="37"/>
        <v>1642.8993842761358</v>
      </c>
      <c r="P223" s="2">
        <f t="shared" si="38"/>
        <v>41.078054834242572</v>
      </c>
      <c r="Q223" s="2">
        <f t="shared" si="39"/>
        <v>-0.10473283424257573</v>
      </c>
      <c r="R223" s="2">
        <f t="shared" si="40"/>
        <v>0.16737314710209419</v>
      </c>
      <c r="S223" s="12">
        <v>1445.318510587472</v>
      </c>
      <c r="T223" s="2">
        <f t="shared" si="41"/>
        <v>40.799817824208745</v>
      </c>
      <c r="U223" s="2">
        <f t="shared" si="42"/>
        <v>0.17350417579125121</v>
      </c>
      <c r="V223" s="2">
        <f t="shared" si="43"/>
        <v>0.45934599330141307</v>
      </c>
    </row>
    <row r="224" spans="1:22" x14ac:dyDescent="0.25">
      <c r="A224" t="s">
        <v>11</v>
      </c>
      <c r="B224" s="2">
        <v>0.3</v>
      </c>
      <c r="C224" s="8">
        <v>0</v>
      </c>
      <c r="D224" s="8">
        <v>22.02</v>
      </c>
      <c r="E224" s="8">
        <v>9.6000000000000002E-2</v>
      </c>
      <c r="F224" s="8">
        <v>1.1619999999999999</v>
      </c>
      <c r="G224" s="8">
        <v>9.8000000000000004E-2</v>
      </c>
      <c r="H224" s="8">
        <v>0.105</v>
      </c>
      <c r="I224" s="8">
        <v>5.8000000000000003E-2</v>
      </c>
      <c r="J224" s="8">
        <v>0.12</v>
      </c>
      <c r="K224" s="8">
        <f t="shared" si="33"/>
        <v>0.372</v>
      </c>
      <c r="L224" s="8">
        <f t="shared" si="34"/>
        <v>41.055164000000005</v>
      </c>
      <c r="M224" s="1">
        <f t="shared" si="35"/>
        <v>1625.6715296167845</v>
      </c>
      <c r="N224" s="1">
        <f t="shared" si="36"/>
        <v>5.1833446841530096E+25</v>
      </c>
      <c r="O224" s="2">
        <f t="shared" si="37"/>
        <v>1679.8076110573452</v>
      </c>
      <c r="P224" s="2">
        <f t="shared" si="38"/>
        <v>41.12629772338915</v>
      </c>
      <c r="Q224" s="2">
        <f t="shared" si="39"/>
        <v>-7.1133723389145587E-2</v>
      </c>
      <c r="R224" s="2">
        <f t="shared" si="40"/>
        <v>3.6564968516616649E-2</v>
      </c>
      <c r="S224" s="12">
        <v>1479.3780570806223</v>
      </c>
      <c r="T224" s="2">
        <f t="shared" si="41"/>
        <v>40.850395863638703</v>
      </c>
      <c r="U224" s="2">
        <f t="shared" si="42"/>
        <v>0.20476813636130231</v>
      </c>
      <c r="V224" s="2">
        <f t="shared" si="43"/>
        <v>0.30299738169789059</v>
      </c>
    </row>
    <row r="225" spans="1:22" x14ac:dyDescent="0.25">
      <c r="A225" t="s">
        <v>246</v>
      </c>
      <c r="B225" s="2">
        <v>0.30299999999999999</v>
      </c>
      <c r="C225" s="8">
        <v>0</v>
      </c>
      <c r="D225" s="8">
        <v>21.449000000000002</v>
      </c>
      <c r="E225" s="8">
        <v>0.03</v>
      </c>
      <c r="F225" s="8">
        <v>1.052</v>
      </c>
      <c r="G225" s="8">
        <v>1.4999999999999999E-2</v>
      </c>
      <c r="H225" s="8">
        <v>-0.126</v>
      </c>
      <c r="I225" s="8">
        <v>0.02</v>
      </c>
      <c r="J225" s="8">
        <v>0.12</v>
      </c>
      <c r="K225" s="8">
        <f t="shared" si="33"/>
        <v>0.185</v>
      </c>
      <c r="L225" s="8">
        <f t="shared" si="34"/>
        <v>41.191023999999999</v>
      </c>
      <c r="M225" s="1">
        <f t="shared" si="35"/>
        <v>1730.6322800910591</v>
      </c>
      <c r="N225" s="1">
        <f t="shared" si="36"/>
        <v>5.240423975676386E+25</v>
      </c>
      <c r="O225" s="2">
        <f t="shared" si="37"/>
        <v>1698.3057496487972</v>
      </c>
      <c r="P225" s="2">
        <f t="shared" si="38"/>
        <v>41.150079399597914</v>
      </c>
      <c r="Q225" s="2">
        <f t="shared" si="39"/>
        <v>4.094460040208503E-2</v>
      </c>
      <c r="R225" s="2">
        <f t="shared" si="40"/>
        <v>4.8983500426192012E-2</v>
      </c>
      <c r="S225" s="12">
        <v>1496.4682158267644</v>
      </c>
      <c r="T225" s="2">
        <f t="shared" si="41"/>
        <v>40.875337485474645</v>
      </c>
      <c r="U225" s="2">
        <f t="shared" si="42"/>
        <v>0.31568651452535335</v>
      </c>
      <c r="V225" s="2">
        <f t="shared" si="43"/>
        <v>2.9118473470610993</v>
      </c>
    </row>
    <row r="226" spans="1:22" x14ac:dyDescent="0.25">
      <c r="A226" t="s">
        <v>13</v>
      </c>
      <c r="B226" s="2">
        <v>0.30299999999999999</v>
      </c>
      <c r="C226" s="8">
        <v>0</v>
      </c>
      <c r="D226" s="8">
        <v>22.298999999999999</v>
      </c>
      <c r="E226" s="8">
        <v>7.5999999999999998E-2</v>
      </c>
      <c r="F226" s="8">
        <v>1.0149999999999999</v>
      </c>
      <c r="G226" s="8">
        <v>0.17299999999999999</v>
      </c>
      <c r="H226" s="8">
        <v>7.0000000000000007E-2</v>
      </c>
      <c r="I226" s="8">
        <v>6.3E-2</v>
      </c>
      <c r="J226" s="8">
        <v>0.12</v>
      </c>
      <c r="K226" s="8">
        <f t="shared" si="33"/>
        <v>0.432</v>
      </c>
      <c r="L226" s="8">
        <f t="shared" si="34"/>
        <v>41.422105000000002</v>
      </c>
      <c r="M226" s="1">
        <f t="shared" si="35"/>
        <v>1924.956855448326</v>
      </c>
      <c r="N226" s="1">
        <f t="shared" si="36"/>
        <v>5.240423975676386E+25</v>
      </c>
      <c r="O226" s="2">
        <f t="shared" si="37"/>
        <v>1698.3057496487972</v>
      </c>
      <c r="P226" s="2">
        <f t="shared" si="38"/>
        <v>41.150079399597914</v>
      </c>
      <c r="Q226" s="2">
        <f t="shared" si="39"/>
        <v>0.27202560040208823</v>
      </c>
      <c r="R226" s="2">
        <f t="shared" si="40"/>
        <v>0.39650809796230169</v>
      </c>
      <c r="S226" s="12">
        <v>1496.4682158267644</v>
      </c>
      <c r="T226" s="2">
        <f t="shared" si="41"/>
        <v>40.875337485474645</v>
      </c>
      <c r="U226" s="2">
        <f t="shared" si="42"/>
        <v>0.54676751452535655</v>
      </c>
      <c r="V226" s="2">
        <f t="shared" si="43"/>
        <v>1.6019092664407364</v>
      </c>
    </row>
    <row r="227" spans="1:22" x14ac:dyDescent="0.25">
      <c r="A227" t="s">
        <v>247</v>
      </c>
      <c r="B227" s="2">
        <v>0.31</v>
      </c>
      <c r="C227" s="8">
        <v>0</v>
      </c>
      <c r="D227" s="8">
        <v>21.797999999999998</v>
      </c>
      <c r="E227" s="8">
        <v>6.9000000000000006E-2</v>
      </c>
      <c r="F227" s="8">
        <v>1.02</v>
      </c>
      <c r="G227" s="8">
        <v>7.5999999999999998E-2</v>
      </c>
      <c r="H227" s="8">
        <v>2E-3</v>
      </c>
      <c r="I227" s="8">
        <v>0.05</v>
      </c>
      <c r="J227" s="8">
        <v>0.12</v>
      </c>
      <c r="K227" s="8">
        <f t="shared" si="33"/>
        <v>0.315</v>
      </c>
      <c r="L227" s="8">
        <f t="shared" si="34"/>
        <v>41.134679999999996</v>
      </c>
      <c r="M227" s="1">
        <f t="shared" si="35"/>
        <v>1686.3045040622094</v>
      </c>
      <c r="N227" s="1">
        <f t="shared" si="36"/>
        <v>5.3739587471855214E+25</v>
      </c>
      <c r="O227" s="2">
        <f t="shared" si="37"/>
        <v>1741.5814218624623</v>
      </c>
      <c r="P227" s="2">
        <f t="shared" si="38"/>
        <v>41.204718916334087</v>
      </c>
      <c r="Q227" s="2">
        <f t="shared" si="39"/>
        <v>-7.0038916334091539E-2</v>
      </c>
      <c r="R227" s="2">
        <f t="shared" si="40"/>
        <v>4.9437639720371629E-2</v>
      </c>
      <c r="S227" s="12">
        <v>1536.5007801017907</v>
      </c>
      <c r="T227" s="2">
        <f t="shared" si="41"/>
        <v>40.932663925447557</v>
      </c>
      <c r="U227" s="2">
        <f t="shared" si="42"/>
        <v>0.20201607455243931</v>
      </c>
      <c r="V227" s="2">
        <f t="shared" si="43"/>
        <v>0.4112924603434287</v>
      </c>
    </row>
    <row r="228" spans="1:22" x14ac:dyDescent="0.25">
      <c r="A228" t="s">
        <v>248</v>
      </c>
      <c r="B228" s="2">
        <v>0.311</v>
      </c>
      <c r="C228" s="8">
        <v>0</v>
      </c>
      <c r="D228" s="8">
        <v>21.795999999999999</v>
      </c>
      <c r="E228" s="8">
        <v>4.9000000000000002E-2</v>
      </c>
      <c r="F228" s="8">
        <v>0.872</v>
      </c>
      <c r="G228" s="8">
        <v>6.8000000000000005E-2</v>
      </c>
      <c r="H228" s="8">
        <v>-0.126</v>
      </c>
      <c r="I228" s="8">
        <v>0.04</v>
      </c>
      <c r="J228" s="8">
        <v>0.12</v>
      </c>
      <c r="K228" s="8">
        <f t="shared" si="33"/>
        <v>0.27700000000000002</v>
      </c>
      <c r="L228" s="8">
        <f t="shared" si="34"/>
        <v>41.511564</v>
      </c>
      <c r="M228" s="1">
        <f t="shared" si="35"/>
        <v>2005.9162656137328</v>
      </c>
      <c r="N228" s="1">
        <f t="shared" si="36"/>
        <v>5.3930749251909625E+25</v>
      </c>
      <c r="O228" s="2">
        <f t="shared" si="37"/>
        <v>1747.7765532427932</v>
      </c>
      <c r="P228" s="2">
        <f t="shared" si="38"/>
        <v>41.212429544533677</v>
      </c>
      <c r="Q228" s="2">
        <f t="shared" si="39"/>
        <v>0.29913445546632289</v>
      </c>
      <c r="R228" s="2">
        <f t="shared" si="40"/>
        <v>1.166200816472696</v>
      </c>
      <c r="S228" s="12">
        <v>1542.2374119990202</v>
      </c>
      <c r="T228" s="2">
        <f t="shared" si="41"/>
        <v>40.940756170729628</v>
      </c>
      <c r="U228" s="2">
        <f t="shared" si="42"/>
        <v>0.57080782927037177</v>
      </c>
      <c r="V228" s="2">
        <f t="shared" si="43"/>
        <v>4.2463941659131992</v>
      </c>
    </row>
    <row r="229" spans="1:22" x14ac:dyDescent="0.25">
      <c r="A229" t="s">
        <v>249</v>
      </c>
      <c r="B229" s="2">
        <v>0.311</v>
      </c>
      <c r="C229" s="8">
        <v>0</v>
      </c>
      <c r="D229" s="8">
        <v>21.571000000000002</v>
      </c>
      <c r="E229" s="8">
        <v>5.0999999999999997E-2</v>
      </c>
      <c r="F229" s="8">
        <v>1.0149999999999999</v>
      </c>
      <c r="G229" s="8">
        <v>0.05</v>
      </c>
      <c r="H229" s="8">
        <v>-9.9000000000000005E-2</v>
      </c>
      <c r="I229" s="8">
        <v>3.3000000000000002E-2</v>
      </c>
      <c r="J229" s="8">
        <v>0.12</v>
      </c>
      <c r="K229" s="8">
        <f t="shared" si="33"/>
        <v>0.254</v>
      </c>
      <c r="L229" s="8">
        <f t="shared" si="34"/>
        <v>41.223075000000001</v>
      </c>
      <c r="M229" s="1">
        <f t="shared" si="35"/>
        <v>1756.3659135550945</v>
      </c>
      <c r="N229" s="1">
        <f t="shared" si="36"/>
        <v>5.3930749251909625E+25</v>
      </c>
      <c r="O229" s="2">
        <f t="shared" si="37"/>
        <v>1747.7765532427932</v>
      </c>
      <c r="P229" s="2">
        <f t="shared" si="38"/>
        <v>41.212429544533677</v>
      </c>
      <c r="Q229" s="2">
        <f t="shared" si="39"/>
        <v>1.0645455466324449E-2</v>
      </c>
      <c r="R229" s="2">
        <f t="shared" si="40"/>
        <v>1.7565522054296158E-3</v>
      </c>
      <c r="S229" s="12">
        <v>1542.2374119990202</v>
      </c>
      <c r="T229" s="2">
        <f t="shared" si="41"/>
        <v>40.940756170729628</v>
      </c>
      <c r="U229" s="2">
        <f t="shared" si="42"/>
        <v>0.28231882927037333</v>
      </c>
      <c r="V229" s="2">
        <f t="shared" si="43"/>
        <v>1.2354132519157139</v>
      </c>
    </row>
    <row r="230" spans="1:22" x14ac:dyDescent="0.25">
      <c r="A230" t="s">
        <v>250</v>
      </c>
      <c r="B230" s="2">
        <v>0.314</v>
      </c>
      <c r="C230" s="8">
        <v>0</v>
      </c>
      <c r="D230" s="8">
        <v>21.597999999999999</v>
      </c>
      <c r="E230" s="8">
        <v>4.2000000000000003E-2</v>
      </c>
      <c r="F230" s="8">
        <v>1.0900000000000001</v>
      </c>
      <c r="G230" s="8">
        <v>5.1999999999999998E-2</v>
      </c>
      <c r="H230" s="8">
        <v>-5.7000000000000002E-2</v>
      </c>
      <c r="I230" s="8">
        <v>3.6999999999999998E-2</v>
      </c>
      <c r="J230" s="8">
        <v>0.12</v>
      </c>
      <c r="K230" s="8">
        <f t="shared" si="33"/>
        <v>0.251</v>
      </c>
      <c r="L230" s="8">
        <f t="shared" si="34"/>
        <v>41.129639999999995</v>
      </c>
      <c r="M230" s="1">
        <f t="shared" si="35"/>
        <v>1682.3951201782916</v>
      </c>
      <c r="N230" s="1">
        <f t="shared" si="36"/>
        <v>5.4504828486541568E+25</v>
      </c>
      <c r="O230" s="2">
        <f t="shared" si="37"/>
        <v>1766.3811941927377</v>
      </c>
      <c r="P230" s="2">
        <f t="shared" si="38"/>
        <v>41.235422161750847</v>
      </c>
      <c r="Q230" s="2">
        <f t="shared" si="39"/>
        <v>-0.10578216175085231</v>
      </c>
      <c r="R230" s="2">
        <f t="shared" si="40"/>
        <v>0.17761409731089159</v>
      </c>
      <c r="S230" s="12">
        <v>1559.4737287646187</v>
      </c>
      <c r="T230" s="2">
        <f t="shared" si="41"/>
        <v>40.964890314674975</v>
      </c>
      <c r="U230" s="2">
        <f t="shared" si="42"/>
        <v>0.16474968532502032</v>
      </c>
      <c r="V230" s="2">
        <f t="shared" si="43"/>
        <v>0.43082584109289085</v>
      </c>
    </row>
    <row r="231" spans="1:22" x14ac:dyDescent="0.25">
      <c r="A231" t="s">
        <v>251</v>
      </c>
      <c r="B231" s="2">
        <v>0.32200000000000001</v>
      </c>
      <c r="C231" s="8">
        <v>0</v>
      </c>
      <c r="D231" s="8">
        <v>21.535</v>
      </c>
      <c r="E231" s="8">
        <v>4.2000000000000003E-2</v>
      </c>
      <c r="F231" s="8">
        <v>1.0249999999999999</v>
      </c>
      <c r="G231" s="8">
        <v>5.6000000000000001E-2</v>
      </c>
      <c r="H231" s="8">
        <v>-0.123</v>
      </c>
      <c r="I231" s="8">
        <v>3.3000000000000002E-2</v>
      </c>
      <c r="J231" s="8">
        <v>0.12</v>
      </c>
      <c r="K231" s="8">
        <f t="shared" si="33"/>
        <v>0.251</v>
      </c>
      <c r="L231" s="8">
        <f t="shared" si="34"/>
        <v>41.263665000000003</v>
      </c>
      <c r="M231" s="1">
        <f t="shared" si="35"/>
        <v>1789.5053453943051</v>
      </c>
      <c r="N231" s="1">
        <f t="shared" si="36"/>
        <v>5.6040039164034944E+25</v>
      </c>
      <c r="O231" s="2">
        <f t="shared" si="37"/>
        <v>1816.1339839023281</v>
      </c>
      <c r="P231" s="2">
        <f t="shared" si="38"/>
        <v>41.295739425559105</v>
      </c>
      <c r="Q231" s="2">
        <f t="shared" si="39"/>
        <v>-3.2074425559102338E-2</v>
      </c>
      <c r="R231" s="2">
        <f t="shared" si="40"/>
        <v>1.6329403897499994E-2</v>
      </c>
      <c r="S231" s="12">
        <v>1605.6300384394551</v>
      </c>
      <c r="T231" s="2">
        <f t="shared" si="41"/>
        <v>41.028227422105886</v>
      </c>
      <c r="U231" s="2">
        <f t="shared" si="42"/>
        <v>0.23543757789411757</v>
      </c>
      <c r="V231" s="2">
        <f t="shared" si="43"/>
        <v>0.8798408451397387</v>
      </c>
    </row>
    <row r="232" spans="1:22" x14ac:dyDescent="0.25">
      <c r="A232" t="s">
        <v>252</v>
      </c>
      <c r="B232" s="2">
        <v>0.32300000000000001</v>
      </c>
      <c r="C232" s="8">
        <v>1E-3</v>
      </c>
      <c r="D232" s="8">
        <v>22.001000000000001</v>
      </c>
      <c r="E232" s="8">
        <v>0.03</v>
      </c>
      <c r="F232" s="8">
        <v>0.98699999999999999</v>
      </c>
      <c r="G232" s="8">
        <v>2.1000000000000001E-2</v>
      </c>
      <c r="H232" s="8">
        <v>-1.2999999999999999E-2</v>
      </c>
      <c r="I232" s="8">
        <v>0.02</v>
      </c>
      <c r="J232" s="8">
        <v>0.12</v>
      </c>
      <c r="K232" s="8">
        <f t="shared" si="33"/>
        <v>0.191</v>
      </c>
      <c r="L232" s="8">
        <f t="shared" si="34"/>
        <v>41.379778999999999</v>
      </c>
      <c r="M232" s="1">
        <f t="shared" si="35"/>
        <v>1887.7992099493317</v>
      </c>
      <c r="N232" s="1">
        <f t="shared" si="36"/>
        <v>5.6232381328622031E+25</v>
      </c>
      <c r="O232" s="2">
        <f t="shared" si="37"/>
        <v>1822.367368940148</v>
      </c>
      <c r="P232" s="2">
        <f t="shared" si="38"/>
        <v>41.30317965193646</v>
      </c>
      <c r="Q232" s="2">
        <f t="shared" si="39"/>
        <v>7.6599348063538741E-2</v>
      </c>
      <c r="R232" s="2">
        <f t="shared" si="40"/>
        <v>0.16083605503574891</v>
      </c>
      <c r="S232" s="12">
        <v>1611.4191977025766</v>
      </c>
      <c r="T232" s="2">
        <f t="shared" si="41"/>
        <v>41.036042666611607</v>
      </c>
      <c r="U232" s="2">
        <f t="shared" si="42"/>
        <v>0.34373633338839227</v>
      </c>
      <c r="V232" s="2">
        <f t="shared" si="43"/>
        <v>3.2388001121486791</v>
      </c>
    </row>
    <row r="233" spans="1:22" x14ac:dyDescent="0.25">
      <c r="A233" t="s">
        <v>253</v>
      </c>
      <c r="B233" s="2">
        <v>0.32800000000000001</v>
      </c>
      <c r="C233" s="8">
        <v>0</v>
      </c>
      <c r="D233" s="8">
        <v>21.632999999999999</v>
      </c>
      <c r="E233" s="8">
        <v>4.2000000000000003E-2</v>
      </c>
      <c r="F233" s="8">
        <v>1.0760000000000001</v>
      </c>
      <c r="G233" s="8">
        <v>6.7000000000000004E-2</v>
      </c>
      <c r="H233" s="8">
        <v>-4.1000000000000002E-2</v>
      </c>
      <c r="I233" s="8">
        <v>3.5999999999999997E-2</v>
      </c>
      <c r="J233" s="8">
        <v>0.12</v>
      </c>
      <c r="K233" s="8">
        <f t="shared" si="33"/>
        <v>0.26500000000000001</v>
      </c>
      <c r="L233" s="8">
        <f t="shared" si="34"/>
        <v>41.112501999999992</v>
      </c>
      <c r="M233" s="1">
        <f t="shared" si="35"/>
        <v>1669.1693445721248</v>
      </c>
      <c r="N233" s="1">
        <f t="shared" si="36"/>
        <v>5.7195552747762377E+25</v>
      </c>
      <c r="O233" s="2">
        <f t="shared" si="37"/>
        <v>1853.5816288285823</v>
      </c>
      <c r="P233" s="2">
        <f t="shared" si="38"/>
        <v>41.340058582173754</v>
      </c>
      <c r="Q233" s="2">
        <f t="shared" si="39"/>
        <v>-0.22755658217376151</v>
      </c>
      <c r="R233" s="2">
        <f t="shared" si="40"/>
        <v>0.73737270331938576</v>
      </c>
      <c r="S233" s="12">
        <v>1640.4300186262299</v>
      </c>
      <c r="T233" s="2">
        <f t="shared" si="41"/>
        <v>41.074788539740375</v>
      </c>
      <c r="U233" s="2">
        <f t="shared" si="42"/>
        <v>3.7713460259617193E-2</v>
      </c>
      <c r="V233" s="2">
        <f t="shared" si="43"/>
        <v>2.0253543392719474E-2</v>
      </c>
    </row>
    <row r="234" spans="1:22" x14ac:dyDescent="0.25">
      <c r="A234" t="s">
        <v>254</v>
      </c>
      <c r="B234" s="2">
        <v>0.33200000000000002</v>
      </c>
      <c r="C234" s="8">
        <v>2E-3</v>
      </c>
      <c r="D234" s="8">
        <v>21.866</v>
      </c>
      <c r="E234" s="8">
        <v>3.2000000000000001E-2</v>
      </c>
      <c r="F234" s="8">
        <v>1.048</v>
      </c>
      <c r="G234" s="8">
        <v>0.02</v>
      </c>
      <c r="H234" s="8">
        <v>1.6E-2</v>
      </c>
      <c r="I234" s="8">
        <v>2.1999999999999999E-2</v>
      </c>
      <c r="J234" s="8">
        <v>0.12</v>
      </c>
      <c r="K234" s="8">
        <f t="shared" si="33"/>
        <v>0.19400000000000001</v>
      </c>
      <c r="L234" s="8">
        <f t="shared" si="34"/>
        <v>41.162976</v>
      </c>
      <c r="M234" s="1">
        <f t="shared" si="35"/>
        <v>1708.422175580462</v>
      </c>
      <c r="N234" s="1">
        <f t="shared" si="36"/>
        <v>5.7967835082588142E+25</v>
      </c>
      <c r="O234" s="2">
        <f t="shared" si="37"/>
        <v>1878.6095948037496</v>
      </c>
      <c r="P234" s="2">
        <f t="shared" si="38"/>
        <v>41.369182680601327</v>
      </c>
      <c r="Q234" s="2">
        <f t="shared" si="39"/>
        <v>-0.2062066806013263</v>
      </c>
      <c r="R234" s="2">
        <f t="shared" si="40"/>
        <v>1.1298011245779944</v>
      </c>
      <c r="S234" s="12">
        <v>1663.7163831416265</v>
      </c>
      <c r="T234" s="2">
        <f t="shared" si="41"/>
        <v>41.105396466339762</v>
      </c>
      <c r="U234" s="2">
        <f t="shared" si="42"/>
        <v>5.7579533660238269E-2</v>
      </c>
      <c r="V234" s="2">
        <f t="shared" si="43"/>
        <v>8.8091260934491225E-2</v>
      </c>
    </row>
    <row r="235" spans="1:22" x14ac:dyDescent="0.25">
      <c r="A235" t="s">
        <v>255</v>
      </c>
      <c r="B235" s="2">
        <v>0.33700000000000002</v>
      </c>
      <c r="C235" s="8">
        <v>0</v>
      </c>
      <c r="D235" s="8">
        <v>21.957000000000001</v>
      </c>
      <c r="E235" s="8">
        <v>0.03</v>
      </c>
      <c r="F235" s="8">
        <v>1.127</v>
      </c>
      <c r="G235" s="8">
        <v>1.2999999999999999E-2</v>
      </c>
      <c r="H235" s="8">
        <v>-4.0000000000000001E-3</v>
      </c>
      <c r="I235" s="8">
        <v>2.1000000000000001E-2</v>
      </c>
      <c r="J235" s="8">
        <v>0.12</v>
      </c>
      <c r="K235" s="8">
        <f t="shared" si="33"/>
        <v>0.184</v>
      </c>
      <c r="L235" s="8">
        <f t="shared" si="34"/>
        <v>41.328188999999995</v>
      </c>
      <c r="M235" s="1">
        <f t="shared" si="35"/>
        <v>1843.4773245800427</v>
      </c>
      <c r="N235" s="1">
        <f t="shared" si="36"/>
        <v>5.8935356432052006E+25</v>
      </c>
      <c r="O235" s="2">
        <f t="shared" si="37"/>
        <v>1909.9648263332817</v>
      </c>
      <c r="P235" s="2">
        <f t="shared" si="38"/>
        <v>41.405126847050099</v>
      </c>
      <c r="Q235" s="2">
        <f t="shared" si="39"/>
        <v>-7.6937847050103869E-2</v>
      </c>
      <c r="R235" s="2">
        <f t="shared" si="40"/>
        <v>0.17484145524294592</v>
      </c>
      <c r="S235" s="12">
        <v>1692.9209127694885</v>
      </c>
      <c r="T235" s="2">
        <f t="shared" si="41"/>
        <v>41.143183349463527</v>
      </c>
      <c r="U235" s="2">
        <f t="shared" si="42"/>
        <v>0.18500565053646767</v>
      </c>
      <c r="V235" s="2">
        <f t="shared" si="43"/>
        <v>1.0109608556953451</v>
      </c>
    </row>
    <row r="236" spans="1:22" x14ac:dyDescent="0.25">
      <c r="A236" t="s">
        <v>256</v>
      </c>
      <c r="B236" s="2">
        <v>0.34</v>
      </c>
      <c r="C236" s="8">
        <v>0</v>
      </c>
      <c r="D236" s="8">
        <v>21.79</v>
      </c>
      <c r="E236" s="8">
        <v>6.0999999999999999E-2</v>
      </c>
      <c r="F236" s="8">
        <v>1.1910000000000001</v>
      </c>
      <c r="G236" s="8">
        <v>5.3999999999999999E-2</v>
      </c>
      <c r="H236" s="8">
        <v>-0.04</v>
      </c>
      <c r="I236" s="8">
        <v>4.2999999999999997E-2</v>
      </c>
      <c r="J236" s="8">
        <v>0.12</v>
      </c>
      <c r="K236" s="8">
        <f t="shared" si="33"/>
        <v>0.27799999999999997</v>
      </c>
      <c r="L236" s="8">
        <f t="shared" si="34"/>
        <v>41.283276999999998</v>
      </c>
      <c r="M236" s="1">
        <f t="shared" si="35"/>
        <v>1805.7407548140898</v>
      </c>
      <c r="N236" s="1">
        <f t="shared" si="36"/>
        <v>5.9517019807475962E+25</v>
      </c>
      <c r="O236" s="2">
        <f t="shared" si="37"/>
        <v>1928.815252547415</v>
      </c>
      <c r="P236" s="2">
        <f t="shared" si="38"/>
        <v>41.426453158329224</v>
      </c>
      <c r="Q236" s="2">
        <f t="shared" si="39"/>
        <v>-0.1431761583292257</v>
      </c>
      <c r="R236" s="2">
        <f t="shared" si="40"/>
        <v>0.26524781732202674</v>
      </c>
      <c r="S236" s="12">
        <v>1710.4948815443258</v>
      </c>
      <c r="T236" s="2">
        <f t="shared" si="41"/>
        <v>41.16560889473817</v>
      </c>
      <c r="U236" s="2">
        <f t="shared" si="42"/>
        <v>0.1176681052618278</v>
      </c>
      <c r="V236" s="2">
        <f t="shared" si="43"/>
        <v>0.1791545856310309</v>
      </c>
    </row>
    <row r="237" spans="1:22" x14ac:dyDescent="0.25">
      <c r="A237" t="s">
        <v>257</v>
      </c>
      <c r="B237" s="2">
        <v>0.34</v>
      </c>
      <c r="C237" s="8">
        <v>0</v>
      </c>
      <c r="D237" s="8">
        <v>22.141999999999999</v>
      </c>
      <c r="E237" s="8">
        <v>2.9000000000000001E-2</v>
      </c>
      <c r="F237" s="8">
        <v>1.0589999999999999</v>
      </c>
      <c r="G237" s="8">
        <v>1.4999999999999999E-2</v>
      </c>
      <c r="H237" s="8">
        <v>8.9999999999999993E-3</v>
      </c>
      <c r="I237" s="8">
        <v>0.02</v>
      </c>
      <c r="J237" s="8">
        <v>0.12</v>
      </c>
      <c r="K237" s="8">
        <f t="shared" si="33"/>
        <v>0.184</v>
      </c>
      <c r="L237" s="8">
        <f t="shared" si="34"/>
        <v>41.462502999999998</v>
      </c>
      <c r="M237" s="1">
        <f t="shared" si="35"/>
        <v>1961.103884839318</v>
      </c>
      <c r="N237" s="1">
        <f t="shared" si="36"/>
        <v>5.9517019807475962E+25</v>
      </c>
      <c r="O237" s="2">
        <f t="shared" si="37"/>
        <v>1928.815252547415</v>
      </c>
      <c r="P237" s="2">
        <f t="shared" si="38"/>
        <v>41.426453158329224</v>
      </c>
      <c r="Q237" s="2">
        <f t="shared" si="39"/>
        <v>3.6049841670774185E-2</v>
      </c>
      <c r="R237" s="2">
        <f t="shared" si="40"/>
        <v>3.8385842523862443E-2</v>
      </c>
      <c r="S237" s="12">
        <v>1710.4948815443258</v>
      </c>
      <c r="T237" s="2">
        <f t="shared" si="41"/>
        <v>41.16560889473817</v>
      </c>
      <c r="U237" s="2">
        <f t="shared" si="42"/>
        <v>0.29689410526182769</v>
      </c>
      <c r="V237" s="2">
        <f t="shared" si="43"/>
        <v>2.603559479537489</v>
      </c>
    </row>
    <row r="238" spans="1:22" x14ac:dyDescent="0.25">
      <c r="A238" t="s">
        <v>258</v>
      </c>
      <c r="B238" s="2">
        <v>0.34699999999999998</v>
      </c>
      <c r="C238" s="8">
        <v>1E-3</v>
      </c>
      <c r="D238" s="8">
        <v>22.420999999999999</v>
      </c>
      <c r="E238" s="8">
        <v>3.4000000000000002E-2</v>
      </c>
      <c r="F238" s="8">
        <v>0.88</v>
      </c>
      <c r="G238" s="8">
        <v>1.4E-2</v>
      </c>
      <c r="H238" s="8">
        <v>2E-3</v>
      </c>
      <c r="I238" s="8">
        <v>2.4E-2</v>
      </c>
      <c r="J238" s="8">
        <v>0.12</v>
      </c>
      <c r="K238" s="8">
        <f t="shared" si="33"/>
        <v>0.192</v>
      </c>
      <c r="L238" s="8">
        <f t="shared" si="34"/>
        <v>41.737099999999998</v>
      </c>
      <c r="M238" s="1">
        <f t="shared" si="35"/>
        <v>2225.4610619560453</v>
      </c>
      <c r="N238" s="1">
        <f t="shared" si="36"/>
        <v>6.0877568719403162E+25</v>
      </c>
      <c r="O238" s="2">
        <f t="shared" si="37"/>
        <v>1972.907639929223</v>
      </c>
      <c r="P238" s="2">
        <f t="shared" si="38"/>
        <v>41.475533772920954</v>
      </c>
      <c r="Q238" s="2">
        <f t="shared" si="39"/>
        <v>0.26156622707904376</v>
      </c>
      <c r="R238" s="2">
        <f t="shared" si="40"/>
        <v>1.8559269517243349</v>
      </c>
      <c r="S238" s="12">
        <v>1751.6493655608406</v>
      </c>
      <c r="T238" s="2">
        <f t="shared" si="41"/>
        <v>41.217235880615291</v>
      </c>
      <c r="U238" s="2">
        <f t="shared" si="42"/>
        <v>0.51986411938470667</v>
      </c>
      <c r="V238" s="2">
        <f t="shared" si="43"/>
        <v>7.3312365078026405</v>
      </c>
    </row>
    <row r="239" spans="1:22" x14ac:dyDescent="0.25">
      <c r="A239" t="s">
        <v>259</v>
      </c>
      <c r="B239" s="2">
        <v>0.34799999999999998</v>
      </c>
      <c r="C239" s="8">
        <v>1E-3</v>
      </c>
      <c r="D239" s="8">
        <v>22.58</v>
      </c>
      <c r="E239" s="8">
        <v>0.04</v>
      </c>
      <c r="F239" s="8">
        <v>0.84499999999999997</v>
      </c>
      <c r="G239" s="8">
        <v>1.7000000000000001E-2</v>
      </c>
      <c r="H239" s="8">
        <v>0.14199999999999999</v>
      </c>
      <c r="I239" s="8">
        <v>2.8000000000000001E-2</v>
      </c>
      <c r="J239" s="8">
        <v>0.12</v>
      </c>
      <c r="K239" s="8">
        <f t="shared" si="33"/>
        <v>0.20500000000000002</v>
      </c>
      <c r="L239" s="8">
        <f t="shared" si="34"/>
        <v>41.452754999999996</v>
      </c>
      <c r="M239" s="1">
        <f t="shared" si="35"/>
        <v>1952.3199851099714</v>
      </c>
      <c r="N239" s="1">
        <f t="shared" si="36"/>
        <v>6.1072312135197436E+25</v>
      </c>
      <c r="O239" s="2">
        <f t="shared" si="37"/>
        <v>1979.2188442188908</v>
      </c>
      <c r="P239" s="2">
        <f t="shared" si="38"/>
        <v>41.482469086196147</v>
      </c>
      <c r="Q239" s="2">
        <f t="shared" si="39"/>
        <v>-2.9714086196150902E-2</v>
      </c>
      <c r="R239" s="2">
        <f t="shared" si="40"/>
        <v>2.1009563794700425E-2</v>
      </c>
      <c r="S239" s="12">
        <v>1757.5454783008311</v>
      </c>
      <c r="T239" s="2">
        <f t="shared" si="41"/>
        <v>41.224532858273122</v>
      </c>
      <c r="U239" s="2">
        <f t="shared" si="42"/>
        <v>0.22822214172687438</v>
      </c>
      <c r="V239" s="2">
        <f t="shared" si="43"/>
        <v>1.2393895532278769</v>
      </c>
    </row>
    <row r="240" spans="1:22" x14ac:dyDescent="0.25">
      <c r="A240" t="s">
        <v>260</v>
      </c>
      <c r="B240" s="2">
        <v>0.34799999999999998</v>
      </c>
      <c r="C240" s="8">
        <v>1E-3</v>
      </c>
      <c r="D240" s="8">
        <v>22.248999999999999</v>
      </c>
      <c r="E240" s="8">
        <v>3.4000000000000002E-2</v>
      </c>
      <c r="F240" s="8">
        <v>0.98799999999999999</v>
      </c>
      <c r="G240" s="8">
        <v>0.02</v>
      </c>
      <c r="H240" s="8">
        <v>-4.5999999999999999E-2</v>
      </c>
      <c r="I240" s="8">
        <v>2.4E-2</v>
      </c>
      <c r="J240" s="8">
        <v>0.12</v>
      </c>
      <c r="K240" s="8">
        <f t="shared" si="33"/>
        <v>0.19800000000000001</v>
      </c>
      <c r="L240" s="8">
        <f t="shared" si="34"/>
        <v>41.731215999999996</v>
      </c>
      <c r="M240" s="1">
        <f t="shared" si="35"/>
        <v>2219.4389325818279</v>
      </c>
      <c r="N240" s="1">
        <f t="shared" si="36"/>
        <v>6.1072312135197436E+25</v>
      </c>
      <c r="O240" s="2">
        <f t="shared" si="37"/>
        <v>1979.2188442188908</v>
      </c>
      <c r="P240" s="2">
        <f t="shared" si="38"/>
        <v>41.482469086196147</v>
      </c>
      <c r="Q240" s="2">
        <f t="shared" si="39"/>
        <v>0.24874691380384917</v>
      </c>
      <c r="R240" s="2">
        <f t="shared" si="40"/>
        <v>1.5782835202259862</v>
      </c>
      <c r="S240" s="12">
        <v>1757.5454783008311</v>
      </c>
      <c r="T240" s="2">
        <f t="shared" si="41"/>
        <v>41.224532858273122</v>
      </c>
      <c r="U240" s="2">
        <f t="shared" si="42"/>
        <v>0.50668314172687445</v>
      </c>
      <c r="V240" s="2">
        <f t="shared" si="43"/>
        <v>6.5485105119430651</v>
      </c>
    </row>
    <row r="241" spans="1:22" x14ac:dyDescent="0.25">
      <c r="A241" t="s">
        <v>261</v>
      </c>
      <c r="B241" s="2">
        <v>0.35</v>
      </c>
      <c r="C241" s="8">
        <v>0</v>
      </c>
      <c r="D241" s="8">
        <v>22.062000000000001</v>
      </c>
      <c r="E241" s="8">
        <v>7.3999999999999996E-2</v>
      </c>
      <c r="F241" s="8">
        <v>1.1259999999999999</v>
      </c>
      <c r="G241" s="8">
        <v>7.9000000000000001E-2</v>
      </c>
      <c r="H241" s="8">
        <v>2.1999999999999999E-2</v>
      </c>
      <c r="I241" s="8">
        <v>4.9000000000000002E-2</v>
      </c>
      <c r="J241" s="8">
        <v>0.12</v>
      </c>
      <c r="K241" s="8">
        <f t="shared" si="33"/>
        <v>0.32200000000000001</v>
      </c>
      <c r="L241" s="8">
        <f t="shared" si="34"/>
        <v>41.351662000000005</v>
      </c>
      <c r="M241" s="1">
        <f t="shared" si="35"/>
        <v>1863.5128851335453</v>
      </c>
      <c r="N241" s="1">
        <f t="shared" si="36"/>
        <v>6.1462082220439537E+25</v>
      </c>
      <c r="O241" s="2">
        <f t="shared" si="37"/>
        <v>1991.8504324239716</v>
      </c>
      <c r="P241" s="2">
        <f t="shared" si="38"/>
        <v>41.496283621212349</v>
      </c>
      <c r="Q241" s="2">
        <f t="shared" si="39"/>
        <v>-0.14462162121234456</v>
      </c>
      <c r="R241" s="2">
        <f t="shared" si="40"/>
        <v>0.20172267005600544</v>
      </c>
      <c r="S241" s="12">
        <v>1769.35032689798</v>
      </c>
      <c r="T241" s="2">
        <f t="shared" si="41"/>
        <v>41.239069153173531</v>
      </c>
      <c r="U241" s="2">
        <f t="shared" si="42"/>
        <v>0.11259284682647319</v>
      </c>
      <c r="V241" s="2">
        <f t="shared" si="43"/>
        <v>0.12226716905684246</v>
      </c>
    </row>
    <row r="242" spans="1:22" x14ac:dyDescent="0.25">
      <c r="A242" t="s">
        <v>262</v>
      </c>
      <c r="B242" s="2">
        <v>0.35</v>
      </c>
      <c r="C242" s="8">
        <v>0.01</v>
      </c>
      <c r="D242" s="8">
        <v>22.693000000000001</v>
      </c>
      <c r="E242" s="8">
        <v>0.03</v>
      </c>
      <c r="F242" s="8">
        <v>0.93100000000000005</v>
      </c>
      <c r="G242" s="8">
        <v>2.1999999999999999E-2</v>
      </c>
      <c r="H242" s="8">
        <v>5.7000000000000002E-2</v>
      </c>
      <c r="I242" s="8">
        <v>2.1999999999999999E-2</v>
      </c>
      <c r="J242" s="8">
        <v>0.12</v>
      </c>
      <c r="K242" s="8">
        <f t="shared" si="33"/>
        <v>0.19400000000000001</v>
      </c>
      <c r="L242" s="8">
        <f t="shared" si="34"/>
        <v>41.844447000000002</v>
      </c>
      <c r="M242" s="1">
        <f t="shared" si="35"/>
        <v>2338.2416923785149</v>
      </c>
      <c r="N242" s="1">
        <f t="shared" si="36"/>
        <v>6.1462082220439537E+25</v>
      </c>
      <c r="O242" s="2">
        <f t="shared" si="37"/>
        <v>1991.8504324239716</v>
      </c>
      <c r="P242" s="2">
        <f t="shared" si="38"/>
        <v>41.496283621212349</v>
      </c>
      <c r="Q242" s="2">
        <f t="shared" si="39"/>
        <v>0.34816337878765324</v>
      </c>
      <c r="R242" s="2">
        <f t="shared" si="40"/>
        <v>3.2207922820925416</v>
      </c>
      <c r="S242" s="12">
        <v>1769.35032689798</v>
      </c>
      <c r="T242" s="2">
        <f t="shared" si="41"/>
        <v>41.239069153173531</v>
      </c>
      <c r="U242" s="2">
        <f t="shared" si="42"/>
        <v>0.605377846826471</v>
      </c>
      <c r="V242" s="2">
        <f t="shared" si="43"/>
        <v>9.7375474925139276</v>
      </c>
    </row>
    <row r="243" spans="1:22" x14ac:dyDescent="0.25">
      <c r="A243" t="s">
        <v>263</v>
      </c>
      <c r="B243" s="2">
        <v>0.35399999999999998</v>
      </c>
      <c r="C243" s="8">
        <v>0</v>
      </c>
      <c r="D243" s="8">
        <v>22.417000000000002</v>
      </c>
      <c r="E243" s="8">
        <v>3.7999999999999999E-2</v>
      </c>
      <c r="F243" s="8">
        <v>1.1379999999999999</v>
      </c>
      <c r="G243" s="8">
        <v>2.5999999999999999E-2</v>
      </c>
      <c r="H243" s="8">
        <v>5.8000000000000003E-2</v>
      </c>
      <c r="I243" s="8">
        <v>2.4E-2</v>
      </c>
      <c r="J243" s="8">
        <v>0.12</v>
      </c>
      <c r="K243" s="8">
        <f t="shared" si="33"/>
        <v>0.20799999999999999</v>
      </c>
      <c r="L243" s="8">
        <f t="shared" si="34"/>
        <v>41.595746000000005</v>
      </c>
      <c r="M243" s="1">
        <f t="shared" si="35"/>
        <v>2085.2071239919665</v>
      </c>
      <c r="N243" s="1">
        <f t="shared" si="36"/>
        <v>6.2242752036335461E+25</v>
      </c>
      <c r="O243" s="2">
        <f t="shared" si="37"/>
        <v>2017.1502181486981</v>
      </c>
      <c r="P243" s="2">
        <f t="shared" si="38"/>
        <v>41.523691207682106</v>
      </c>
      <c r="Q243" s="2">
        <f t="shared" si="39"/>
        <v>7.2054792317899796E-2</v>
      </c>
      <c r="R243" s="2">
        <f t="shared" si="40"/>
        <v>0.12000492548020691</v>
      </c>
      <c r="S243" s="12">
        <v>1793.0103703263565</v>
      </c>
      <c r="T243" s="2">
        <f t="shared" si="41"/>
        <v>41.267914007103968</v>
      </c>
      <c r="U243" s="2">
        <f t="shared" si="42"/>
        <v>0.32783199289603715</v>
      </c>
      <c r="V243" s="2">
        <f t="shared" si="43"/>
        <v>2.4841395979610614</v>
      </c>
    </row>
    <row r="244" spans="1:22" x14ac:dyDescent="0.25">
      <c r="A244" t="s">
        <v>264</v>
      </c>
      <c r="B244" s="2">
        <v>0.35499999999999998</v>
      </c>
      <c r="C244" s="8">
        <v>1E-3</v>
      </c>
      <c r="D244" s="8">
        <v>22.951000000000001</v>
      </c>
      <c r="E244" s="8">
        <v>3.2000000000000001E-2</v>
      </c>
      <c r="F244" s="8">
        <v>1.002</v>
      </c>
      <c r="G244" s="8">
        <v>3.3000000000000002E-2</v>
      </c>
      <c r="H244" s="8">
        <v>0.24099999999999999</v>
      </c>
      <c r="I244" s="8">
        <v>2.5999999999999999E-2</v>
      </c>
      <c r="J244" s="8">
        <v>0.12</v>
      </c>
      <c r="K244" s="8">
        <f t="shared" si="33"/>
        <v>0.21099999999999999</v>
      </c>
      <c r="L244" s="8">
        <f t="shared" si="34"/>
        <v>41.536963999999998</v>
      </c>
      <c r="M244" s="1">
        <f t="shared" si="35"/>
        <v>2029.5174977686668</v>
      </c>
      <c r="N244" s="1">
        <f t="shared" si="36"/>
        <v>6.2438154133570826E+25</v>
      </c>
      <c r="O244" s="2">
        <f t="shared" si="37"/>
        <v>2023.4827688501023</v>
      </c>
      <c r="P244" s="2">
        <f t="shared" si="38"/>
        <v>41.53049755234764</v>
      </c>
      <c r="Q244" s="2">
        <f t="shared" si="39"/>
        <v>6.4664476523574876E-3</v>
      </c>
      <c r="R244" s="2">
        <f t="shared" si="40"/>
        <v>9.3921846411086152E-4</v>
      </c>
      <c r="S244" s="12">
        <v>1798.9358395865763</v>
      </c>
      <c r="T244" s="2">
        <f t="shared" si="41"/>
        <v>41.275078370895613</v>
      </c>
      <c r="U244" s="2">
        <f t="shared" si="42"/>
        <v>0.26188562910438407</v>
      </c>
      <c r="V244" s="2">
        <f t="shared" si="43"/>
        <v>1.5404883702387417</v>
      </c>
    </row>
    <row r="245" spans="1:22" x14ac:dyDescent="0.25">
      <c r="A245" t="s">
        <v>265</v>
      </c>
      <c r="B245" s="2">
        <v>0.35699999999999998</v>
      </c>
      <c r="C245" s="8">
        <v>2E-3</v>
      </c>
      <c r="D245" s="8">
        <v>22.437000000000001</v>
      </c>
      <c r="E245" s="8">
        <v>3.1E-2</v>
      </c>
      <c r="F245" s="8">
        <v>1.01</v>
      </c>
      <c r="G245" s="8">
        <v>1.7000000000000001E-2</v>
      </c>
      <c r="H245" s="8">
        <v>8.1000000000000003E-2</v>
      </c>
      <c r="I245" s="8">
        <v>2.3E-2</v>
      </c>
      <c r="J245" s="8">
        <v>0.12</v>
      </c>
      <c r="K245" s="8">
        <f t="shared" si="33"/>
        <v>0.191</v>
      </c>
      <c r="L245" s="8">
        <f t="shared" si="34"/>
        <v>41.524940000000001</v>
      </c>
      <c r="M245" s="1">
        <f t="shared" si="35"/>
        <v>2018.310594928427</v>
      </c>
      <c r="N245" s="1">
        <f t="shared" si="36"/>
        <v>6.2829239063721311E+25</v>
      </c>
      <c r="O245" s="2">
        <f t="shared" si="37"/>
        <v>2036.1569682766828</v>
      </c>
      <c r="P245" s="2">
        <f t="shared" si="38"/>
        <v>41.544056274582651</v>
      </c>
      <c r="Q245" s="2">
        <f t="shared" si="39"/>
        <v>-1.9116274582650306E-2</v>
      </c>
      <c r="R245" s="2">
        <f t="shared" si="40"/>
        <v>1.0017048708074947E-2</v>
      </c>
      <c r="S245" s="12">
        <v>1810.7992918104371</v>
      </c>
      <c r="T245" s="2">
        <f t="shared" si="41"/>
        <v>41.289351579870214</v>
      </c>
      <c r="U245" s="2">
        <f t="shared" si="42"/>
        <v>0.23558842012978687</v>
      </c>
      <c r="V245" s="2">
        <f t="shared" si="43"/>
        <v>1.5213920588593781</v>
      </c>
    </row>
    <row r="246" spans="1:22" x14ac:dyDescent="0.25">
      <c r="A246" t="s">
        <v>266</v>
      </c>
      <c r="B246" s="2">
        <v>0.35799999999999998</v>
      </c>
      <c r="C246" s="8">
        <v>1E-3</v>
      </c>
      <c r="D246" s="8">
        <v>22.536999999999999</v>
      </c>
      <c r="E246" s="8">
        <v>0.03</v>
      </c>
      <c r="F246" s="8">
        <v>0.96</v>
      </c>
      <c r="G246" s="8">
        <v>1.2999999999999999E-2</v>
      </c>
      <c r="H246" s="8">
        <v>0.11</v>
      </c>
      <c r="I246" s="8">
        <v>2.1000000000000001E-2</v>
      </c>
      <c r="J246" s="8">
        <v>0.12</v>
      </c>
      <c r="K246" s="8">
        <f t="shared" si="33"/>
        <v>0.184</v>
      </c>
      <c r="L246" s="8">
        <f t="shared" si="34"/>
        <v>41.526820000000001</v>
      </c>
      <c r="M246" s="1">
        <f t="shared" si="35"/>
        <v>2020.0587483606037</v>
      </c>
      <c r="N246" s="1">
        <f t="shared" si="36"/>
        <v>6.3024921658523032E+25</v>
      </c>
      <c r="O246" s="2">
        <f t="shared" si="37"/>
        <v>2042.4986092851293</v>
      </c>
      <c r="P246" s="2">
        <f t="shared" si="38"/>
        <v>41.550808847491055</v>
      </c>
      <c r="Q246" s="2">
        <f t="shared" si="39"/>
        <v>-2.3988847491054344E-2</v>
      </c>
      <c r="R246" s="2">
        <f t="shared" si="40"/>
        <v>1.6997424502276239E-2</v>
      </c>
      <c r="S246" s="12">
        <v>1816.7372644037046</v>
      </c>
      <c r="T246" s="2">
        <f t="shared" si="41"/>
        <v>41.296460622037841</v>
      </c>
      <c r="U246" s="2">
        <f t="shared" si="42"/>
        <v>0.23035937796215933</v>
      </c>
      <c r="V246" s="2">
        <f t="shared" si="43"/>
        <v>1.5673866675068815</v>
      </c>
    </row>
    <row r="247" spans="1:22" x14ac:dyDescent="0.25">
      <c r="A247" t="s">
        <v>267</v>
      </c>
      <c r="B247" s="2">
        <v>0.36899999999999999</v>
      </c>
      <c r="C247" s="8">
        <v>0</v>
      </c>
      <c r="D247" s="8">
        <v>22.166</v>
      </c>
      <c r="E247" s="8">
        <v>2.9000000000000001E-2</v>
      </c>
      <c r="F247" s="8">
        <v>1.071</v>
      </c>
      <c r="G247" s="8">
        <v>1.0999999999999999E-2</v>
      </c>
      <c r="H247" s="8">
        <v>-0.06</v>
      </c>
      <c r="I247" s="8">
        <v>1.9E-2</v>
      </c>
      <c r="J247" s="8">
        <v>0.12</v>
      </c>
      <c r="K247" s="8">
        <f t="shared" si="33"/>
        <v>0.17899999999999999</v>
      </c>
      <c r="L247" s="8">
        <f t="shared" si="34"/>
        <v>41.704236999999999</v>
      </c>
      <c r="M247" s="1">
        <f t="shared" si="35"/>
        <v>2192.0345749955786</v>
      </c>
      <c r="N247" s="1">
        <f t="shared" si="36"/>
        <v>6.518355947202935E+25</v>
      </c>
      <c r="O247" s="2">
        <f t="shared" si="37"/>
        <v>2112.4552965131684</v>
      </c>
      <c r="P247" s="2">
        <f t="shared" si="38"/>
        <v>41.623937636196047</v>
      </c>
      <c r="Q247" s="2">
        <f t="shared" si="39"/>
        <v>8.0299363803952417E-2</v>
      </c>
      <c r="R247" s="2">
        <f t="shared" si="40"/>
        <v>0.20124177857493533</v>
      </c>
      <c r="S247" s="12">
        <v>1882.3282180116573</v>
      </c>
      <c r="T247" s="2">
        <f t="shared" si="41"/>
        <v>41.373476764008529</v>
      </c>
      <c r="U247" s="2">
        <f t="shared" si="42"/>
        <v>0.33076023599146964</v>
      </c>
      <c r="V247" s="2">
        <f t="shared" si="43"/>
        <v>3.4144481668216566</v>
      </c>
    </row>
    <row r="248" spans="1:22" x14ac:dyDescent="0.25">
      <c r="A248" t="s">
        <v>268</v>
      </c>
      <c r="B248" s="2">
        <v>0.36899999999999999</v>
      </c>
      <c r="C248" s="8">
        <v>2E-3</v>
      </c>
      <c r="D248" s="8">
        <v>22.491</v>
      </c>
      <c r="E248" s="8">
        <v>6.5000000000000002E-2</v>
      </c>
      <c r="F248" s="8">
        <v>0.88200000000000001</v>
      </c>
      <c r="G248" s="8">
        <v>0.05</v>
      </c>
      <c r="H248" s="8">
        <v>1.4999999999999999E-2</v>
      </c>
      <c r="I248" s="8">
        <v>0.03</v>
      </c>
      <c r="J248" s="8">
        <v>0.12</v>
      </c>
      <c r="K248" s="8">
        <f t="shared" si="33"/>
        <v>0.26500000000000001</v>
      </c>
      <c r="L248" s="8">
        <f t="shared" si="34"/>
        <v>41.766704000000004</v>
      </c>
      <c r="M248" s="1">
        <f t="shared" si="35"/>
        <v>2256.0088552477791</v>
      </c>
      <c r="N248" s="1">
        <f t="shared" si="36"/>
        <v>6.518355947202935E+25</v>
      </c>
      <c r="O248" s="2">
        <f t="shared" si="37"/>
        <v>2112.4552965131684</v>
      </c>
      <c r="P248" s="2">
        <f t="shared" si="38"/>
        <v>41.623937636196047</v>
      </c>
      <c r="Q248" s="2">
        <f t="shared" si="39"/>
        <v>0.14276636380395757</v>
      </c>
      <c r="R248" s="2">
        <f t="shared" si="40"/>
        <v>0.29024186021792758</v>
      </c>
      <c r="S248" s="12">
        <v>1882.3282180116573</v>
      </c>
      <c r="T248" s="2">
        <f t="shared" si="41"/>
        <v>41.373476764008529</v>
      </c>
      <c r="U248" s="2">
        <f t="shared" si="42"/>
        <v>0.3932272359914748</v>
      </c>
      <c r="V248" s="2">
        <f t="shared" si="43"/>
        <v>2.2018890583908148</v>
      </c>
    </row>
    <row r="249" spans="1:22" x14ac:dyDescent="0.25">
      <c r="A249" t="s">
        <v>269</v>
      </c>
      <c r="B249" s="2">
        <v>0.37</v>
      </c>
      <c r="C249" s="8">
        <v>0.01</v>
      </c>
      <c r="D249" s="8">
        <v>22.663</v>
      </c>
      <c r="E249" s="8">
        <v>3.1E-2</v>
      </c>
      <c r="F249" s="8">
        <v>0.90200000000000002</v>
      </c>
      <c r="G249" s="8">
        <v>1.7999999999999999E-2</v>
      </c>
      <c r="H249" s="8">
        <v>9.6000000000000002E-2</v>
      </c>
      <c r="I249" s="8">
        <v>0.02</v>
      </c>
      <c r="J249" s="8">
        <v>0.12</v>
      </c>
      <c r="K249" s="8">
        <f t="shared" si="33"/>
        <v>0.189</v>
      </c>
      <c r="L249" s="8">
        <f t="shared" si="34"/>
        <v>41.688113999999999</v>
      </c>
      <c r="M249" s="1">
        <f t="shared" si="35"/>
        <v>2175.8191761280586</v>
      </c>
      <c r="N249" s="1">
        <f t="shared" si="36"/>
        <v>6.5380353423276749E+25</v>
      </c>
      <c r="O249" s="2">
        <f t="shared" si="37"/>
        <v>2118.8329541311555</v>
      </c>
      <c r="P249" s="2">
        <f t="shared" si="38"/>
        <v>41.63048359441111</v>
      </c>
      <c r="Q249" s="2">
        <f t="shared" si="39"/>
        <v>5.7630405588888323E-2</v>
      </c>
      <c r="R249" s="2">
        <f t="shared" si="40"/>
        <v>9.2977902307879681E-2</v>
      </c>
      <c r="S249" s="12">
        <v>1888.3157397047237</v>
      </c>
      <c r="T249" s="2">
        <f t="shared" si="41"/>
        <v>41.380373065665097</v>
      </c>
      <c r="U249" s="2">
        <f t="shared" si="42"/>
        <v>0.30774093433490179</v>
      </c>
      <c r="V249" s="2">
        <f t="shared" si="43"/>
        <v>2.6512270839371328</v>
      </c>
    </row>
    <row r="250" spans="1:22" x14ac:dyDescent="0.25">
      <c r="A250" t="s">
        <v>270</v>
      </c>
      <c r="B250" s="2">
        <v>0.371</v>
      </c>
      <c r="C250" s="8">
        <v>0</v>
      </c>
      <c r="D250" s="8">
        <v>22.292999999999999</v>
      </c>
      <c r="E250" s="8">
        <v>4.8000000000000001E-2</v>
      </c>
      <c r="F250" s="8">
        <v>1.054</v>
      </c>
      <c r="G250" s="8">
        <v>0.03</v>
      </c>
      <c r="H250" s="8">
        <v>-1.7999999999999999E-2</v>
      </c>
      <c r="I250" s="8">
        <v>3.5999999999999997E-2</v>
      </c>
      <c r="J250" s="8">
        <v>0.12</v>
      </c>
      <c r="K250" s="8">
        <f t="shared" si="33"/>
        <v>0.23399999999999999</v>
      </c>
      <c r="L250" s="8">
        <f t="shared" si="34"/>
        <v>41.697277999999997</v>
      </c>
      <c r="M250" s="1">
        <f t="shared" si="35"/>
        <v>2185.0209231047397</v>
      </c>
      <c r="N250" s="1">
        <f t="shared" si="36"/>
        <v>6.5577239226467501E+25</v>
      </c>
      <c r="O250" s="2">
        <f t="shared" si="37"/>
        <v>2125.2135884679014</v>
      </c>
      <c r="P250" s="2">
        <f t="shared" si="38"/>
        <v>41.637012920476472</v>
      </c>
      <c r="Q250" s="2">
        <f t="shared" si="39"/>
        <v>6.0265079523524889E-2</v>
      </c>
      <c r="R250" s="2">
        <f t="shared" si="40"/>
        <v>6.632843542217802E-2</v>
      </c>
      <c r="S250" s="12">
        <v>1894.30735717018</v>
      </c>
      <c r="T250" s="2">
        <f t="shared" si="41"/>
        <v>41.387252229971281</v>
      </c>
      <c r="U250" s="2">
        <f t="shared" si="42"/>
        <v>0.3100257700287159</v>
      </c>
      <c r="V250" s="2">
        <f t="shared" si="43"/>
        <v>1.7553506114745097</v>
      </c>
    </row>
    <row r="251" spans="1:22" x14ac:dyDescent="0.25">
      <c r="A251" t="s">
        <v>271</v>
      </c>
      <c r="B251" s="2">
        <v>0.372</v>
      </c>
      <c r="C251" s="8">
        <v>1E-3</v>
      </c>
      <c r="D251" s="8">
        <v>22.22</v>
      </c>
      <c r="E251" s="8">
        <v>3.1E-2</v>
      </c>
      <c r="F251" s="8">
        <v>1.02</v>
      </c>
      <c r="G251" s="8">
        <v>1.2E-2</v>
      </c>
      <c r="H251" s="8">
        <v>-4.1000000000000002E-2</v>
      </c>
      <c r="I251" s="8">
        <v>0.02</v>
      </c>
      <c r="J251" s="8">
        <v>0.12</v>
      </c>
      <c r="K251" s="8">
        <f t="shared" si="33"/>
        <v>0.183</v>
      </c>
      <c r="L251" s="8">
        <f t="shared" si="34"/>
        <v>41.691269999999996</v>
      </c>
      <c r="M251" s="1">
        <f t="shared" si="35"/>
        <v>2178.9837928394013</v>
      </c>
      <c r="N251" s="1">
        <f t="shared" si="36"/>
        <v>6.5774216765431358E+25</v>
      </c>
      <c r="O251" s="2">
        <f t="shared" si="37"/>
        <v>2131.5971957585848</v>
      </c>
      <c r="P251" s="2">
        <f t="shared" si="38"/>
        <v>41.643525701146643</v>
      </c>
      <c r="Q251" s="2">
        <f t="shared" si="39"/>
        <v>4.7744298853352518E-2</v>
      </c>
      <c r="R251" s="2">
        <f t="shared" si="40"/>
        <v>6.8067666188845244E-2</v>
      </c>
      <c r="S251" s="12">
        <v>1900.3030653101061</v>
      </c>
      <c r="T251" s="2">
        <f t="shared" si="41"/>
        <v>41.394114344489822</v>
      </c>
      <c r="U251" s="2">
        <f t="shared" si="42"/>
        <v>0.2971556555101742</v>
      </c>
      <c r="V251" s="2">
        <f t="shared" si="43"/>
        <v>2.6367309743999918</v>
      </c>
    </row>
    <row r="252" spans="1:22" x14ac:dyDescent="0.25">
      <c r="A252" t="s">
        <v>272</v>
      </c>
      <c r="B252" s="2">
        <v>0.373</v>
      </c>
      <c r="C252" s="8">
        <v>1E-3</v>
      </c>
      <c r="D252" s="8">
        <v>22.463000000000001</v>
      </c>
      <c r="E252" s="8">
        <v>3.1E-2</v>
      </c>
      <c r="F252" s="8">
        <v>0.92400000000000004</v>
      </c>
      <c r="G252" s="8">
        <v>1.2E-2</v>
      </c>
      <c r="H252" s="8">
        <v>-2.1999999999999999E-2</v>
      </c>
      <c r="I252" s="8">
        <v>0.02</v>
      </c>
      <c r="J252" s="8">
        <v>0.12</v>
      </c>
      <c r="K252" s="8">
        <f t="shared" si="33"/>
        <v>0.183</v>
      </c>
      <c r="L252" s="8">
        <f t="shared" si="34"/>
        <v>41.860688000000003</v>
      </c>
      <c r="M252" s="1">
        <f t="shared" si="35"/>
        <v>2355.7955658232663</v>
      </c>
      <c r="N252" s="1">
        <f t="shared" si="36"/>
        <v>6.5971285924193877E+25</v>
      </c>
      <c r="O252" s="2">
        <f t="shared" si="37"/>
        <v>2137.9837722447296</v>
      </c>
      <c r="P252" s="2">
        <f t="shared" si="38"/>
        <v>41.650022022485139</v>
      </c>
      <c r="Q252" s="2">
        <f t="shared" si="39"/>
        <v>0.21066597751486427</v>
      </c>
      <c r="R252" s="2">
        <f t="shared" si="40"/>
        <v>1.3252158643821343</v>
      </c>
      <c r="S252" s="12">
        <v>1906.3028590326169</v>
      </c>
      <c r="T252" s="2">
        <f t="shared" si="41"/>
        <v>41.400959496091446</v>
      </c>
      <c r="U252" s="2">
        <f t="shared" si="42"/>
        <v>0.45972850390855768</v>
      </c>
      <c r="V252" s="2">
        <f t="shared" si="43"/>
        <v>6.3110363792887441</v>
      </c>
    </row>
    <row r="253" spans="1:22" x14ac:dyDescent="0.25">
      <c r="A253" t="s">
        <v>273</v>
      </c>
      <c r="B253" s="2">
        <v>0.375</v>
      </c>
      <c r="C253" s="8">
        <v>1E-3</v>
      </c>
      <c r="D253" s="8">
        <v>22.145</v>
      </c>
      <c r="E253" s="8">
        <v>3.1E-2</v>
      </c>
      <c r="F253" s="8">
        <v>0.91100000000000003</v>
      </c>
      <c r="G253" s="8">
        <v>1.4E-2</v>
      </c>
      <c r="H253" s="8">
        <v>-0.12</v>
      </c>
      <c r="I253" s="8">
        <v>2.1999999999999999E-2</v>
      </c>
      <c r="J253" s="8">
        <v>0.12</v>
      </c>
      <c r="K253" s="8">
        <f t="shared" si="33"/>
        <v>0.187</v>
      </c>
      <c r="L253" s="8">
        <f t="shared" si="34"/>
        <v>41.847516999999996</v>
      </c>
      <c r="M253" s="1">
        <f t="shared" si="35"/>
        <v>2341.549806597654</v>
      </c>
      <c r="N253" s="1">
        <f t="shared" si="36"/>
        <v>6.6365698638193896E+25</v>
      </c>
      <c r="O253" s="2">
        <f t="shared" si="37"/>
        <v>2150.7658178011552</v>
      </c>
      <c r="P253" s="2">
        <f t="shared" si="38"/>
        <v>41.662965628010198</v>
      </c>
      <c r="Q253" s="2">
        <f t="shared" si="39"/>
        <v>0.18455137198979799</v>
      </c>
      <c r="R253" s="2">
        <f t="shared" si="40"/>
        <v>0.97398292497116845</v>
      </c>
      <c r="S253" s="12">
        <v>1918.3146828880169</v>
      </c>
      <c r="T253" s="2">
        <f t="shared" si="41"/>
        <v>41.414599254610778</v>
      </c>
      <c r="U253" s="2">
        <f t="shared" si="42"/>
        <v>0.43291774538921857</v>
      </c>
      <c r="V253" s="2">
        <f t="shared" si="43"/>
        <v>5.3595405723035912</v>
      </c>
    </row>
    <row r="254" spans="1:22" x14ac:dyDescent="0.25">
      <c r="A254" t="s">
        <v>274</v>
      </c>
      <c r="B254" s="2">
        <v>0.38100000000000001</v>
      </c>
      <c r="C254" s="8">
        <v>0</v>
      </c>
      <c r="D254" s="8">
        <v>21.943000000000001</v>
      </c>
      <c r="E254" s="8">
        <v>4.2999999999999997E-2</v>
      </c>
      <c r="F254" s="8">
        <v>1.1240000000000001</v>
      </c>
      <c r="G254" s="8">
        <v>0.05</v>
      </c>
      <c r="H254" s="8">
        <v>-4.9000000000000002E-2</v>
      </c>
      <c r="I254" s="8">
        <v>3.6999999999999998E-2</v>
      </c>
      <c r="J254" s="8">
        <v>0.12</v>
      </c>
      <c r="K254" s="8">
        <f t="shared" si="33"/>
        <v>0.25</v>
      </c>
      <c r="L254" s="8">
        <f t="shared" si="34"/>
        <v>41.454598000000004</v>
      </c>
      <c r="M254" s="1">
        <f t="shared" si="35"/>
        <v>1953.9776866182442</v>
      </c>
      <c r="N254" s="1">
        <f t="shared" si="36"/>
        <v>6.755112365440993E+25</v>
      </c>
      <c r="O254" s="2">
        <f t="shared" si="37"/>
        <v>2189.1828262371446</v>
      </c>
      <c r="P254" s="2">
        <f t="shared" si="38"/>
        <v>41.701410162591472</v>
      </c>
      <c r="Q254" s="2">
        <f t="shared" si="39"/>
        <v>-0.24681216259146765</v>
      </c>
      <c r="R254" s="2">
        <f t="shared" si="40"/>
        <v>0.974659897649233</v>
      </c>
      <c r="S254" s="12">
        <v>1954.4476807511412</v>
      </c>
      <c r="T254" s="2">
        <f t="shared" si="41"/>
        <v>41.45512024576459</v>
      </c>
      <c r="U254" s="2">
        <f t="shared" si="42"/>
        <v>-5.2224576458570482E-4</v>
      </c>
      <c r="V254" s="2">
        <f t="shared" si="43"/>
        <v>4.3638502180433184E-6</v>
      </c>
    </row>
    <row r="255" spans="1:22" x14ac:dyDescent="0.25">
      <c r="A255" t="s">
        <v>275</v>
      </c>
      <c r="B255" s="2">
        <v>0.39300000000000002</v>
      </c>
      <c r="C255" s="8">
        <v>0</v>
      </c>
      <c r="D255" s="8">
        <v>22.439</v>
      </c>
      <c r="E255" s="8">
        <v>6.5000000000000002E-2</v>
      </c>
      <c r="F255" s="8">
        <v>1.27</v>
      </c>
      <c r="G255" s="8">
        <v>0.10100000000000001</v>
      </c>
      <c r="H255" s="8">
        <v>0.14399999999999999</v>
      </c>
      <c r="I255" s="8">
        <v>5.2999999999999999E-2</v>
      </c>
      <c r="J255" s="8">
        <v>0.12</v>
      </c>
      <c r="K255" s="8">
        <f t="shared" si="33"/>
        <v>0.33899999999999997</v>
      </c>
      <c r="L255" s="8">
        <f t="shared" si="34"/>
        <v>41.36797</v>
      </c>
      <c r="M255" s="1">
        <f t="shared" si="35"/>
        <v>1877.5607592796741</v>
      </c>
      <c r="N255" s="1">
        <f t="shared" si="36"/>
        <v>6.9931732373142036E+25</v>
      </c>
      <c r="O255" s="2">
        <f t="shared" si="37"/>
        <v>2266.3331005938098</v>
      </c>
      <c r="P255" s="2">
        <f t="shared" si="38"/>
        <v>41.776618709274388</v>
      </c>
      <c r="Q255" s="2">
        <f t="shared" si="39"/>
        <v>-0.40864870927438801</v>
      </c>
      <c r="R255" s="2">
        <f t="shared" si="40"/>
        <v>1.4531179470386033</v>
      </c>
      <c r="S255" s="12">
        <v>2027.1489177923543</v>
      </c>
      <c r="T255" s="2">
        <f t="shared" si="41"/>
        <v>41.534428269365094</v>
      </c>
      <c r="U255" s="2">
        <f t="shared" si="42"/>
        <v>-0.16645826936509422</v>
      </c>
      <c r="V255" s="2">
        <f t="shared" si="43"/>
        <v>0.24110785182884129</v>
      </c>
    </row>
    <row r="256" spans="1:22" x14ac:dyDescent="0.25">
      <c r="A256" t="s">
        <v>276</v>
      </c>
      <c r="B256" s="2">
        <v>0.39500000000000002</v>
      </c>
      <c r="C256" s="8">
        <v>0</v>
      </c>
      <c r="D256" s="8">
        <v>22.271999999999998</v>
      </c>
      <c r="E256" s="8">
        <v>5.2999999999999999E-2</v>
      </c>
      <c r="F256" s="8">
        <v>1.1100000000000001</v>
      </c>
      <c r="G256" s="8">
        <v>4.5999999999999999E-2</v>
      </c>
      <c r="H256" s="8">
        <v>-8.7999999999999995E-2</v>
      </c>
      <c r="I256" s="8">
        <v>4.1000000000000002E-2</v>
      </c>
      <c r="J256" s="8">
        <v>0.12</v>
      </c>
      <c r="K256" s="8">
        <f t="shared" si="33"/>
        <v>0.26</v>
      </c>
      <c r="L256" s="8">
        <f t="shared" si="34"/>
        <v>41.90361</v>
      </c>
      <c r="M256" s="1">
        <f t="shared" si="35"/>
        <v>2402.8242150142287</v>
      </c>
      <c r="N256" s="1">
        <f t="shared" si="36"/>
        <v>7.0329754944022773E+25</v>
      </c>
      <c r="O256" s="2">
        <f t="shared" si="37"/>
        <v>2279.2321336444611</v>
      </c>
      <c r="P256" s="2">
        <f t="shared" si="38"/>
        <v>41.788942795772094</v>
      </c>
      <c r="Q256" s="2">
        <f t="shared" si="39"/>
        <v>0.11466720422790644</v>
      </c>
      <c r="R256" s="2">
        <f t="shared" si="40"/>
        <v>0.19450543972550891</v>
      </c>
      <c r="S256" s="12">
        <v>2039.32174373765</v>
      </c>
      <c r="T256" s="2">
        <f t="shared" si="41"/>
        <v>41.547428749063698</v>
      </c>
      <c r="U256" s="2">
        <f t="shared" si="42"/>
        <v>0.35618125093630226</v>
      </c>
      <c r="V256" s="2">
        <f t="shared" si="43"/>
        <v>1.8767024189134482</v>
      </c>
    </row>
    <row r="257" spans="1:22" x14ac:dyDescent="0.25">
      <c r="A257" t="s">
        <v>277</v>
      </c>
      <c r="B257" s="2">
        <v>0.40200000000000002</v>
      </c>
      <c r="C257" s="8">
        <v>1E-3</v>
      </c>
      <c r="D257" s="8">
        <v>22.614999999999998</v>
      </c>
      <c r="E257" s="8">
        <v>3.4000000000000002E-2</v>
      </c>
      <c r="F257" s="8">
        <v>0.93200000000000005</v>
      </c>
      <c r="G257" s="8">
        <v>1.6E-2</v>
      </c>
      <c r="H257" s="8">
        <v>2.8000000000000001E-2</v>
      </c>
      <c r="I257" s="8">
        <v>2.1999999999999999E-2</v>
      </c>
      <c r="J257" s="8">
        <v>0.12</v>
      </c>
      <c r="K257" s="8">
        <f t="shared" si="33"/>
        <v>0.192</v>
      </c>
      <c r="L257" s="8">
        <f t="shared" si="34"/>
        <v>41.857363999999997</v>
      </c>
      <c r="M257" s="1">
        <f t="shared" si="35"/>
        <v>2352.19217024009</v>
      </c>
      <c r="N257" s="1">
        <f t="shared" si="36"/>
        <v>7.1725631780620405E+25</v>
      </c>
      <c r="O257" s="2">
        <f t="shared" si="37"/>
        <v>2324.4694210929324</v>
      </c>
      <c r="P257" s="2">
        <f t="shared" si="38"/>
        <v>41.831619186585733</v>
      </c>
      <c r="Q257" s="2">
        <f t="shared" si="39"/>
        <v>2.574481341426349E-2</v>
      </c>
      <c r="R257" s="2">
        <f t="shared" si="40"/>
        <v>1.7979476392557543E-2</v>
      </c>
      <c r="S257" s="12">
        <v>2082.0514345972879</v>
      </c>
      <c r="T257" s="2">
        <f t="shared" si="41"/>
        <v>41.59245727017101</v>
      </c>
      <c r="U257" s="2">
        <f t="shared" si="42"/>
        <v>0.26490672982898644</v>
      </c>
      <c r="V257" s="2">
        <f t="shared" si="43"/>
        <v>1.9036343182695206</v>
      </c>
    </row>
    <row r="258" spans="1:22" x14ac:dyDescent="0.25">
      <c r="A258" t="s">
        <v>278</v>
      </c>
      <c r="B258" s="2">
        <v>0.40400000000000003</v>
      </c>
      <c r="C258" s="8">
        <v>1E-3</v>
      </c>
      <c r="D258" s="8">
        <v>22.614999999999998</v>
      </c>
      <c r="E258" s="8">
        <v>0.03</v>
      </c>
      <c r="F258" s="8">
        <v>0.96299999999999997</v>
      </c>
      <c r="G258" s="8">
        <v>1.2E-2</v>
      </c>
      <c r="H258" s="8">
        <v>-3.5999999999999997E-2</v>
      </c>
      <c r="I258" s="8">
        <v>0.02</v>
      </c>
      <c r="J258" s="8">
        <v>0.12</v>
      </c>
      <c r="K258" s="8">
        <f t="shared" si="33"/>
        <v>0.182</v>
      </c>
      <c r="L258" s="8">
        <f t="shared" si="34"/>
        <v>42.062241</v>
      </c>
      <c r="M258" s="1">
        <f t="shared" si="35"/>
        <v>2584.9265068886411</v>
      </c>
      <c r="N258" s="1">
        <f t="shared" si="36"/>
        <v>7.2125249458626938E+25</v>
      </c>
      <c r="O258" s="2">
        <f t="shared" si="37"/>
        <v>2337.420148044986</v>
      </c>
      <c r="P258" s="2">
        <f t="shared" si="38"/>
        <v>41.843683916213067</v>
      </c>
      <c r="Q258" s="2">
        <f t="shared" si="39"/>
        <v>0.2185570837869335</v>
      </c>
      <c r="R258" s="2">
        <f t="shared" si="40"/>
        <v>1.4420721794906615</v>
      </c>
      <c r="S258" s="12">
        <v>2094.2954122132587</v>
      </c>
      <c r="T258" s="2">
        <f t="shared" si="41"/>
        <v>41.60518970678396</v>
      </c>
      <c r="U258" s="2">
        <f t="shared" si="42"/>
        <v>0.45705129321603977</v>
      </c>
      <c r="V258" s="2">
        <f t="shared" si="43"/>
        <v>6.3064812411077877</v>
      </c>
    </row>
    <row r="259" spans="1:22" x14ac:dyDescent="0.25">
      <c r="A259" t="s">
        <v>279</v>
      </c>
      <c r="B259" s="2">
        <v>0.40699999999999997</v>
      </c>
      <c r="C259" s="8">
        <v>1E-3</v>
      </c>
      <c r="D259" s="8">
        <v>22.808</v>
      </c>
      <c r="E259" s="8">
        <v>3.2000000000000001E-2</v>
      </c>
      <c r="F259" s="8">
        <v>0.89100000000000001</v>
      </c>
      <c r="G259" s="8">
        <v>1.2999999999999999E-2</v>
      </c>
      <c r="H259" s="8">
        <v>-2.3E-2</v>
      </c>
      <c r="I259" s="8">
        <v>2.1000000000000001E-2</v>
      </c>
      <c r="J259" s="8">
        <v>0.12</v>
      </c>
      <c r="K259" s="8">
        <f t="shared" si="33"/>
        <v>0.186</v>
      </c>
      <c r="L259" s="8">
        <f t="shared" si="34"/>
        <v>42.203966999999999</v>
      </c>
      <c r="M259" s="1">
        <f t="shared" si="35"/>
        <v>2759.2649227798406</v>
      </c>
      <c r="N259" s="1">
        <f t="shared" si="36"/>
        <v>7.2725335773670108E+25</v>
      </c>
      <c r="O259" s="2">
        <f t="shared" si="37"/>
        <v>2356.8676210710942</v>
      </c>
      <c r="P259" s="2">
        <f t="shared" si="38"/>
        <v>41.861675950269301</v>
      </c>
      <c r="Q259" s="2">
        <f t="shared" si="39"/>
        <v>0.34229104973069724</v>
      </c>
      <c r="R259" s="2">
        <f t="shared" si="40"/>
        <v>3.3866100915060309</v>
      </c>
      <c r="S259" s="12">
        <v>2112.6908101756885</v>
      </c>
      <c r="T259" s="2">
        <f t="shared" si="41"/>
        <v>41.624179716071083</v>
      </c>
      <c r="U259" s="2">
        <f t="shared" si="42"/>
        <v>0.57978728392891554</v>
      </c>
      <c r="V259" s="2">
        <f t="shared" si="43"/>
        <v>9.7165364379023274</v>
      </c>
    </row>
    <row r="260" spans="1:22" x14ac:dyDescent="0.25">
      <c r="A260" t="s">
        <v>280</v>
      </c>
      <c r="B260" s="2">
        <v>0.41099999999999998</v>
      </c>
      <c r="C260" s="8">
        <v>1E-3</v>
      </c>
      <c r="D260" s="8">
        <v>22.562000000000001</v>
      </c>
      <c r="E260" s="8">
        <v>3.1E-2</v>
      </c>
      <c r="F260" s="8">
        <v>1.04</v>
      </c>
      <c r="G260" s="8">
        <v>1.2999999999999999E-2</v>
      </c>
      <c r="H260" s="8">
        <v>-5.0000000000000001E-3</v>
      </c>
      <c r="I260" s="8">
        <v>0.02</v>
      </c>
      <c r="J260" s="8">
        <v>0.12</v>
      </c>
      <c r="K260" s="8">
        <f t="shared" si="33"/>
        <v>0.184</v>
      </c>
      <c r="L260" s="8">
        <f t="shared" si="34"/>
        <v>41.92353</v>
      </c>
      <c r="M260" s="1">
        <f t="shared" si="35"/>
        <v>2424.9679329721316</v>
      </c>
      <c r="N260" s="1">
        <f t="shared" si="36"/>
        <v>7.3526677885875677E+25</v>
      </c>
      <c r="O260" s="2">
        <f t="shared" si="37"/>
        <v>2382.8373502936001</v>
      </c>
      <c r="P260" s="2">
        <f t="shared" si="38"/>
        <v>41.885471994609439</v>
      </c>
      <c r="Q260" s="2">
        <f t="shared" si="39"/>
        <v>3.8058005390560368E-2</v>
      </c>
      <c r="R260" s="2">
        <f t="shared" si="40"/>
        <v>4.2781538702384277E-2</v>
      </c>
      <c r="S260" s="12">
        <v>2137.2727412365907</v>
      </c>
      <c r="T260" s="2">
        <f t="shared" si="41"/>
        <v>41.649299734020879</v>
      </c>
      <c r="U260" s="2">
        <f t="shared" si="42"/>
        <v>0.2742302659791207</v>
      </c>
      <c r="V260" s="2">
        <f t="shared" si="43"/>
        <v>2.2212381491900786</v>
      </c>
    </row>
    <row r="261" spans="1:22" x14ac:dyDescent="0.25">
      <c r="A261" t="s">
        <v>281</v>
      </c>
      <c r="B261" s="2">
        <v>0.41499999999999998</v>
      </c>
      <c r="C261" s="8">
        <v>2E-3</v>
      </c>
      <c r="D261" s="8">
        <v>22.559000000000001</v>
      </c>
      <c r="E261" s="8">
        <v>3.4000000000000002E-2</v>
      </c>
      <c r="F261" s="8">
        <v>1.034</v>
      </c>
      <c r="G261" s="8">
        <v>1.7999999999999999E-2</v>
      </c>
      <c r="H261" s="8">
        <v>-1.2E-2</v>
      </c>
      <c r="I261" s="8">
        <v>2.5000000000000001E-2</v>
      </c>
      <c r="J261" s="8">
        <v>0.12</v>
      </c>
      <c r="K261" s="8">
        <f t="shared" si="33"/>
        <v>0.19700000000000001</v>
      </c>
      <c r="L261" s="8">
        <f t="shared" si="34"/>
        <v>41.941558000000001</v>
      </c>
      <c r="M261" s="1">
        <f t="shared" si="35"/>
        <v>2445.1843077940916</v>
      </c>
      <c r="N261" s="1">
        <f t="shared" si="36"/>
        <v>7.4329415925561681E+25</v>
      </c>
      <c r="O261" s="2">
        <f t="shared" si="37"/>
        <v>2408.8523184448095</v>
      </c>
      <c r="P261" s="2">
        <f t="shared" si="38"/>
        <v>41.909050875768969</v>
      </c>
      <c r="Q261" s="2">
        <f t="shared" si="39"/>
        <v>3.2507124231031526E-2</v>
      </c>
      <c r="R261" s="2">
        <f t="shared" si="40"/>
        <v>2.7228558472821171E-2</v>
      </c>
      <c r="S261" s="12">
        <v>2161.9169398601312</v>
      </c>
      <c r="T261" s="2">
        <f t="shared" si="41"/>
        <v>41.674195022431164</v>
      </c>
      <c r="U261" s="2">
        <f t="shared" si="42"/>
        <v>0.26736297756883687</v>
      </c>
      <c r="V261" s="2">
        <f t="shared" si="43"/>
        <v>1.8419171268127075</v>
      </c>
    </row>
    <row r="262" spans="1:22" x14ac:dyDescent="0.25">
      <c r="A262" t="s">
        <v>282</v>
      </c>
      <c r="B262" s="2">
        <v>0.41699999999999998</v>
      </c>
      <c r="C262" s="8">
        <v>1E-3</v>
      </c>
      <c r="D262" s="8">
        <v>22.488</v>
      </c>
      <c r="E262" s="8">
        <v>3.4000000000000002E-2</v>
      </c>
      <c r="F262" s="8">
        <v>1.125</v>
      </c>
      <c r="G262" s="8">
        <v>2.1999999999999999E-2</v>
      </c>
      <c r="H262" s="8">
        <v>2.1000000000000001E-2</v>
      </c>
      <c r="I262" s="8">
        <v>2.1999999999999999E-2</v>
      </c>
      <c r="J262" s="8">
        <v>0.12</v>
      </c>
      <c r="K262" s="8">
        <f t="shared" si="33"/>
        <v>0.19800000000000001</v>
      </c>
      <c r="L262" s="8">
        <f t="shared" si="34"/>
        <v>41.780645</v>
      </c>
      <c r="M262" s="1">
        <f t="shared" si="35"/>
        <v>2270.5391778768308</v>
      </c>
      <c r="N262" s="1">
        <f t="shared" si="36"/>
        <v>7.4731306252414217E+25</v>
      </c>
      <c r="O262" s="2">
        <f t="shared" si="37"/>
        <v>2421.8766969300214</v>
      </c>
      <c r="P262" s="2">
        <f t="shared" si="38"/>
        <v>41.920760142412462</v>
      </c>
      <c r="Q262" s="2">
        <f t="shared" si="39"/>
        <v>-0.14011514241246203</v>
      </c>
      <c r="R262" s="2">
        <f t="shared" si="40"/>
        <v>0.50077168486033352</v>
      </c>
      <c r="S262" s="12">
        <v>2174.2622926311897</v>
      </c>
      <c r="T262" s="2">
        <f t="shared" si="41"/>
        <v>41.68655967062621</v>
      </c>
      <c r="U262" s="2">
        <f t="shared" si="42"/>
        <v>9.4085329373790216E-2</v>
      </c>
      <c r="V262" s="2">
        <f t="shared" si="43"/>
        <v>0.225794541459407</v>
      </c>
    </row>
    <row r="263" spans="1:22" x14ac:dyDescent="0.25">
      <c r="A263" t="s">
        <v>283</v>
      </c>
      <c r="B263" s="2">
        <v>0.41899999999999998</v>
      </c>
      <c r="C263" s="8">
        <v>1E-3</v>
      </c>
      <c r="D263" s="8">
        <v>22.965</v>
      </c>
      <c r="E263" s="8">
        <v>3.3000000000000002E-2</v>
      </c>
      <c r="F263" s="8">
        <v>0.97</v>
      </c>
      <c r="G263" s="8">
        <v>2.5000000000000001E-2</v>
      </c>
      <c r="H263" s="8">
        <v>4.4999999999999998E-2</v>
      </c>
      <c r="I263" s="8">
        <v>2.5000000000000001E-2</v>
      </c>
      <c r="J263" s="8">
        <v>0.12</v>
      </c>
      <c r="K263" s="8">
        <f t="shared" ref="K263:K326" si="44">PeakMagnitudeError+StretchError+ColorError+ScatterError</f>
        <v>0.20300000000000001</v>
      </c>
      <c r="L263" s="8">
        <f t="shared" ref="L263:L326" si="45">PeakMagnitude+α*(Stretch-1)-β*Color-Mb</f>
        <v>42.159739999999999</v>
      </c>
      <c r="M263" s="1">
        <f t="shared" ref="M263:M326" si="46">10^((ObservedDistanceModuli-25)/5)</f>
        <v>2703.634626590987</v>
      </c>
      <c r="N263" s="1">
        <f t="shared" ref="N263:N326" si="47">(RedShift*Age*(2*InitialTangentVelocity-UniverseAcceleration*Age))/(2+RedShift)*(1+RedShift)</f>
        <v>7.5133542967912192E+25</v>
      </c>
      <c r="O263" s="2">
        <f t="shared" ref="O263:O326" si="48">N263/Mpc</f>
        <v>2434.9123011067213</v>
      </c>
      <c r="P263" s="2">
        <f t="shared" ref="P263:P326" si="49">(LOG10(T2LuminousDistance)*5+25)</f>
        <v>41.932416618654074</v>
      </c>
      <c r="Q263" s="2">
        <f t="shared" ref="Q263:Q326" si="50">ObservedDistanceModuli-T2DistanceModuli</f>
        <v>0.22732338134592567</v>
      </c>
      <c r="R263" s="2">
        <f t="shared" ref="R263:R326" si="51">(ObservedDistanceModuli-T2DistanceModuli)^2/TotalError^2</f>
        <v>1.253995964632608</v>
      </c>
      <c r="S263" s="12">
        <v>2186.623096234583</v>
      </c>
      <c r="T263" s="2">
        <f t="shared" ref="T263:T326" si="52">(LOG10(ΛCDMLuminousDistance)*5+25)</f>
        <v>41.698869655170043</v>
      </c>
      <c r="U263" s="2">
        <f t="shared" ref="U263:U326" si="53">ObservedDistanceModuli-ΛCDMDistanceModuli</f>
        <v>0.46087034482995648</v>
      </c>
      <c r="V263" s="2">
        <f t="shared" ref="V263:V326" si="54">(ObservedDistanceModuli-ΛCDMDistanceModuli)^2/TotalError^2</f>
        <v>5.1542496722483673</v>
      </c>
    </row>
    <row r="264" spans="1:22" x14ac:dyDescent="0.25">
      <c r="A264" t="s">
        <v>284</v>
      </c>
      <c r="B264" s="2">
        <v>0.42399999999999999</v>
      </c>
      <c r="C264" s="8">
        <v>1E-3</v>
      </c>
      <c r="D264" s="8">
        <v>22.753</v>
      </c>
      <c r="E264" s="8">
        <v>4.7E-2</v>
      </c>
      <c r="F264" s="8">
        <v>1.131</v>
      </c>
      <c r="G264" s="8">
        <v>1.7000000000000001E-2</v>
      </c>
      <c r="H264" s="8">
        <v>0.124</v>
      </c>
      <c r="I264" s="8">
        <v>2.3E-2</v>
      </c>
      <c r="J264" s="8">
        <v>0.12</v>
      </c>
      <c r="K264" s="8">
        <f t="shared" si="44"/>
        <v>0.20699999999999999</v>
      </c>
      <c r="L264" s="8">
        <f t="shared" si="45"/>
        <v>41.724136999999999</v>
      </c>
      <c r="M264" s="1">
        <f t="shared" si="46"/>
        <v>2212.2153425669367</v>
      </c>
      <c r="N264" s="1">
        <f t="shared" si="47"/>
        <v>7.6140644580308937E+25</v>
      </c>
      <c r="O264" s="2">
        <f t="shared" si="48"/>
        <v>2467.5502416007098</v>
      </c>
      <c r="P264" s="2">
        <f t="shared" si="49"/>
        <v>41.961330020341229</v>
      </c>
      <c r="Q264" s="2">
        <f t="shared" si="50"/>
        <v>-0.23719302034123046</v>
      </c>
      <c r="R264" s="2">
        <f t="shared" si="51"/>
        <v>1.3129951433778004</v>
      </c>
      <c r="S264" s="12">
        <v>2217.5924503192637</v>
      </c>
      <c r="T264" s="2">
        <f t="shared" si="52"/>
        <v>41.729408672003743</v>
      </c>
      <c r="U264" s="2">
        <f t="shared" si="53"/>
        <v>-5.2716720037437881E-3</v>
      </c>
      <c r="V264" s="2">
        <f t="shared" si="54"/>
        <v>6.4856882809531257E-4</v>
      </c>
    </row>
    <row r="265" spans="1:22" x14ac:dyDescent="0.25">
      <c r="A265" t="s">
        <v>285</v>
      </c>
      <c r="B265" s="2">
        <v>0.42699999999999999</v>
      </c>
      <c r="C265" s="8">
        <v>1E-3</v>
      </c>
      <c r="D265" s="8">
        <v>23.407</v>
      </c>
      <c r="E265" s="8">
        <v>3.6999999999999998E-2</v>
      </c>
      <c r="F265" s="8">
        <v>1.1000000000000001</v>
      </c>
      <c r="G265" s="8">
        <v>2.3E-2</v>
      </c>
      <c r="H265" s="8">
        <v>0.193</v>
      </c>
      <c r="I265" s="8">
        <v>2.5999999999999999E-2</v>
      </c>
      <c r="J265" s="8">
        <v>0.12</v>
      </c>
      <c r="K265" s="8">
        <f t="shared" si="44"/>
        <v>0.20599999999999999</v>
      </c>
      <c r="L265" s="8">
        <f t="shared" si="45"/>
        <v>42.157610000000005</v>
      </c>
      <c r="M265" s="1">
        <f t="shared" si="46"/>
        <v>2700.9839282564585</v>
      </c>
      <c r="N265" s="1">
        <f t="shared" si="47"/>
        <v>7.6745936589602224E+25</v>
      </c>
      <c r="O265" s="2">
        <f t="shared" si="48"/>
        <v>2487.1664196880292</v>
      </c>
      <c r="P265" s="2">
        <f t="shared" si="49"/>
        <v>41.978524227383303</v>
      </c>
      <c r="Q265" s="2">
        <f t="shared" si="50"/>
        <v>0.17908577261670189</v>
      </c>
      <c r="R265" s="2">
        <f t="shared" si="51"/>
        <v>0.75576665929213549</v>
      </c>
      <c r="S265" s="12">
        <v>2236.2200507366765</v>
      </c>
      <c r="T265" s="2">
        <f t="shared" si="52"/>
        <v>41.747572685961224</v>
      </c>
      <c r="U265" s="2">
        <f t="shared" si="53"/>
        <v>0.41003731403878163</v>
      </c>
      <c r="V265" s="2">
        <f t="shared" si="54"/>
        <v>3.9619803681812247</v>
      </c>
    </row>
    <row r="266" spans="1:22" x14ac:dyDescent="0.25">
      <c r="A266" t="s">
        <v>286</v>
      </c>
      <c r="B266" s="2">
        <v>0.435</v>
      </c>
      <c r="C266" s="8">
        <v>1E-3</v>
      </c>
      <c r="D266" s="8">
        <v>22.582000000000001</v>
      </c>
      <c r="E266" s="8">
        <v>3.5000000000000003E-2</v>
      </c>
      <c r="F266" s="8">
        <v>1.085</v>
      </c>
      <c r="G266" s="8">
        <v>2.5999999999999999E-2</v>
      </c>
      <c r="H266" s="8">
        <v>-1.4999999999999999E-2</v>
      </c>
      <c r="I266" s="8">
        <v>2.1999999999999999E-2</v>
      </c>
      <c r="J266" s="8">
        <v>0.12</v>
      </c>
      <c r="K266" s="8">
        <f t="shared" si="44"/>
        <v>0.20299999999999999</v>
      </c>
      <c r="L266" s="8">
        <f t="shared" si="45"/>
        <v>41.981445000000001</v>
      </c>
      <c r="M266" s="1">
        <f t="shared" si="46"/>
        <v>2490.5140723268805</v>
      </c>
      <c r="N266" s="1">
        <f t="shared" si="47"/>
        <v>7.8363804260205854E+25</v>
      </c>
      <c r="O266" s="2">
        <f t="shared" si="48"/>
        <v>2539.5979401129089</v>
      </c>
      <c r="P266" s="2">
        <f t="shared" si="49"/>
        <v>42.023824830714602</v>
      </c>
      <c r="Q266" s="2">
        <f t="shared" si="50"/>
        <v>-4.2379830714601496E-2</v>
      </c>
      <c r="R266" s="2">
        <f t="shared" si="51"/>
        <v>4.3583927088701027E-2</v>
      </c>
      <c r="S266" s="12">
        <v>2286.0611572291796</v>
      </c>
      <c r="T266" s="2">
        <f t="shared" si="52"/>
        <v>41.795439222798251</v>
      </c>
      <c r="U266" s="2">
        <f t="shared" si="53"/>
        <v>0.18600577720174982</v>
      </c>
      <c r="V266" s="2">
        <f t="shared" si="54"/>
        <v>0.83957749890623412</v>
      </c>
    </row>
    <row r="267" spans="1:22" x14ac:dyDescent="0.25">
      <c r="A267" t="s">
        <v>287</v>
      </c>
      <c r="B267" s="2">
        <v>0.437</v>
      </c>
      <c r="C267" s="8">
        <v>1E-3</v>
      </c>
      <c r="D267" s="8">
        <v>22.521000000000001</v>
      </c>
      <c r="E267" s="8">
        <v>3.1E-2</v>
      </c>
      <c r="F267" s="8">
        <v>0.96</v>
      </c>
      <c r="G267" s="8">
        <v>1.2999999999999999E-2</v>
      </c>
      <c r="H267" s="8">
        <v>-2.7E-2</v>
      </c>
      <c r="I267" s="8">
        <v>1.9E-2</v>
      </c>
      <c r="J267" s="8">
        <v>0.12</v>
      </c>
      <c r="K267" s="8">
        <f t="shared" si="44"/>
        <v>0.183</v>
      </c>
      <c r="L267" s="8">
        <f t="shared" si="45"/>
        <v>41.939630000000001</v>
      </c>
      <c r="M267" s="1">
        <f t="shared" si="46"/>
        <v>2443.0142488615443</v>
      </c>
      <c r="N267" s="1">
        <f t="shared" si="47"/>
        <v>7.8769120180493341E+25</v>
      </c>
      <c r="O267" s="2">
        <f t="shared" si="48"/>
        <v>2552.7333345207553</v>
      </c>
      <c r="P267" s="2">
        <f t="shared" si="49"/>
        <v>42.035027247944235</v>
      </c>
      <c r="Q267" s="2">
        <f t="shared" si="50"/>
        <v>-9.5397247944234209E-2</v>
      </c>
      <c r="R267" s="2">
        <f t="shared" si="51"/>
        <v>0.27174997507640414</v>
      </c>
      <c r="S267" s="12">
        <v>2298.5592981404257</v>
      </c>
      <c r="T267" s="2">
        <f t="shared" si="52"/>
        <v>41.807278560712227</v>
      </c>
      <c r="U267" s="2">
        <f t="shared" si="53"/>
        <v>0.13235143928777404</v>
      </c>
      <c r="V267" s="2">
        <f t="shared" si="54"/>
        <v>0.52306439372765201</v>
      </c>
    </row>
    <row r="268" spans="1:22" x14ac:dyDescent="0.25">
      <c r="A268" t="s">
        <v>288</v>
      </c>
      <c r="B268" s="2">
        <v>0.442</v>
      </c>
      <c r="C268" s="8">
        <v>1E-3</v>
      </c>
      <c r="D268" s="8">
        <v>23.007999999999999</v>
      </c>
      <c r="E268" s="8">
        <v>4.5999999999999999E-2</v>
      </c>
      <c r="F268" s="8">
        <v>0.82899999999999996</v>
      </c>
      <c r="G268" s="8">
        <v>2.7E-2</v>
      </c>
      <c r="H268" s="8">
        <v>0.03</v>
      </c>
      <c r="I268" s="8">
        <v>3.6999999999999998E-2</v>
      </c>
      <c r="J268" s="8">
        <v>0.12</v>
      </c>
      <c r="K268" s="8">
        <f t="shared" si="44"/>
        <v>0.22999999999999998</v>
      </c>
      <c r="L268" s="8">
        <f t="shared" si="45"/>
        <v>42.228962999999993</v>
      </c>
      <c r="M268" s="1">
        <f t="shared" si="46"/>
        <v>2791.2105631395025</v>
      </c>
      <c r="N268" s="1">
        <f t="shared" si="47"/>
        <v>7.9783886609569152E+25</v>
      </c>
      <c r="O268" s="2">
        <f t="shared" si="48"/>
        <v>2585.619674806373</v>
      </c>
      <c r="P268" s="2">
        <f t="shared" si="49"/>
        <v>42.062823218962812</v>
      </c>
      <c r="Q268" s="2">
        <f t="shared" si="50"/>
        <v>0.16613978103718097</v>
      </c>
      <c r="R268" s="2">
        <f t="shared" si="51"/>
        <v>0.52178500648549042</v>
      </c>
      <c r="S268" s="12">
        <v>2329.8705011229695</v>
      </c>
      <c r="T268" s="2">
        <f t="shared" si="52"/>
        <v>41.836658913690904</v>
      </c>
      <c r="U268" s="2">
        <f t="shared" si="53"/>
        <v>0.39230408630908897</v>
      </c>
      <c r="V268" s="2">
        <f t="shared" si="54"/>
        <v>2.9093099458376024</v>
      </c>
    </row>
    <row r="269" spans="1:22" x14ac:dyDescent="0.25">
      <c r="A269" t="s">
        <v>289</v>
      </c>
      <c r="B269" s="2">
        <v>0.442</v>
      </c>
      <c r="C269" s="8">
        <v>0</v>
      </c>
      <c r="D269" s="8">
        <v>22.684999999999999</v>
      </c>
      <c r="E269" s="8">
        <v>3.1E-2</v>
      </c>
      <c r="F269" s="8">
        <v>1.1220000000000001</v>
      </c>
      <c r="G269" s="8">
        <v>2.4E-2</v>
      </c>
      <c r="H269" s="8">
        <v>2.1000000000000001E-2</v>
      </c>
      <c r="I269" s="8">
        <v>0.02</v>
      </c>
      <c r="J269" s="8">
        <v>0.12</v>
      </c>
      <c r="K269" s="8">
        <f t="shared" si="44"/>
        <v>0.19500000000000001</v>
      </c>
      <c r="L269" s="8">
        <f t="shared" si="45"/>
        <v>41.977204</v>
      </c>
      <c r="M269" s="1">
        <f t="shared" si="46"/>
        <v>2485.6547139896479</v>
      </c>
      <c r="N269" s="1">
        <f t="shared" si="47"/>
        <v>7.9783886609569152E+25</v>
      </c>
      <c r="O269" s="2">
        <f t="shared" si="48"/>
        <v>2585.619674806373</v>
      </c>
      <c r="P269" s="2">
        <f t="shared" si="49"/>
        <v>42.062823218962812</v>
      </c>
      <c r="Q269" s="2">
        <f t="shared" si="50"/>
        <v>-8.5619218962811772E-2</v>
      </c>
      <c r="R269" s="2">
        <f t="shared" si="51"/>
        <v>0.1927850271085314</v>
      </c>
      <c r="S269" s="12">
        <v>2329.8705011229695</v>
      </c>
      <c r="T269" s="2">
        <f t="shared" si="52"/>
        <v>41.836658913690904</v>
      </c>
      <c r="U269" s="2">
        <f t="shared" si="53"/>
        <v>0.14054508630909623</v>
      </c>
      <c r="V269" s="2">
        <f t="shared" si="54"/>
        <v>0.51947196017439334</v>
      </c>
    </row>
    <row r="270" spans="1:22" x14ac:dyDescent="0.25">
      <c r="A270" t="s">
        <v>290</v>
      </c>
      <c r="B270" s="2">
        <v>0.44900000000000001</v>
      </c>
      <c r="C270" s="8">
        <v>1E-3</v>
      </c>
      <c r="D270" s="8">
        <v>22.654</v>
      </c>
      <c r="E270" s="8">
        <v>4.8000000000000001E-2</v>
      </c>
      <c r="F270" s="8">
        <v>1.0660000000000001</v>
      </c>
      <c r="G270" s="8">
        <v>3.3000000000000002E-2</v>
      </c>
      <c r="H270" s="8">
        <v>-5.2999999999999999E-2</v>
      </c>
      <c r="I270" s="8">
        <v>0.04</v>
      </c>
      <c r="J270" s="8">
        <v>0.12</v>
      </c>
      <c r="K270" s="8">
        <f t="shared" si="44"/>
        <v>0.24099999999999999</v>
      </c>
      <c r="L270" s="8">
        <f t="shared" si="45"/>
        <v>42.169592000000002</v>
      </c>
      <c r="M270" s="1">
        <f t="shared" si="46"/>
        <v>2715.9289224478985</v>
      </c>
      <c r="N270" s="1">
        <f t="shared" si="47"/>
        <v>8.120808325916025E+25</v>
      </c>
      <c r="O270" s="2">
        <f t="shared" si="48"/>
        <v>2631.7747448895893</v>
      </c>
      <c r="P270" s="2">
        <f t="shared" si="49"/>
        <v>42.101243575093534</v>
      </c>
      <c r="Q270" s="2">
        <f t="shared" si="50"/>
        <v>6.8348424906467642E-2</v>
      </c>
      <c r="R270" s="2">
        <f t="shared" si="51"/>
        <v>8.0430901451336009E-2</v>
      </c>
      <c r="S270" s="12">
        <v>2373.8633110592295</v>
      </c>
      <c r="T270" s="2">
        <f t="shared" si="52"/>
        <v>41.87727854158112</v>
      </c>
      <c r="U270" s="2">
        <f t="shared" si="53"/>
        <v>0.29231345841888157</v>
      </c>
      <c r="V270" s="2">
        <f t="shared" si="54"/>
        <v>1.4711722933972764</v>
      </c>
    </row>
    <row r="271" spans="1:22" x14ac:dyDescent="0.25">
      <c r="A271" t="s">
        <v>291</v>
      </c>
      <c r="B271" s="2">
        <v>0.45</v>
      </c>
      <c r="C271" s="8">
        <v>0.01</v>
      </c>
      <c r="D271" s="8">
        <v>22.916</v>
      </c>
      <c r="E271" s="8">
        <v>3.5999999999999997E-2</v>
      </c>
      <c r="F271" s="8">
        <v>0.83099999999999996</v>
      </c>
      <c r="G271" s="8">
        <v>2.1000000000000001E-2</v>
      </c>
      <c r="H271" s="8">
        <v>4.2000000000000003E-2</v>
      </c>
      <c r="I271" s="8">
        <v>3.3000000000000002E-2</v>
      </c>
      <c r="J271" s="8">
        <v>0.12</v>
      </c>
      <c r="K271" s="8">
        <f t="shared" si="44"/>
        <v>0.21</v>
      </c>
      <c r="L271" s="8">
        <f t="shared" si="45"/>
        <v>42.099696999999999</v>
      </c>
      <c r="M271" s="1">
        <f t="shared" si="46"/>
        <v>2629.9009986988353</v>
      </c>
      <c r="N271" s="1">
        <f t="shared" si="47"/>
        <v>8.141187372833728E+25</v>
      </c>
      <c r="O271" s="2">
        <f t="shared" si="48"/>
        <v>2638.3791442117322</v>
      </c>
      <c r="P271" s="2">
        <f t="shared" si="49"/>
        <v>42.106686026573549</v>
      </c>
      <c r="Q271" s="2">
        <f t="shared" si="50"/>
        <v>-6.989026573549495E-3</v>
      </c>
      <c r="R271" s="2">
        <f t="shared" si="51"/>
        <v>1.1076302141900453E-3</v>
      </c>
      <c r="S271" s="12">
        <v>2380.1628819421226</v>
      </c>
      <c r="T271" s="2">
        <f t="shared" si="52"/>
        <v>41.883033390972003</v>
      </c>
      <c r="U271" s="2">
        <f t="shared" si="53"/>
        <v>0.21666360902799653</v>
      </c>
      <c r="V271" s="2">
        <f t="shared" si="54"/>
        <v>1.0644698294112596</v>
      </c>
    </row>
    <row r="272" spans="1:22" x14ac:dyDescent="0.25">
      <c r="A272" t="s">
        <v>292</v>
      </c>
      <c r="B272" s="2">
        <v>0.45100000000000001</v>
      </c>
      <c r="C272" s="8">
        <v>1E-3</v>
      </c>
      <c r="D272" s="8">
        <v>23.259</v>
      </c>
      <c r="E272" s="8">
        <v>3.3000000000000002E-2</v>
      </c>
      <c r="F272" s="8">
        <v>0.97599999999999998</v>
      </c>
      <c r="G272" s="8">
        <v>1.4999999999999999E-2</v>
      </c>
      <c r="H272" s="8">
        <v>0.223</v>
      </c>
      <c r="I272" s="8">
        <v>2.4E-2</v>
      </c>
      <c r="J272" s="8">
        <v>0.12</v>
      </c>
      <c r="K272" s="8">
        <f t="shared" si="44"/>
        <v>0.192</v>
      </c>
      <c r="L272" s="8">
        <f t="shared" si="45"/>
        <v>41.897481999999997</v>
      </c>
      <c r="M272" s="1">
        <f t="shared" si="46"/>
        <v>2396.052888046861</v>
      </c>
      <c r="N272" s="1">
        <f t="shared" si="47"/>
        <v>8.1615747342321318E+25</v>
      </c>
      <c r="O272" s="2">
        <f t="shared" si="48"/>
        <v>2644.9862380735617</v>
      </c>
      <c r="P272" s="2">
        <f t="shared" si="49"/>
        <v>42.11211708366271</v>
      </c>
      <c r="Q272" s="2">
        <f t="shared" si="50"/>
        <v>-0.21463508366271355</v>
      </c>
      <c r="R272" s="2">
        <f t="shared" si="51"/>
        <v>1.2496804236897798</v>
      </c>
      <c r="S272" s="12">
        <v>2386.4661598739426</v>
      </c>
      <c r="T272" s="2">
        <f t="shared" si="52"/>
        <v>41.888776402218184</v>
      </c>
      <c r="U272" s="2">
        <f t="shared" si="53"/>
        <v>8.7055977818124575E-3</v>
      </c>
      <c r="V272" s="2">
        <f t="shared" si="54"/>
        <v>2.0558656884412429E-3</v>
      </c>
    </row>
    <row r="273" spans="1:22" x14ac:dyDescent="0.25">
      <c r="A273" t="s">
        <v>293</v>
      </c>
      <c r="B273" s="2">
        <v>0.46100000000000002</v>
      </c>
      <c r="C273" s="8">
        <v>1E-3</v>
      </c>
      <c r="D273" s="8">
        <v>22.593</v>
      </c>
      <c r="E273" s="8">
        <v>5.8999999999999997E-2</v>
      </c>
      <c r="F273" s="8">
        <v>1.208</v>
      </c>
      <c r="G273" s="8">
        <v>7.4999999999999997E-2</v>
      </c>
      <c r="H273" s="8">
        <v>1.2E-2</v>
      </c>
      <c r="I273" s="8">
        <v>3.9E-2</v>
      </c>
      <c r="J273" s="8">
        <v>0.12</v>
      </c>
      <c r="K273" s="8">
        <f t="shared" si="44"/>
        <v>0.29300000000000004</v>
      </c>
      <c r="L273" s="8">
        <f t="shared" si="45"/>
        <v>41.926016000000004</v>
      </c>
      <c r="M273" s="1">
        <f t="shared" si="46"/>
        <v>2427.7457359067516</v>
      </c>
      <c r="N273" s="1">
        <f t="shared" si="47"/>
        <v>8.3659034148464411E+25</v>
      </c>
      <c r="O273" s="2">
        <f t="shared" si="48"/>
        <v>2711.204653743001</v>
      </c>
      <c r="P273" s="2">
        <f t="shared" si="49"/>
        <v>42.165811506450332</v>
      </c>
      <c r="Q273" s="2">
        <f t="shared" si="50"/>
        <v>-0.23979550645032788</v>
      </c>
      <c r="R273" s="2">
        <f t="shared" si="51"/>
        <v>0.66980261754672998</v>
      </c>
      <c r="S273" s="12">
        <v>2449.7018146846394</v>
      </c>
      <c r="T273" s="2">
        <f t="shared" si="52"/>
        <v>41.945566119540395</v>
      </c>
      <c r="U273" s="2">
        <f t="shared" si="53"/>
        <v>-1.9550119540390654E-2</v>
      </c>
      <c r="V273" s="2">
        <f t="shared" si="54"/>
        <v>4.4520865012238273E-3</v>
      </c>
    </row>
    <row r="274" spans="1:22" x14ac:dyDescent="0.25">
      <c r="A274" t="s">
        <v>294</v>
      </c>
      <c r="B274" s="2">
        <v>0.46100000000000002</v>
      </c>
      <c r="C274" s="8">
        <v>1E-3</v>
      </c>
      <c r="D274" s="8">
        <v>22.981999999999999</v>
      </c>
      <c r="E274" s="8">
        <v>3.2000000000000001E-2</v>
      </c>
      <c r="F274" s="8">
        <v>0.91300000000000003</v>
      </c>
      <c r="G274" s="8">
        <v>1.4E-2</v>
      </c>
      <c r="H274" s="8">
        <v>-2.1000000000000001E-2</v>
      </c>
      <c r="I274" s="8">
        <v>2.1000000000000001E-2</v>
      </c>
      <c r="J274" s="8">
        <v>0.12</v>
      </c>
      <c r="K274" s="8">
        <f t="shared" si="44"/>
        <v>0.187</v>
      </c>
      <c r="L274" s="8">
        <f t="shared" si="45"/>
        <v>42.374940999999993</v>
      </c>
      <c r="M274" s="1">
        <f t="shared" si="46"/>
        <v>2985.3015056692202</v>
      </c>
      <c r="N274" s="1">
        <f t="shared" si="47"/>
        <v>8.3659034148464411E+25</v>
      </c>
      <c r="O274" s="2">
        <f t="shared" si="48"/>
        <v>2711.204653743001</v>
      </c>
      <c r="P274" s="2">
        <f t="shared" si="49"/>
        <v>42.165811506450332</v>
      </c>
      <c r="Q274" s="2">
        <f t="shared" si="50"/>
        <v>0.20912949354966059</v>
      </c>
      <c r="R274" s="2">
        <f t="shared" si="51"/>
        <v>1.2506833215801862</v>
      </c>
      <c r="S274" s="12">
        <v>2449.7018146846394</v>
      </c>
      <c r="T274" s="2">
        <f t="shared" si="52"/>
        <v>41.945566119540395</v>
      </c>
      <c r="U274" s="2">
        <f t="shared" si="53"/>
        <v>0.42937488045959782</v>
      </c>
      <c r="V274" s="2">
        <f t="shared" si="54"/>
        <v>5.272177870962679</v>
      </c>
    </row>
    <row r="275" spans="1:22" x14ac:dyDescent="0.25">
      <c r="A275" t="s">
        <v>295</v>
      </c>
      <c r="B275" s="2">
        <v>0.46800000000000003</v>
      </c>
      <c r="C275" s="8">
        <v>2E-3</v>
      </c>
      <c r="D275" s="8">
        <v>23.817</v>
      </c>
      <c r="E275" s="8">
        <v>4.1000000000000002E-2</v>
      </c>
      <c r="F275" s="8">
        <v>1.048</v>
      </c>
      <c r="G275" s="8">
        <v>3.7999999999999999E-2</v>
      </c>
      <c r="H275" s="8">
        <v>0.158</v>
      </c>
      <c r="I275" s="8">
        <v>0.04</v>
      </c>
      <c r="J275" s="8">
        <v>0.12</v>
      </c>
      <c r="K275" s="8">
        <f t="shared" si="44"/>
        <v>0.23899999999999999</v>
      </c>
      <c r="L275" s="8">
        <f t="shared" si="45"/>
        <v>42.669516000000002</v>
      </c>
      <c r="M275" s="1">
        <f t="shared" si="46"/>
        <v>3419.0322712886586</v>
      </c>
      <c r="N275" s="1">
        <f t="shared" si="47"/>
        <v>8.5094222001171266E+25</v>
      </c>
      <c r="O275" s="2">
        <f t="shared" si="48"/>
        <v>2757.715924460626</v>
      </c>
      <c r="P275" s="2">
        <f t="shared" si="49"/>
        <v>42.202747634809484</v>
      </c>
      <c r="Q275" s="2">
        <f t="shared" si="50"/>
        <v>0.4667683651905179</v>
      </c>
      <c r="R275" s="2">
        <f t="shared" si="51"/>
        <v>3.8142313114726405</v>
      </c>
      <c r="S275" s="12">
        <v>2494.1846151021073</v>
      </c>
      <c r="T275" s="2">
        <f t="shared" si="52"/>
        <v>41.984642980180858</v>
      </c>
      <c r="U275" s="2">
        <f t="shared" si="53"/>
        <v>0.68487301981914328</v>
      </c>
      <c r="V275" s="2">
        <f t="shared" si="54"/>
        <v>8.2115343442200359</v>
      </c>
    </row>
    <row r="276" spans="1:22" x14ac:dyDescent="0.25">
      <c r="A276" t="s">
        <v>296</v>
      </c>
      <c r="B276" s="2">
        <v>0.47</v>
      </c>
      <c r="C276" s="8">
        <v>0.02</v>
      </c>
      <c r="D276" s="8">
        <v>23.042999999999999</v>
      </c>
      <c r="E276" s="8">
        <v>3.5999999999999997E-2</v>
      </c>
      <c r="F276" s="8">
        <v>0.83199999999999996</v>
      </c>
      <c r="G276" s="8">
        <v>1.4999999999999999E-2</v>
      </c>
      <c r="H276" s="8">
        <v>-5.7000000000000002E-2</v>
      </c>
      <c r="I276" s="8">
        <v>3.1E-2</v>
      </c>
      <c r="J276" s="8">
        <v>0.12</v>
      </c>
      <c r="K276" s="8">
        <f t="shared" si="44"/>
        <v>0.20199999999999999</v>
      </c>
      <c r="L276" s="8">
        <f t="shared" si="45"/>
        <v>42.536714000000003</v>
      </c>
      <c r="M276" s="1">
        <f t="shared" si="46"/>
        <v>3216.198166380821</v>
      </c>
      <c r="N276" s="1">
        <f t="shared" si="47"/>
        <v>8.5505009210495404E+25</v>
      </c>
      <c r="O276" s="2">
        <f t="shared" si="48"/>
        <v>2771.0286312705234</v>
      </c>
      <c r="P276" s="2">
        <f t="shared" si="49"/>
        <v>42.213205065465758</v>
      </c>
      <c r="Q276" s="2">
        <f t="shared" si="50"/>
        <v>0.3235089345342459</v>
      </c>
      <c r="R276" s="2">
        <f t="shared" si="51"/>
        <v>2.5648963514234637</v>
      </c>
      <c r="S276" s="12">
        <v>2506.9266786291846</v>
      </c>
      <c r="T276" s="2">
        <f t="shared" si="52"/>
        <v>41.995708160552127</v>
      </c>
      <c r="U276" s="2">
        <f t="shared" si="53"/>
        <v>0.54100583944787672</v>
      </c>
      <c r="V276" s="2">
        <f t="shared" si="54"/>
        <v>7.1730055464342168</v>
      </c>
    </row>
    <row r="277" spans="1:22" x14ac:dyDescent="0.25">
      <c r="A277" t="s">
        <v>297</v>
      </c>
      <c r="B277" s="2">
        <v>0.47</v>
      </c>
      <c r="C277" s="8">
        <v>0.01</v>
      </c>
      <c r="D277" s="8">
        <v>22.641999999999999</v>
      </c>
      <c r="E277" s="8">
        <v>3.3000000000000002E-2</v>
      </c>
      <c r="F277" s="8">
        <v>1.1599999999999999</v>
      </c>
      <c r="G277" s="8">
        <v>1.7999999999999999E-2</v>
      </c>
      <c r="H277" s="8">
        <v>-2.5999999999999999E-2</v>
      </c>
      <c r="I277" s="8">
        <v>2.4E-2</v>
      </c>
      <c r="J277" s="8">
        <v>0.12</v>
      </c>
      <c r="K277" s="8">
        <f t="shared" si="44"/>
        <v>0.19500000000000001</v>
      </c>
      <c r="L277" s="8">
        <f t="shared" si="45"/>
        <v>42.0869</v>
      </c>
      <c r="M277" s="1">
        <f t="shared" si="46"/>
        <v>2614.4479496607073</v>
      </c>
      <c r="N277" s="1">
        <f t="shared" si="47"/>
        <v>8.5505009210495404E+25</v>
      </c>
      <c r="O277" s="2">
        <f t="shared" si="48"/>
        <v>2771.0286312705234</v>
      </c>
      <c r="P277" s="2">
        <f t="shared" si="49"/>
        <v>42.213205065465758</v>
      </c>
      <c r="Q277" s="2">
        <f t="shared" si="50"/>
        <v>-0.12630506546575759</v>
      </c>
      <c r="R277" s="2">
        <f t="shared" si="51"/>
        <v>0.41953897599761497</v>
      </c>
      <c r="S277" s="12">
        <v>2506.9266786291846</v>
      </c>
      <c r="T277" s="2">
        <f t="shared" si="52"/>
        <v>41.995708160552127</v>
      </c>
      <c r="U277" s="2">
        <f t="shared" si="53"/>
        <v>9.1191839447873235E-2</v>
      </c>
      <c r="V277" s="2">
        <f t="shared" si="54"/>
        <v>0.21869695152890697</v>
      </c>
    </row>
    <row r="278" spans="1:22" x14ac:dyDescent="0.25">
      <c r="A278" t="s">
        <v>298</v>
      </c>
      <c r="B278" s="2">
        <v>0.47</v>
      </c>
      <c r="C278" s="8">
        <v>0.01</v>
      </c>
      <c r="D278" s="8">
        <v>23.521000000000001</v>
      </c>
      <c r="E278" s="8">
        <v>3.4000000000000002E-2</v>
      </c>
      <c r="F278" s="8">
        <v>0.78700000000000003</v>
      </c>
      <c r="G278" s="8">
        <v>1.7000000000000001E-2</v>
      </c>
      <c r="H278" s="8">
        <v>0.108</v>
      </c>
      <c r="I278" s="8">
        <v>2.8000000000000001E-2</v>
      </c>
      <c r="J278" s="8">
        <v>0.12</v>
      </c>
      <c r="K278" s="8">
        <f t="shared" si="44"/>
        <v>0.19900000000000001</v>
      </c>
      <c r="L278" s="8">
        <f t="shared" si="45"/>
        <v>42.491649000000002</v>
      </c>
      <c r="M278" s="1">
        <f t="shared" si="46"/>
        <v>3150.1395986102743</v>
      </c>
      <c r="N278" s="1">
        <f t="shared" si="47"/>
        <v>8.5505009210495404E+25</v>
      </c>
      <c r="O278" s="2">
        <f t="shared" si="48"/>
        <v>2771.0286312705234</v>
      </c>
      <c r="P278" s="2">
        <f t="shared" si="49"/>
        <v>42.213205065465758</v>
      </c>
      <c r="Q278" s="2">
        <f t="shared" si="50"/>
        <v>0.27844393453424487</v>
      </c>
      <c r="R278" s="2">
        <f t="shared" si="51"/>
        <v>1.9578047190452474</v>
      </c>
      <c r="S278" s="12">
        <v>2506.9266786291846</v>
      </c>
      <c r="T278" s="2">
        <f t="shared" si="52"/>
        <v>41.995708160552127</v>
      </c>
      <c r="U278" s="2">
        <f t="shared" si="53"/>
        <v>0.4959408394478757</v>
      </c>
      <c r="V278" s="2">
        <f t="shared" si="54"/>
        <v>6.2108864986304289</v>
      </c>
    </row>
    <row r="279" spans="1:22" x14ac:dyDescent="0.25">
      <c r="A279" t="s">
        <v>299</v>
      </c>
      <c r="B279" s="2">
        <v>0.47199999999999998</v>
      </c>
      <c r="C279" s="8">
        <v>1E-3</v>
      </c>
      <c r="D279" s="8">
        <v>23.771000000000001</v>
      </c>
      <c r="E279" s="8">
        <v>3.5000000000000003E-2</v>
      </c>
      <c r="F279" s="8">
        <v>1.0449999999999999</v>
      </c>
      <c r="G279" s="8">
        <v>2.7E-2</v>
      </c>
      <c r="H279" s="8">
        <v>0.184</v>
      </c>
      <c r="I279" s="8">
        <v>3.2000000000000001E-2</v>
      </c>
      <c r="J279" s="8">
        <v>0.12</v>
      </c>
      <c r="K279" s="8">
        <f t="shared" si="44"/>
        <v>0.214</v>
      </c>
      <c r="L279" s="8">
        <f t="shared" si="45"/>
        <v>42.541695000000004</v>
      </c>
      <c r="M279" s="1">
        <f t="shared" si="46"/>
        <v>3223.5840629455174</v>
      </c>
      <c r="N279" s="1">
        <f t="shared" si="47"/>
        <v>8.591612098559763E+25</v>
      </c>
      <c r="O279" s="2">
        <f t="shared" si="48"/>
        <v>2784.3518565409427</v>
      </c>
      <c r="P279" s="2">
        <f t="shared" si="49"/>
        <v>42.223620579438567</v>
      </c>
      <c r="Q279" s="2">
        <f t="shared" si="50"/>
        <v>0.31807442056143742</v>
      </c>
      <c r="R279" s="2">
        <f t="shared" si="51"/>
        <v>2.2091740985128432</v>
      </c>
      <c r="S279" s="12">
        <v>2519.6832057629631</v>
      </c>
      <c r="T279" s="2">
        <f t="shared" si="52"/>
        <v>42.006729706610855</v>
      </c>
      <c r="U279" s="2">
        <f t="shared" si="53"/>
        <v>0.53496529338914911</v>
      </c>
      <c r="V279" s="2">
        <f t="shared" si="54"/>
        <v>6.2491891241798054</v>
      </c>
    </row>
    <row r="280" spans="1:22" x14ac:dyDescent="0.25">
      <c r="A280" t="s">
        <v>300</v>
      </c>
      <c r="B280" s="2">
        <v>0.47399999999999998</v>
      </c>
      <c r="C280" s="8">
        <v>1E-3</v>
      </c>
      <c r="D280" s="8">
        <v>22.719000000000001</v>
      </c>
      <c r="E280" s="8">
        <v>3.5000000000000003E-2</v>
      </c>
      <c r="F280" s="8">
        <v>0.98899999999999999</v>
      </c>
      <c r="G280" s="8">
        <v>0.02</v>
      </c>
      <c r="H280" s="8">
        <v>-9.6000000000000002E-2</v>
      </c>
      <c r="I280" s="8">
        <v>2.1999999999999999E-2</v>
      </c>
      <c r="J280" s="8">
        <v>0.12</v>
      </c>
      <c r="K280" s="8">
        <f t="shared" si="44"/>
        <v>0.19700000000000001</v>
      </c>
      <c r="L280" s="8">
        <f t="shared" si="45"/>
        <v>42.357863000000002</v>
      </c>
      <c r="M280" s="1">
        <f t="shared" si="46"/>
        <v>2961.9150604736251</v>
      </c>
      <c r="N280" s="1">
        <f t="shared" si="47"/>
        <v>8.6327556539333805E+25</v>
      </c>
      <c r="O280" s="2">
        <f t="shared" si="48"/>
        <v>2797.6855747622799</v>
      </c>
      <c r="P280" s="2">
        <f t="shared" si="49"/>
        <v>42.233994517864701</v>
      </c>
      <c r="Q280" s="2">
        <f t="shared" si="50"/>
        <v>0.12386848213530044</v>
      </c>
      <c r="R280" s="2">
        <f t="shared" si="51"/>
        <v>0.39535676947365928</v>
      </c>
      <c r="S280" s="12">
        <v>2532.4541605704121</v>
      </c>
      <c r="T280" s="2">
        <f t="shared" si="52"/>
        <v>42.017707965143828</v>
      </c>
      <c r="U280" s="2">
        <f t="shared" si="53"/>
        <v>0.34015503485617415</v>
      </c>
      <c r="V280" s="2">
        <f t="shared" si="54"/>
        <v>2.9814076048855944</v>
      </c>
    </row>
    <row r="281" spans="1:22" x14ac:dyDescent="0.25">
      <c r="A281" t="s">
        <v>301</v>
      </c>
      <c r="B281" s="2">
        <v>0.47899999999999998</v>
      </c>
      <c r="C281" s="8">
        <v>1E-3</v>
      </c>
      <c r="D281" s="8">
        <v>22.677</v>
      </c>
      <c r="E281" s="8">
        <v>3.4000000000000002E-2</v>
      </c>
      <c r="F281" s="8">
        <v>1.133</v>
      </c>
      <c r="G281" s="8">
        <v>1.4999999999999999E-2</v>
      </c>
      <c r="H281" s="8">
        <v>-1.2E-2</v>
      </c>
      <c r="I281" s="8">
        <v>2.1999999999999999E-2</v>
      </c>
      <c r="J281" s="8">
        <v>0.12</v>
      </c>
      <c r="K281" s="8">
        <f t="shared" si="44"/>
        <v>0.191</v>
      </c>
      <c r="L281" s="8">
        <f t="shared" si="45"/>
        <v>42.074111000000002</v>
      </c>
      <c r="M281" s="1">
        <f t="shared" si="46"/>
        <v>2599.0952766774994</v>
      </c>
      <c r="N281" s="1">
        <f t="shared" si="47"/>
        <v>8.7357556812485368E+25</v>
      </c>
      <c r="O281" s="2">
        <f t="shared" si="48"/>
        <v>2831.0656103119295</v>
      </c>
      <c r="P281" s="2">
        <f t="shared" si="49"/>
        <v>42.259749671562787</v>
      </c>
      <c r="Q281" s="2">
        <f t="shared" si="50"/>
        <v>-0.18563867156278491</v>
      </c>
      <c r="R281" s="2">
        <f t="shared" si="51"/>
        <v>0.94464834789604246</v>
      </c>
      <c r="S281" s="12">
        <v>2564.4444337116006</v>
      </c>
      <c r="T281" s="2">
        <f t="shared" si="52"/>
        <v>42.044966466133687</v>
      </c>
      <c r="U281" s="2">
        <f t="shared" si="53"/>
        <v>2.9144533866315214E-2</v>
      </c>
      <c r="V281" s="2">
        <f t="shared" si="54"/>
        <v>2.3283458630103192E-2</v>
      </c>
    </row>
    <row r="282" spans="1:22" x14ac:dyDescent="0.25">
      <c r="A282" t="s">
        <v>302</v>
      </c>
      <c r="B282" s="2">
        <v>0.48</v>
      </c>
      <c r="C282" s="8">
        <v>0.01</v>
      </c>
      <c r="D282" s="8">
        <v>22.940999999999999</v>
      </c>
      <c r="E282" s="8">
        <v>3.5999999999999997E-2</v>
      </c>
      <c r="F282" s="8">
        <v>0.98499999999999999</v>
      </c>
      <c r="G282" s="8">
        <v>2.4E-2</v>
      </c>
      <c r="H282" s="8">
        <v>-1.4999999999999999E-2</v>
      </c>
      <c r="I282" s="8">
        <v>2.3E-2</v>
      </c>
      <c r="J282" s="8">
        <v>0.12</v>
      </c>
      <c r="K282" s="8">
        <f t="shared" si="44"/>
        <v>0.20299999999999999</v>
      </c>
      <c r="L282" s="8">
        <f t="shared" si="45"/>
        <v>42.325744999999998</v>
      </c>
      <c r="M282" s="1">
        <f t="shared" si="46"/>
        <v>2918.4281116911343</v>
      </c>
      <c r="N282" s="1">
        <f t="shared" si="47"/>
        <v>8.7563798038991783E+25</v>
      </c>
      <c r="O282" s="2">
        <f t="shared" si="48"/>
        <v>2837.7494332700758</v>
      </c>
      <c r="P282" s="2">
        <f t="shared" si="49"/>
        <v>42.264870228066258</v>
      </c>
      <c r="Q282" s="2">
        <f t="shared" si="50"/>
        <v>6.0874771933740135E-2</v>
      </c>
      <c r="R282" s="2">
        <f t="shared" si="51"/>
        <v>8.9925449731487681E-2</v>
      </c>
      <c r="S282" s="12">
        <v>2570.8532331352421</v>
      </c>
      <c r="T282" s="2">
        <f t="shared" si="52"/>
        <v>42.050386420050401</v>
      </c>
      <c r="U282" s="2">
        <f t="shared" si="53"/>
        <v>0.27535857994959656</v>
      </c>
      <c r="V282" s="2">
        <f t="shared" si="54"/>
        <v>1.8399463115304513</v>
      </c>
    </row>
    <row r="283" spans="1:22" x14ac:dyDescent="0.25">
      <c r="A283" t="s">
        <v>303</v>
      </c>
      <c r="B283" s="2">
        <v>0.49</v>
      </c>
      <c r="C283" s="8">
        <v>0.01</v>
      </c>
      <c r="D283" s="8">
        <v>22.879000000000001</v>
      </c>
      <c r="E283" s="8">
        <v>3.5999999999999997E-2</v>
      </c>
      <c r="F283" s="8">
        <v>1.054</v>
      </c>
      <c r="G283" s="8">
        <v>1.9E-2</v>
      </c>
      <c r="H283" s="8">
        <v>-3.4000000000000002E-2</v>
      </c>
      <c r="I283" s="8">
        <v>2.3E-2</v>
      </c>
      <c r="J283" s="8">
        <v>0.12</v>
      </c>
      <c r="K283" s="8">
        <f t="shared" si="44"/>
        <v>0.19799999999999998</v>
      </c>
      <c r="L283" s="8">
        <f t="shared" si="45"/>
        <v>42.333358000000004</v>
      </c>
      <c r="M283" s="1">
        <f t="shared" si="46"/>
        <v>2928.6778325172259</v>
      </c>
      <c r="N283" s="1">
        <f t="shared" si="47"/>
        <v>8.9630603377306752E+25</v>
      </c>
      <c r="O283" s="2">
        <f t="shared" si="48"/>
        <v>2904.730032659691</v>
      </c>
      <c r="P283" s="2">
        <f t="shared" si="49"/>
        <v>42.315528875069873</v>
      </c>
      <c r="Q283" s="2">
        <f t="shared" si="50"/>
        <v>1.7829124930131002E-2</v>
      </c>
      <c r="R283" s="2">
        <f t="shared" si="51"/>
        <v>8.1082975149020207E-3</v>
      </c>
      <c r="S283" s="12">
        <v>2635.1369147671503</v>
      </c>
      <c r="T283" s="2">
        <f t="shared" si="52"/>
        <v>42.104015924655755</v>
      </c>
      <c r="U283" s="2">
        <f t="shared" si="53"/>
        <v>0.229342075344249</v>
      </c>
      <c r="V283" s="2">
        <f t="shared" si="54"/>
        <v>1.3416433915724719</v>
      </c>
    </row>
    <row r="284" spans="1:22" x14ac:dyDescent="0.25">
      <c r="A284" t="s">
        <v>304</v>
      </c>
      <c r="B284" s="2">
        <v>0.496</v>
      </c>
      <c r="C284" s="8">
        <v>1E-3</v>
      </c>
      <c r="D284" s="8">
        <v>22.992000000000001</v>
      </c>
      <c r="E284" s="8">
        <v>3.5000000000000003E-2</v>
      </c>
      <c r="F284" s="8">
        <v>0.92500000000000004</v>
      </c>
      <c r="G284" s="8">
        <v>1.2999999999999999E-2</v>
      </c>
      <c r="H284" s="8">
        <v>-6.2E-2</v>
      </c>
      <c r="I284" s="8">
        <v>2.8000000000000001E-2</v>
      </c>
      <c r="J284" s="8">
        <v>0.12</v>
      </c>
      <c r="K284" s="8">
        <f t="shared" si="44"/>
        <v>0.19600000000000001</v>
      </c>
      <c r="L284" s="8">
        <f t="shared" si="45"/>
        <v>42.515034999999997</v>
      </c>
      <c r="M284" s="1">
        <f t="shared" si="46"/>
        <v>3184.2488453399665</v>
      </c>
      <c r="N284" s="1">
        <f t="shared" si="47"/>
        <v>9.0874494422459556E+25</v>
      </c>
      <c r="O284" s="2">
        <f t="shared" si="48"/>
        <v>2945.0417960537393</v>
      </c>
      <c r="P284" s="2">
        <f t="shared" si="49"/>
        <v>42.345457313385893</v>
      </c>
      <c r="Q284" s="2">
        <f t="shared" si="50"/>
        <v>0.16957768661410455</v>
      </c>
      <c r="R284" s="2">
        <f t="shared" si="51"/>
        <v>0.74855767902414228</v>
      </c>
      <c r="S284" s="12">
        <v>2673.8767084093988</v>
      </c>
      <c r="T284" s="2">
        <f t="shared" si="52"/>
        <v>42.135706891047349</v>
      </c>
      <c r="U284" s="2">
        <f t="shared" si="53"/>
        <v>0.37932810895264879</v>
      </c>
      <c r="V284" s="2">
        <f t="shared" si="54"/>
        <v>3.7455699250726928</v>
      </c>
    </row>
    <row r="285" spans="1:22" x14ac:dyDescent="0.25">
      <c r="A285" t="s">
        <v>305</v>
      </c>
      <c r="B285" s="2">
        <v>0.499</v>
      </c>
      <c r="C285" s="8">
        <v>1E-3</v>
      </c>
      <c r="D285" s="8">
        <v>23.108000000000001</v>
      </c>
      <c r="E285" s="8">
        <v>3.7999999999999999E-2</v>
      </c>
      <c r="F285" s="8">
        <v>1.01</v>
      </c>
      <c r="G285" s="8">
        <v>3.3000000000000002E-2</v>
      </c>
      <c r="H285" s="8">
        <v>-1.2999999999999999E-2</v>
      </c>
      <c r="I285" s="8">
        <v>3.1E-2</v>
      </c>
      <c r="J285" s="8">
        <v>0.12</v>
      </c>
      <c r="K285" s="8">
        <f t="shared" si="44"/>
        <v>0.222</v>
      </c>
      <c r="L285" s="8">
        <f t="shared" si="45"/>
        <v>42.490160000000003</v>
      </c>
      <c r="M285" s="1">
        <f t="shared" si="46"/>
        <v>3147.9802573133466</v>
      </c>
      <c r="N285" s="1">
        <f t="shared" si="47"/>
        <v>9.14975027581249E+25</v>
      </c>
      <c r="O285" s="2">
        <f t="shared" si="48"/>
        <v>2965.2321211772523</v>
      </c>
      <c r="P285" s="2">
        <f t="shared" si="49"/>
        <v>42.360293480070716</v>
      </c>
      <c r="Q285" s="2">
        <f t="shared" si="50"/>
        <v>0.12986651992928699</v>
      </c>
      <c r="R285" s="2">
        <f t="shared" si="51"/>
        <v>0.34220665933251959</v>
      </c>
      <c r="S285" s="12">
        <v>2693.2939271632945</v>
      </c>
      <c r="T285" s="2">
        <f t="shared" si="52"/>
        <v>42.151418759221279</v>
      </c>
      <c r="U285" s="2">
        <f t="shared" si="53"/>
        <v>0.33874124077872381</v>
      </c>
      <c r="V285" s="2">
        <f t="shared" si="54"/>
        <v>2.3282531491824798</v>
      </c>
    </row>
    <row r="286" spans="1:22" x14ac:dyDescent="0.25">
      <c r="A286" t="s">
        <v>306</v>
      </c>
      <c r="B286" s="2">
        <v>0.499</v>
      </c>
      <c r="C286" s="8">
        <v>1E-3</v>
      </c>
      <c r="D286" s="8">
        <v>23.273</v>
      </c>
      <c r="E286" s="8">
        <v>3.9E-2</v>
      </c>
      <c r="F286" s="8">
        <v>1.054</v>
      </c>
      <c r="G286" s="8">
        <v>3.9E-2</v>
      </c>
      <c r="H286" s="8">
        <v>3.5999999999999997E-2</v>
      </c>
      <c r="I286" s="8">
        <v>3.5999999999999997E-2</v>
      </c>
      <c r="J286" s="8">
        <v>0.12</v>
      </c>
      <c r="K286" s="8">
        <f t="shared" si="44"/>
        <v>0.23399999999999999</v>
      </c>
      <c r="L286" s="8">
        <f t="shared" si="45"/>
        <v>42.508257999999998</v>
      </c>
      <c r="M286" s="1">
        <f t="shared" si="46"/>
        <v>3174.3265386572898</v>
      </c>
      <c r="N286" s="1">
        <f t="shared" si="47"/>
        <v>9.14975027581249E+25</v>
      </c>
      <c r="O286" s="2">
        <f t="shared" si="48"/>
        <v>2965.2321211772523</v>
      </c>
      <c r="P286" s="2">
        <f t="shared" si="49"/>
        <v>42.360293480070716</v>
      </c>
      <c r="Q286" s="2">
        <f t="shared" si="50"/>
        <v>0.14796451992928183</v>
      </c>
      <c r="R286" s="2">
        <f t="shared" si="51"/>
        <v>0.399837445355812</v>
      </c>
      <c r="S286" s="12">
        <v>2693.2939271632945</v>
      </c>
      <c r="T286" s="2">
        <f t="shared" si="52"/>
        <v>42.151418759221279</v>
      </c>
      <c r="U286" s="2">
        <f t="shared" si="53"/>
        <v>0.35683924077871865</v>
      </c>
      <c r="V286" s="2">
        <f t="shared" si="54"/>
        <v>2.3254847644008394</v>
      </c>
    </row>
    <row r="287" spans="1:22" x14ac:dyDescent="0.25">
      <c r="A287" t="s">
        <v>307</v>
      </c>
      <c r="B287" s="2">
        <v>0.504</v>
      </c>
      <c r="C287" s="8">
        <v>1E-3</v>
      </c>
      <c r="D287" s="8">
        <v>23.012</v>
      </c>
      <c r="E287" s="8">
        <v>3.5000000000000003E-2</v>
      </c>
      <c r="F287" s="8">
        <v>1.137</v>
      </c>
      <c r="G287" s="8">
        <v>0.02</v>
      </c>
      <c r="H287" s="8">
        <v>1.7000000000000001E-2</v>
      </c>
      <c r="I287" s="8">
        <v>2.8000000000000001E-2</v>
      </c>
      <c r="J287" s="8">
        <v>0.12</v>
      </c>
      <c r="K287" s="8">
        <f t="shared" si="44"/>
        <v>0.20300000000000001</v>
      </c>
      <c r="L287" s="8">
        <f t="shared" si="45"/>
        <v>42.318928999999997</v>
      </c>
      <c r="M287" s="1">
        <f t="shared" si="46"/>
        <v>2909.2818664007996</v>
      </c>
      <c r="N287" s="1">
        <f t="shared" si="47"/>
        <v>9.2537415718816386E+25</v>
      </c>
      <c r="O287" s="2">
        <f t="shared" si="48"/>
        <v>2998.9334050518783</v>
      </c>
      <c r="P287" s="2">
        <f t="shared" si="49"/>
        <v>42.384834109158405</v>
      </c>
      <c r="Q287" s="2">
        <f t="shared" si="50"/>
        <v>-6.5905109158407527E-2</v>
      </c>
      <c r="R287" s="2">
        <f t="shared" si="51"/>
        <v>0.1054013301264678</v>
      </c>
      <c r="S287" s="12">
        <v>2725.7256602949683</v>
      </c>
      <c r="T287" s="2">
        <f t="shared" si="52"/>
        <v>42.177410713443948</v>
      </c>
      <c r="U287" s="2">
        <f t="shared" si="53"/>
        <v>0.14151828655604959</v>
      </c>
      <c r="V287" s="2">
        <f t="shared" si="54"/>
        <v>0.48599639471378014</v>
      </c>
    </row>
    <row r="288" spans="1:22" x14ac:dyDescent="0.25">
      <c r="A288" t="s">
        <v>308</v>
      </c>
      <c r="B288" s="2">
        <v>0.50900000000000001</v>
      </c>
      <c r="C288" s="8">
        <v>1E-3</v>
      </c>
      <c r="D288" s="8">
        <v>23.558</v>
      </c>
      <c r="E288" s="8">
        <v>3.6999999999999998E-2</v>
      </c>
      <c r="F288" s="8">
        <v>1.095</v>
      </c>
      <c r="G288" s="8">
        <v>0.02</v>
      </c>
      <c r="H288" s="8">
        <v>0.185</v>
      </c>
      <c r="I288" s="8">
        <v>2.7E-2</v>
      </c>
      <c r="J288" s="8">
        <v>0.12</v>
      </c>
      <c r="K288" s="8">
        <f t="shared" si="44"/>
        <v>0.20399999999999999</v>
      </c>
      <c r="L288" s="8">
        <f t="shared" si="45"/>
        <v>42.332915</v>
      </c>
      <c r="M288" s="1">
        <f t="shared" si="46"/>
        <v>2928.0804167075535</v>
      </c>
      <c r="N288" s="1">
        <f t="shared" si="47"/>
        <v>9.357927570696808E+25</v>
      </c>
      <c r="O288" s="2">
        <f t="shared" si="48"/>
        <v>3032.697787789225</v>
      </c>
      <c r="P288" s="2">
        <f t="shared" si="49"/>
        <v>42.40914567233331</v>
      </c>
      <c r="Q288" s="2">
        <f t="shared" si="50"/>
        <v>-7.6230672333309712E-2</v>
      </c>
      <c r="R288" s="2">
        <f t="shared" si="51"/>
        <v>0.13963656777173281</v>
      </c>
      <c r="S288" s="12">
        <v>2758.2440540656225</v>
      </c>
      <c r="T288" s="2">
        <f t="shared" si="52"/>
        <v>42.203163453225088</v>
      </c>
      <c r="U288" s="2">
        <f t="shared" si="53"/>
        <v>0.12975154677491219</v>
      </c>
      <c r="V288" s="2">
        <f t="shared" si="54"/>
        <v>0.40454305772977284</v>
      </c>
    </row>
    <row r="289" spans="1:22" x14ac:dyDescent="0.25">
      <c r="A289" t="s">
        <v>309</v>
      </c>
      <c r="B289" s="2">
        <v>0.51</v>
      </c>
      <c r="C289" s="8">
        <v>0.01</v>
      </c>
      <c r="D289" s="8">
        <v>22.913</v>
      </c>
      <c r="E289" s="8">
        <v>3.6999999999999998E-2</v>
      </c>
      <c r="F289" s="8">
        <v>1.099</v>
      </c>
      <c r="G289" s="8">
        <v>2.5999999999999999E-2</v>
      </c>
      <c r="H289" s="8">
        <v>-0.1</v>
      </c>
      <c r="I289" s="8">
        <v>2.8000000000000001E-2</v>
      </c>
      <c r="J289" s="8">
        <v>0.12</v>
      </c>
      <c r="K289" s="8">
        <f t="shared" si="44"/>
        <v>0.21099999999999999</v>
      </c>
      <c r="L289" s="8">
        <f t="shared" si="45"/>
        <v>42.580552999999995</v>
      </c>
      <c r="M289" s="1">
        <f t="shared" si="46"/>
        <v>3281.7885844009561</v>
      </c>
      <c r="N289" s="1">
        <f t="shared" si="47"/>
        <v>9.3787880323958911E+25</v>
      </c>
      <c r="O289" s="2">
        <f t="shared" si="48"/>
        <v>3039.4582030167558</v>
      </c>
      <c r="P289" s="2">
        <f t="shared" si="49"/>
        <v>42.413980877894957</v>
      </c>
      <c r="Q289" s="2">
        <f t="shared" si="50"/>
        <v>0.16657212210503758</v>
      </c>
      <c r="R289" s="2">
        <f t="shared" si="51"/>
        <v>0.62321762454966312</v>
      </c>
      <c r="S289" s="12">
        <v>2764.7580849338487</v>
      </c>
      <c r="T289" s="2">
        <f t="shared" si="52"/>
        <v>42.208285683674404</v>
      </c>
      <c r="U289" s="2">
        <f t="shared" si="53"/>
        <v>0.37226731632559051</v>
      </c>
      <c r="V289" s="2">
        <f t="shared" si="54"/>
        <v>3.1127547630164929</v>
      </c>
    </row>
    <row r="290" spans="1:22" x14ac:dyDescent="0.25">
      <c r="A290" t="s">
        <v>310</v>
      </c>
      <c r="B290" s="2">
        <v>0.51300000000000001</v>
      </c>
      <c r="C290" s="8">
        <v>1E-3</v>
      </c>
      <c r="D290" s="8">
        <v>23.783000000000001</v>
      </c>
      <c r="E290" s="8">
        <v>0.04</v>
      </c>
      <c r="F290" s="8">
        <v>1.1539999999999999</v>
      </c>
      <c r="G290" s="8">
        <v>2.5000000000000001E-2</v>
      </c>
      <c r="H290" s="8">
        <v>0.17100000000000001</v>
      </c>
      <c r="I290" s="8">
        <v>3.1E-2</v>
      </c>
      <c r="J290" s="8">
        <v>0.12</v>
      </c>
      <c r="K290" s="8">
        <f t="shared" si="44"/>
        <v>0.216</v>
      </c>
      <c r="L290" s="8">
        <f t="shared" si="45"/>
        <v>42.610408000000007</v>
      </c>
      <c r="M290" s="1">
        <f t="shared" si="46"/>
        <v>3327.2206288367711</v>
      </c>
      <c r="N290" s="1">
        <f t="shared" si="47"/>
        <v>9.4414157747457021E+25</v>
      </c>
      <c r="O290" s="2">
        <f t="shared" si="48"/>
        <v>3059.754472061758</v>
      </c>
      <c r="P290" s="2">
        <f t="shared" si="49"/>
        <v>42.428432891056758</v>
      </c>
      <c r="Q290" s="2">
        <f t="shared" si="50"/>
        <v>0.18197510894324864</v>
      </c>
      <c r="R290" s="2">
        <f t="shared" si="51"/>
        <v>0.70976809574132405</v>
      </c>
      <c r="S290" s="12">
        <v>2784.3208049605328</v>
      </c>
      <c r="T290" s="2">
        <f t="shared" si="52"/>
        <v>42.223596362662242</v>
      </c>
      <c r="U290" s="2">
        <f t="shared" si="53"/>
        <v>0.38681163733776458</v>
      </c>
      <c r="V290" s="2">
        <f t="shared" si="54"/>
        <v>3.2069453613666479</v>
      </c>
    </row>
    <row r="291" spans="1:22" x14ac:dyDescent="0.25">
      <c r="A291" t="s">
        <v>311</v>
      </c>
      <c r="B291" s="2">
        <v>0.51500000000000001</v>
      </c>
      <c r="C291" s="8">
        <v>2E-3</v>
      </c>
      <c r="D291" s="8">
        <v>23.57</v>
      </c>
      <c r="E291" s="8">
        <v>4.1000000000000002E-2</v>
      </c>
      <c r="F291" s="8">
        <v>1.0920000000000001</v>
      </c>
      <c r="G291" s="8">
        <v>2.4E-2</v>
      </c>
      <c r="H291" s="8">
        <v>0.11899999999999999</v>
      </c>
      <c r="I291" s="8">
        <v>3.3000000000000002E-2</v>
      </c>
      <c r="J291" s="8">
        <v>0.12</v>
      </c>
      <c r="K291" s="8">
        <f t="shared" si="44"/>
        <v>0.218</v>
      </c>
      <c r="L291" s="8">
        <f t="shared" si="45"/>
        <v>42.551054000000001</v>
      </c>
      <c r="M291" s="1">
        <f t="shared" si="46"/>
        <v>3237.5076254187084</v>
      </c>
      <c r="N291" s="1">
        <f t="shared" si="47"/>
        <v>9.4832061418611893E+25</v>
      </c>
      <c r="O291" s="2">
        <f t="shared" si="48"/>
        <v>3073.2978076929185</v>
      </c>
      <c r="P291" s="2">
        <f t="shared" si="49"/>
        <v>42.438023230782463</v>
      </c>
      <c r="Q291" s="2">
        <f t="shared" si="50"/>
        <v>0.11303076921753785</v>
      </c>
      <c r="R291" s="2">
        <f t="shared" si="51"/>
        <v>0.26883163853859743</v>
      </c>
      <c r="S291" s="12">
        <v>2797.3797653206225</v>
      </c>
      <c r="T291" s="2">
        <f t="shared" si="52"/>
        <v>42.233757145564134</v>
      </c>
      <c r="U291" s="2">
        <f t="shared" si="53"/>
        <v>0.31729685443586675</v>
      </c>
      <c r="V291" s="2">
        <f t="shared" si="54"/>
        <v>2.118451599926261</v>
      </c>
    </row>
    <row r="292" spans="1:22" x14ac:dyDescent="0.25">
      <c r="A292" t="s">
        <v>312</v>
      </c>
      <c r="B292" s="2">
        <v>0.51500000000000001</v>
      </c>
      <c r="C292" s="8">
        <v>1E-3</v>
      </c>
      <c r="D292" s="8">
        <v>23.564</v>
      </c>
      <c r="E292" s="8">
        <v>6.9000000000000006E-2</v>
      </c>
      <c r="F292" s="8">
        <v>1.1659999999999999</v>
      </c>
      <c r="G292" s="8">
        <v>4.9000000000000002E-2</v>
      </c>
      <c r="H292" s="8">
        <v>0.16</v>
      </c>
      <c r="I292" s="8">
        <v>0.04</v>
      </c>
      <c r="J292" s="8">
        <v>0.12</v>
      </c>
      <c r="K292" s="8">
        <f t="shared" si="44"/>
        <v>0.27800000000000002</v>
      </c>
      <c r="L292" s="8">
        <f t="shared" si="45"/>
        <v>42.427601999999993</v>
      </c>
      <c r="M292" s="1">
        <f t="shared" si="46"/>
        <v>3058.5839131906846</v>
      </c>
      <c r="N292" s="1">
        <f t="shared" si="47"/>
        <v>9.4832061418611893E+25</v>
      </c>
      <c r="O292" s="2">
        <f t="shared" si="48"/>
        <v>3073.2978076929185</v>
      </c>
      <c r="P292" s="2">
        <f t="shared" si="49"/>
        <v>42.438023230782463</v>
      </c>
      <c r="Q292" s="2">
        <f t="shared" si="50"/>
        <v>-1.0421230782469593E-2</v>
      </c>
      <c r="R292" s="2">
        <f t="shared" si="51"/>
        <v>1.4052333085954631E-3</v>
      </c>
      <c r="S292" s="12">
        <v>2797.3797653206225</v>
      </c>
      <c r="T292" s="2">
        <f t="shared" si="52"/>
        <v>42.233757145564134</v>
      </c>
      <c r="U292" s="2">
        <f t="shared" si="53"/>
        <v>0.1938448544358593</v>
      </c>
      <c r="V292" s="2">
        <f t="shared" si="54"/>
        <v>0.48620448723227933</v>
      </c>
    </row>
    <row r="293" spans="1:22" x14ac:dyDescent="0.25">
      <c r="A293" t="s">
        <v>313</v>
      </c>
      <c r="B293" s="2">
        <v>0.51600000000000001</v>
      </c>
      <c r="C293" s="8">
        <v>1E-3</v>
      </c>
      <c r="D293" s="8">
        <v>22.902000000000001</v>
      </c>
      <c r="E293" s="8">
        <v>3.6999999999999998E-2</v>
      </c>
      <c r="F293" s="8">
        <v>1.169</v>
      </c>
      <c r="G293" s="8">
        <v>1.9E-2</v>
      </c>
      <c r="H293" s="8">
        <v>-3.4000000000000002E-2</v>
      </c>
      <c r="I293" s="8">
        <v>2.5000000000000001E-2</v>
      </c>
      <c r="J293" s="8">
        <v>0.12</v>
      </c>
      <c r="K293" s="8">
        <f t="shared" si="44"/>
        <v>0.20099999999999998</v>
      </c>
      <c r="L293" s="8">
        <f t="shared" si="45"/>
        <v>42.373263000000001</v>
      </c>
      <c r="M293" s="1">
        <f t="shared" si="46"/>
        <v>2982.99551231331</v>
      </c>
      <c r="N293" s="1">
        <f t="shared" si="47"/>
        <v>9.5041128595120791E+25</v>
      </c>
      <c r="O293" s="2">
        <f t="shared" si="48"/>
        <v>3080.0732134535197</v>
      </c>
      <c r="P293" s="2">
        <f t="shared" si="49"/>
        <v>42.442805199094693</v>
      </c>
      <c r="Q293" s="2">
        <f t="shared" si="50"/>
        <v>-6.9542199094691171E-2</v>
      </c>
      <c r="R293" s="2">
        <f t="shared" si="51"/>
        <v>0.11970291465373795</v>
      </c>
      <c r="S293" s="12">
        <v>2803.914376881185</v>
      </c>
      <c r="T293" s="2">
        <f t="shared" si="52"/>
        <v>42.238823737243813</v>
      </c>
      <c r="U293" s="2">
        <f t="shared" si="53"/>
        <v>0.13443926275618878</v>
      </c>
      <c r="V293" s="2">
        <f t="shared" si="54"/>
        <v>0.4473630694890614</v>
      </c>
    </row>
    <row r="294" spans="1:22" x14ac:dyDescent="0.25">
      <c r="A294" t="s">
        <v>314</v>
      </c>
      <c r="B294" s="2">
        <v>0.51900000000000002</v>
      </c>
      <c r="C294" s="8">
        <v>1E-3</v>
      </c>
      <c r="D294" s="8">
        <v>22.913</v>
      </c>
      <c r="E294" s="8">
        <v>3.5999999999999997E-2</v>
      </c>
      <c r="F294" s="8">
        <v>1.08</v>
      </c>
      <c r="G294" s="8">
        <v>1.6E-2</v>
      </c>
      <c r="H294" s="8">
        <v>-8.2000000000000003E-2</v>
      </c>
      <c r="I294" s="8">
        <v>2.4E-2</v>
      </c>
      <c r="J294" s="8">
        <v>0.12</v>
      </c>
      <c r="K294" s="8">
        <f t="shared" si="44"/>
        <v>0.19600000000000001</v>
      </c>
      <c r="L294" s="8">
        <f t="shared" si="45"/>
        <v>42.521419999999999</v>
      </c>
      <c r="M294" s="1">
        <f t="shared" si="46"/>
        <v>3193.6255932948761</v>
      </c>
      <c r="N294" s="1">
        <f t="shared" si="47"/>
        <v>9.5668790389452146E+25</v>
      </c>
      <c r="O294" s="2">
        <f t="shared" si="48"/>
        <v>3100.4143469017963</v>
      </c>
      <c r="P294" s="2">
        <f t="shared" si="49"/>
        <v>42.457098689410273</v>
      </c>
      <c r="Q294" s="2">
        <f t="shared" si="50"/>
        <v>6.4321310589726011E-2</v>
      </c>
      <c r="R294" s="2">
        <f t="shared" si="51"/>
        <v>0.10769551738806744</v>
      </c>
      <c r="S294" s="12">
        <v>2823.5386863536387</v>
      </c>
      <c r="T294" s="2">
        <f t="shared" si="52"/>
        <v>42.253968712719384</v>
      </c>
      <c r="U294" s="2">
        <f t="shared" si="53"/>
        <v>0.26745128728061474</v>
      </c>
      <c r="V294" s="2">
        <f t="shared" si="54"/>
        <v>1.861989563412586</v>
      </c>
    </row>
    <row r="295" spans="1:22" x14ac:dyDescent="0.25">
      <c r="A295" t="s">
        <v>315</v>
      </c>
      <c r="B295" s="2">
        <v>0.52200000000000002</v>
      </c>
      <c r="C295" s="8">
        <v>1E-3</v>
      </c>
      <c r="D295" s="8">
        <v>23.327000000000002</v>
      </c>
      <c r="E295" s="8">
        <v>3.7999999999999999E-2</v>
      </c>
      <c r="F295" s="8">
        <v>1.133</v>
      </c>
      <c r="G295" s="8">
        <v>2.7E-2</v>
      </c>
      <c r="H295" s="8">
        <v>3.6999999999999998E-2</v>
      </c>
      <c r="I295" s="8">
        <v>3.4000000000000002E-2</v>
      </c>
      <c r="J295" s="8">
        <v>0.12</v>
      </c>
      <c r="K295" s="8">
        <f t="shared" si="44"/>
        <v>0.219</v>
      </c>
      <c r="L295" s="8">
        <f t="shared" si="45"/>
        <v>42.570740999999998</v>
      </c>
      <c r="M295" s="1">
        <f t="shared" si="46"/>
        <v>3266.9929703735665</v>
      </c>
      <c r="N295" s="1">
        <f t="shared" si="47"/>
        <v>9.6297140664741283E+25</v>
      </c>
      <c r="O295" s="2">
        <f t="shared" si="48"/>
        <v>3120.7777924983752</v>
      </c>
      <c r="P295" s="2">
        <f t="shared" si="49"/>
        <v>42.471314234343389</v>
      </c>
      <c r="Q295" s="2">
        <f t="shared" si="50"/>
        <v>9.9426765656609462E-2</v>
      </c>
      <c r="R295" s="2">
        <f t="shared" si="51"/>
        <v>0.20611917451542577</v>
      </c>
      <c r="S295" s="12">
        <v>2843.1936195074222</v>
      </c>
      <c r="T295" s="2">
        <f t="shared" si="52"/>
        <v>42.269032179247908</v>
      </c>
      <c r="U295" s="2">
        <f t="shared" si="53"/>
        <v>0.30170882075208993</v>
      </c>
      <c r="V295" s="2">
        <f t="shared" si="54"/>
        <v>1.8979631892499478</v>
      </c>
    </row>
    <row r="296" spans="1:22" x14ac:dyDescent="0.25">
      <c r="A296" t="s">
        <v>316</v>
      </c>
      <c r="B296" s="2">
        <v>0.53100000000000003</v>
      </c>
      <c r="C296" s="8">
        <v>1E-3</v>
      </c>
      <c r="D296" s="8">
        <v>23.300999999999998</v>
      </c>
      <c r="E296" s="8">
        <v>4.4999999999999998E-2</v>
      </c>
      <c r="F296" s="8">
        <v>1.099</v>
      </c>
      <c r="G296" s="8">
        <v>5.1999999999999998E-2</v>
      </c>
      <c r="H296" s="8">
        <v>0.06</v>
      </c>
      <c r="I296" s="8">
        <v>3.2000000000000001E-2</v>
      </c>
      <c r="J296" s="8">
        <v>0.12</v>
      </c>
      <c r="K296" s="8">
        <f t="shared" si="44"/>
        <v>0.249</v>
      </c>
      <c r="L296" s="8">
        <f t="shared" si="45"/>
        <v>42.467753000000002</v>
      </c>
      <c r="M296" s="1">
        <f t="shared" si="46"/>
        <v>3115.6638833367306</v>
      </c>
      <c r="N296" s="1">
        <f t="shared" si="47"/>
        <v>9.8186297894614936E+25</v>
      </c>
      <c r="O296" s="2">
        <f t="shared" si="48"/>
        <v>3182.0012087787522</v>
      </c>
      <c r="P296" s="2">
        <f t="shared" si="49"/>
        <v>42.513501701452</v>
      </c>
      <c r="Q296" s="2">
        <f t="shared" si="50"/>
        <v>-4.5748701451998386E-2</v>
      </c>
      <c r="R296" s="2">
        <f t="shared" si="51"/>
        <v>3.375661174084417E-2</v>
      </c>
      <c r="S296" s="12">
        <v>2902.3410294080063</v>
      </c>
      <c r="T296" s="2">
        <f t="shared" si="52"/>
        <v>42.313742206753098</v>
      </c>
      <c r="U296" s="2">
        <f t="shared" si="53"/>
        <v>0.15401079324690414</v>
      </c>
      <c r="V296" s="2">
        <f t="shared" si="54"/>
        <v>0.38256357859616225</v>
      </c>
    </row>
    <row r="297" spans="1:22" x14ac:dyDescent="0.25">
      <c r="A297" t="s">
        <v>317</v>
      </c>
      <c r="B297" s="2">
        <v>0.53200000000000003</v>
      </c>
      <c r="C297" s="8">
        <v>1E-3</v>
      </c>
      <c r="D297" s="8">
        <v>23.468</v>
      </c>
      <c r="E297" s="8">
        <v>0.05</v>
      </c>
      <c r="F297" s="8">
        <v>0.94399999999999995</v>
      </c>
      <c r="G297" s="8">
        <v>0.04</v>
      </c>
      <c r="H297" s="8">
        <v>8.8999999999999996E-2</v>
      </c>
      <c r="I297" s="8">
        <v>4.5999999999999999E-2</v>
      </c>
      <c r="J297" s="8">
        <v>0.12</v>
      </c>
      <c r="K297" s="8">
        <f t="shared" si="44"/>
        <v>0.25600000000000001</v>
      </c>
      <c r="L297" s="8">
        <f t="shared" si="45"/>
        <v>42.521197999999998</v>
      </c>
      <c r="M297" s="1">
        <f t="shared" si="46"/>
        <v>3193.2991103801555</v>
      </c>
      <c r="N297" s="1">
        <f t="shared" si="47"/>
        <v>9.8396582523913225E+25</v>
      </c>
      <c r="O297" s="2">
        <f t="shared" si="48"/>
        <v>3188.8160694972294</v>
      </c>
      <c r="P297" s="2">
        <f t="shared" si="49"/>
        <v>42.518147349576196</v>
      </c>
      <c r="Q297" s="2">
        <f t="shared" si="50"/>
        <v>3.0506504238019261E-3</v>
      </c>
      <c r="R297" s="2">
        <f t="shared" si="51"/>
        <v>1.4200543225468249E-4</v>
      </c>
      <c r="S297" s="12">
        <v>2908.9297819061057</v>
      </c>
      <c r="T297" s="2">
        <f t="shared" si="52"/>
        <v>42.318666190115039</v>
      </c>
      <c r="U297" s="2">
        <f t="shared" si="53"/>
        <v>0.20253180988495956</v>
      </c>
      <c r="V297" s="2">
        <f t="shared" si="54"/>
        <v>0.6259023134655366</v>
      </c>
    </row>
    <row r="298" spans="1:22" x14ac:dyDescent="0.25">
      <c r="A298" t="s">
        <v>318</v>
      </c>
      <c r="B298" s="2">
        <v>0.53400000000000003</v>
      </c>
      <c r="C298" s="8">
        <v>1E-3</v>
      </c>
      <c r="D298" s="8">
        <v>23.006</v>
      </c>
      <c r="E298" s="8">
        <v>4.4999999999999998E-2</v>
      </c>
      <c r="F298" s="8">
        <v>1.113</v>
      </c>
      <c r="G298" s="8">
        <v>3.5999999999999997E-2</v>
      </c>
      <c r="H298" s="8">
        <v>-3.5999999999999997E-2</v>
      </c>
      <c r="I298" s="8">
        <v>3.2000000000000001E-2</v>
      </c>
      <c r="J298" s="8">
        <v>0.12</v>
      </c>
      <c r="K298" s="8">
        <f t="shared" si="44"/>
        <v>0.23299999999999998</v>
      </c>
      <c r="L298" s="8">
        <f t="shared" si="45"/>
        <v>42.475290999999999</v>
      </c>
      <c r="M298" s="1">
        <f t="shared" si="46"/>
        <v>3126.4983225057972</v>
      </c>
      <c r="N298" s="1">
        <f t="shared" si="47"/>
        <v>9.8817377669962359E+25</v>
      </c>
      <c r="O298" s="2">
        <f t="shared" si="48"/>
        <v>3202.4531114479682</v>
      </c>
      <c r="P298" s="2">
        <f t="shared" si="49"/>
        <v>42.527413898815098</v>
      </c>
      <c r="Q298" s="2">
        <f t="shared" si="50"/>
        <v>-5.2122898815099461E-2</v>
      </c>
      <c r="R298" s="2">
        <f t="shared" si="51"/>
        <v>5.004322387388048E-2</v>
      </c>
      <c r="S298" s="12">
        <v>2922.1173279836808</v>
      </c>
      <c r="T298" s="2">
        <f t="shared" si="52"/>
        <v>42.328488248054541</v>
      </c>
      <c r="U298" s="2">
        <f t="shared" si="53"/>
        <v>0.146802751945458</v>
      </c>
      <c r="V298" s="2">
        <f t="shared" si="54"/>
        <v>0.39696896201366161</v>
      </c>
    </row>
    <row r="299" spans="1:22" x14ac:dyDescent="0.25">
      <c r="A299" t="s">
        <v>319</v>
      </c>
      <c r="B299" s="2">
        <v>0.53600000000000003</v>
      </c>
      <c r="C299" s="8">
        <v>1E-3</v>
      </c>
      <c r="D299" s="8">
        <v>23.303000000000001</v>
      </c>
      <c r="E299" s="8">
        <v>0.04</v>
      </c>
      <c r="F299" s="8">
        <v>1.0589999999999999</v>
      </c>
      <c r="G299" s="8">
        <v>2.1000000000000001E-2</v>
      </c>
      <c r="H299" s="8">
        <v>8.1000000000000003E-2</v>
      </c>
      <c r="I299" s="8">
        <v>2.9000000000000001E-2</v>
      </c>
      <c r="J299" s="8">
        <v>0.12</v>
      </c>
      <c r="K299" s="8">
        <f t="shared" si="44"/>
        <v>0.21</v>
      </c>
      <c r="L299" s="8">
        <f t="shared" si="45"/>
        <v>42.398143000000005</v>
      </c>
      <c r="M299" s="1">
        <f t="shared" si="46"/>
        <v>3017.3702217575596</v>
      </c>
      <c r="N299" s="1">
        <f t="shared" si="47"/>
        <v>9.9238473405465947E+25</v>
      </c>
      <c r="O299" s="2">
        <f t="shared" si="48"/>
        <v>3216.0998948394977</v>
      </c>
      <c r="P299" s="2">
        <f t="shared" si="49"/>
        <v>42.536647649237459</v>
      </c>
      <c r="Q299" s="2">
        <f t="shared" si="50"/>
        <v>-0.1385046492374542</v>
      </c>
      <c r="R299" s="2">
        <f t="shared" si="51"/>
        <v>0.43500085851225001</v>
      </c>
      <c r="S299" s="12">
        <v>2935.3182346612375</v>
      </c>
      <c r="T299" s="2">
        <f t="shared" si="52"/>
        <v>42.338275962441372</v>
      </c>
      <c r="U299" s="2">
        <f t="shared" si="53"/>
        <v>5.9867037558632319E-2</v>
      </c>
      <c r="V299" s="2">
        <f t="shared" si="54"/>
        <v>8.127125138427875E-2</v>
      </c>
    </row>
    <row r="300" spans="1:22" x14ac:dyDescent="0.25">
      <c r="A300" t="s">
        <v>320</v>
      </c>
      <c r="B300" s="2">
        <v>0.53700000000000003</v>
      </c>
      <c r="C300" s="8">
        <v>1E-3</v>
      </c>
      <c r="D300" s="8">
        <v>22.916</v>
      </c>
      <c r="E300" s="8">
        <v>3.6999999999999998E-2</v>
      </c>
      <c r="F300" s="8">
        <v>1.1000000000000001</v>
      </c>
      <c r="G300" s="8">
        <v>1.7000000000000001E-2</v>
      </c>
      <c r="H300" s="8">
        <v>-0.114</v>
      </c>
      <c r="I300" s="8">
        <v>2.5000000000000001E-2</v>
      </c>
      <c r="J300" s="8">
        <v>0.12</v>
      </c>
      <c r="K300" s="8">
        <f t="shared" si="44"/>
        <v>0.19900000000000001</v>
      </c>
      <c r="L300" s="8">
        <f t="shared" si="45"/>
        <v>42.627520000000004</v>
      </c>
      <c r="M300" s="1">
        <f t="shared" si="46"/>
        <v>3353.543931644434</v>
      </c>
      <c r="N300" s="1">
        <f t="shared" si="47"/>
        <v>9.9449133772108956E+25</v>
      </c>
      <c r="O300" s="2">
        <f t="shared" si="48"/>
        <v>3222.9269323760313</v>
      </c>
      <c r="P300" s="2">
        <f t="shared" si="49"/>
        <v>42.541252298232472</v>
      </c>
      <c r="Q300" s="2">
        <f t="shared" si="50"/>
        <v>8.6267701767532401E-2</v>
      </c>
      <c r="R300" s="2">
        <f t="shared" si="51"/>
        <v>0.18792748587793015</v>
      </c>
      <c r="S300" s="12">
        <v>2941.9236879308828</v>
      </c>
      <c r="T300" s="2">
        <f t="shared" si="52"/>
        <v>42.343157015750279</v>
      </c>
      <c r="U300" s="2">
        <f t="shared" si="53"/>
        <v>0.28436298424972506</v>
      </c>
      <c r="V300" s="2">
        <f t="shared" si="54"/>
        <v>2.0419258809476872</v>
      </c>
    </row>
    <row r="301" spans="1:22" x14ac:dyDescent="0.25">
      <c r="A301" t="s">
        <v>321</v>
      </c>
      <c r="B301" s="2">
        <v>0.55000000000000004</v>
      </c>
      <c r="C301" s="8">
        <v>1.7999999999999999E-2</v>
      </c>
      <c r="D301" s="8">
        <v>23.347000000000001</v>
      </c>
      <c r="E301" s="8">
        <v>4.2999999999999997E-2</v>
      </c>
      <c r="F301" s="8">
        <v>1.095</v>
      </c>
      <c r="G301" s="8">
        <v>2.9000000000000001E-2</v>
      </c>
      <c r="H301" s="8">
        <v>0.13400000000000001</v>
      </c>
      <c r="I301" s="8">
        <v>3.7999999999999999E-2</v>
      </c>
      <c r="J301" s="8">
        <v>0.12</v>
      </c>
      <c r="K301" s="8">
        <f t="shared" si="44"/>
        <v>0.22999999999999998</v>
      </c>
      <c r="L301" s="8">
        <f t="shared" si="45"/>
        <v>42.281545000000001</v>
      </c>
      <c r="M301" s="1">
        <f t="shared" si="46"/>
        <v>2859.6244390709139</v>
      </c>
      <c r="N301" s="1">
        <f t="shared" si="47"/>
        <v>1.0219450064809467E+26</v>
      </c>
      <c r="O301" s="2">
        <f t="shared" si="48"/>
        <v>3311.8982135552437</v>
      </c>
      <c r="P301" s="2">
        <f t="shared" si="49"/>
        <v>42.600384904497517</v>
      </c>
      <c r="Q301" s="2">
        <f t="shared" si="50"/>
        <v>-0.31883990449751565</v>
      </c>
      <c r="R301" s="2">
        <f t="shared" si="51"/>
        <v>1.9217180472586941</v>
      </c>
      <c r="S301" s="12">
        <v>3028.0959236695635</v>
      </c>
      <c r="T301" s="2">
        <f t="shared" si="52"/>
        <v>42.405848142879492</v>
      </c>
      <c r="U301" s="2">
        <f t="shared" si="53"/>
        <v>-0.12430314287949074</v>
      </c>
      <c r="V301" s="2">
        <f t="shared" si="54"/>
        <v>0.29208452419128716</v>
      </c>
    </row>
    <row r="302" spans="1:22" x14ac:dyDescent="0.25">
      <c r="A302" t="s">
        <v>322</v>
      </c>
      <c r="B302" s="2">
        <v>0.55200000000000005</v>
      </c>
      <c r="C302" s="8">
        <v>0</v>
      </c>
      <c r="D302" s="8">
        <v>23.503</v>
      </c>
      <c r="E302" s="8">
        <v>3.9E-2</v>
      </c>
      <c r="F302" s="8">
        <v>0.93500000000000005</v>
      </c>
      <c r="G302" s="8">
        <v>1.7000000000000001E-2</v>
      </c>
      <c r="H302" s="8">
        <v>9.6000000000000002E-2</v>
      </c>
      <c r="I302" s="8">
        <v>3.4000000000000002E-2</v>
      </c>
      <c r="J302" s="8">
        <v>0.12</v>
      </c>
      <c r="K302" s="8">
        <f t="shared" si="44"/>
        <v>0.21</v>
      </c>
      <c r="L302" s="8">
        <f t="shared" si="45"/>
        <v>42.532965000000004</v>
      </c>
      <c r="M302" s="1">
        <f t="shared" si="46"/>
        <v>3210.6502605768587</v>
      </c>
      <c r="N302" s="1">
        <f t="shared" si="47"/>
        <v>1.0261797570405338E+26</v>
      </c>
      <c r="O302" s="2">
        <f t="shared" si="48"/>
        <v>3325.6221054713496</v>
      </c>
      <c r="P302" s="2">
        <f t="shared" si="49"/>
        <v>42.609364491355841</v>
      </c>
      <c r="Q302" s="2">
        <f t="shared" si="50"/>
        <v>-7.6399491355836346E-2</v>
      </c>
      <c r="R302" s="2">
        <f t="shared" si="51"/>
        <v>0.13235560724332229</v>
      </c>
      <c r="S302" s="12">
        <v>3041.4025373793984</v>
      </c>
      <c r="T302" s="2">
        <f t="shared" si="52"/>
        <v>42.415369519650625</v>
      </c>
      <c r="U302" s="2">
        <f t="shared" si="53"/>
        <v>0.1175954803493795</v>
      </c>
      <c r="V302" s="2">
        <f t="shared" si="54"/>
        <v>0.31357589565989347</v>
      </c>
    </row>
    <row r="303" spans="1:22" x14ac:dyDescent="0.25">
      <c r="A303" t="s">
        <v>323</v>
      </c>
      <c r="B303" s="2">
        <v>0.55200000000000005</v>
      </c>
      <c r="C303" s="8">
        <v>1E-3</v>
      </c>
      <c r="D303" s="8">
        <v>23.446999999999999</v>
      </c>
      <c r="E303" s="8">
        <v>4.2999999999999997E-2</v>
      </c>
      <c r="F303" s="8">
        <v>1.05</v>
      </c>
      <c r="G303" s="8">
        <v>4.9000000000000002E-2</v>
      </c>
      <c r="H303" s="8">
        <v>-2E-3</v>
      </c>
      <c r="I303" s="8">
        <v>3.6999999999999998E-2</v>
      </c>
      <c r="J303" s="8">
        <v>0.12</v>
      </c>
      <c r="K303" s="8">
        <f t="shared" si="44"/>
        <v>0.249</v>
      </c>
      <c r="L303" s="8">
        <f t="shared" si="45"/>
        <v>42.800609999999999</v>
      </c>
      <c r="M303" s="1">
        <f t="shared" si="46"/>
        <v>3631.800633075281</v>
      </c>
      <c r="N303" s="1">
        <f t="shared" si="47"/>
        <v>1.0261797570405338E+26</v>
      </c>
      <c r="O303" s="2">
        <f t="shared" si="48"/>
        <v>3325.6221054713496</v>
      </c>
      <c r="P303" s="2">
        <f t="shared" si="49"/>
        <v>42.609364491355841</v>
      </c>
      <c r="Q303" s="2">
        <f t="shared" si="50"/>
        <v>0.19124550864415824</v>
      </c>
      <c r="R303" s="2">
        <f t="shared" si="51"/>
        <v>0.58990733337466816</v>
      </c>
      <c r="S303" s="12">
        <v>3041.4025373793984</v>
      </c>
      <c r="T303" s="2">
        <f t="shared" si="52"/>
        <v>42.415369519650625</v>
      </c>
      <c r="U303" s="2">
        <f t="shared" si="53"/>
        <v>0.38524048034937408</v>
      </c>
      <c r="V303" s="2">
        <f t="shared" si="54"/>
        <v>2.3936747423399054</v>
      </c>
    </row>
    <row r="304" spans="1:22" x14ac:dyDescent="0.25">
      <c r="A304" t="s">
        <v>324</v>
      </c>
      <c r="B304" s="2">
        <v>0.55200000000000005</v>
      </c>
      <c r="C304" s="8">
        <v>1E-3</v>
      </c>
      <c r="D304" s="8">
        <v>23.231000000000002</v>
      </c>
      <c r="E304" s="8">
        <v>5.0999999999999997E-2</v>
      </c>
      <c r="F304" s="8">
        <v>1.0980000000000001</v>
      </c>
      <c r="G304" s="8">
        <v>2.5999999999999999E-2</v>
      </c>
      <c r="H304" s="8">
        <v>-2.8000000000000001E-2</v>
      </c>
      <c r="I304" s="8">
        <v>0.03</v>
      </c>
      <c r="J304" s="8">
        <v>0.12</v>
      </c>
      <c r="K304" s="8">
        <f t="shared" si="44"/>
        <v>0.22699999999999998</v>
      </c>
      <c r="L304" s="8">
        <f t="shared" si="45"/>
        <v>42.673045999999999</v>
      </c>
      <c r="M304" s="1">
        <f t="shared" si="46"/>
        <v>3424.5948559969233</v>
      </c>
      <c r="N304" s="1">
        <f t="shared" si="47"/>
        <v>1.0261797570405338E+26</v>
      </c>
      <c r="O304" s="2">
        <f t="shared" si="48"/>
        <v>3325.6221054713496</v>
      </c>
      <c r="P304" s="2">
        <f t="shared" si="49"/>
        <v>42.609364491355841</v>
      </c>
      <c r="Q304" s="2">
        <f t="shared" si="50"/>
        <v>6.3681508644158669E-2</v>
      </c>
      <c r="R304" s="2">
        <f t="shared" si="51"/>
        <v>7.8700043532691402E-2</v>
      </c>
      <c r="S304" s="12">
        <v>3041.4025373793984</v>
      </c>
      <c r="T304" s="2">
        <f t="shared" si="52"/>
        <v>42.415369519650625</v>
      </c>
      <c r="U304" s="2">
        <f t="shared" si="53"/>
        <v>0.25767648034937451</v>
      </c>
      <c r="V304" s="2">
        <f t="shared" si="54"/>
        <v>1.2885398227258749</v>
      </c>
    </row>
    <row r="305" spans="1:22" x14ac:dyDescent="0.25">
      <c r="A305" t="s">
        <v>325</v>
      </c>
      <c r="B305" s="2">
        <v>0.55900000000000005</v>
      </c>
      <c r="C305" s="8">
        <v>1E-3</v>
      </c>
      <c r="D305" s="8">
        <v>23.556000000000001</v>
      </c>
      <c r="E305" s="8">
        <v>4.1000000000000002E-2</v>
      </c>
      <c r="F305" s="8">
        <v>0.95299999999999996</v>
      </c>
      <c r="G305" s="8">
        <v>2.5999999999999999E-2</v>
      </c>
      <c r="H305" s="8">
        <v>2.3E-2</v>
      </c>
      <c r="I305" s="8">
        <v>3.5000000000000003E-2</v>
      </c>
      <c r="J305" s="8">
        <v>0.12</v>
      </c>
      <c r="K305" s="8">
        <f t="shared" si="44"/>
        <v>0.222</v>
      </c>
      <c r="L305" s="8">
        <f t="shared" si="45"/>
        <v>42.817101000000001</v>
      </c>
      <c r="M305" s="1">
        <f t="shared" si="46"/>
        <v>3659.4869266520218</v>
      </c>
      <c r="N305" s="1">
        <f t="shared" si="47"/>
        <v>1.0410245127792108E+26</v>
      </c>
      <c r="O305" s="2">
        <f t="shared" si="48"/>
        <v>3373.7306824493662</v>
      </c>
      <c r="P305" s="2">
        <f t="shared" si="49"/>
        <v>42.640552054285017</v>
      </c>
      <c r="Q305" s="2">
        <f t="shared" si="50"/>
        <v>0.17654894571498403</v>
      </c>
      <c r="R305" s="2">
        <f t="shared" si="51"/>
        <v>0.63244724927100837</v>
      </c>
      <c r="S305" s="12">
        <v>3088.0783816736866</v>
      </c>
      <c r="T305" s="2">
        <f t="shared" si="52"/>
        <v>42.448441575378645</v>
      </c>
      <c r="U305" s="2">
        <f t="shared" si="53"/>
        <v>0.36865942462135592</v>
      </c>
      <c r="V305" s="2">
        <f t="shared" si="54"/>
        <v>2.7576854833647677</v>
      </c>
    </row>
    <row r="306" spans="1:22" x14ac:dyDescent="0.25">
      <c r="A306" t="s">
        <v>326</v>
      </c>
      <c r="B306" s="2">
        <v>0.56000000000000005</v>
      </c>
      <c r="C306" s="8">
        <v>2E-3</v>
      </c>
      <c r="D306" s="8">
        <v>23.715</v>
      </c>
      <c r="E306" s="8">
        <v>3.9E-2</v>
      </c>
      <c r="F306" s="8">
        <v>1.042</v>
      </c>
      <c r="G306" s="8">
        <v>2.3E-2</v>
      </c>
      <c r="H306" s="8">
        <v>0.14299999999999999</v>
      </c>
      <c r="I306" s="8">
        <v>3.3000000000000002E-2</v>
      </c>
      <c r="J306" s="8">
        <v>0.12</v>
      </c>
      <c r="K306" s="8">
        <f t="shared" si="44"/>
        <v>0.215</v>
      </c>
      <c r="L306" s="8">
        <f t="shared" si="45"/>
        <v>42.613584000000003</v>
      </c>
      <c r="M306" s="1">
        <f t="shared" si="46"/>
        <v>3332.0905890916347</v>
      </c>
      <c r="N306" s="1">
        <f t="shared" si="47"/>
        <v>1.0431481176857931E+26</v>
      </c>
      <c r="O306" s="2">
        <f t="shared" si="48"/>
        <v>3380.612817252907</v>
      </c>
      <c r="P306" s="2">
        <f t="shared" si="49"/>
        <v>42.644977168588682</v>
      </c>
      <c r="Q306" s="2">
        <f t="shared" si="50"/>
        <v>-3.1393168588678577E-2</v>
      </c>
      <c r="R306" s="2">
        <f t="shared" si="51"/>
        <v>2.132030360275166E-2</v>
      </c>
      <c r="S306" s="12">
        <v>3094.7593468883738</v>
      </c>
      <c r="T306" s="2">
        <f t="shared" si="52"/>
        <v>42.453134416406016</v>
      </c>
      <c r="U306" s="2">
        <f t="shared" si="53"/>
        <v>0.1604495835939872</v>
      </c>
      <c r="V306" s="2">
        <f t="shared" si="54"/>
        <v>0.55692955923166876</v>
      </c>
    </row>
    <row r="307" spans="1:22" x14ac:dyDescent="0.25">
      <c r="A307" t="s">
        <v>327</v>
      </c>
      <c r="B307" s="2">
        <v>0.56000000000000005</v>
      </c>
      <c r="C307" s="8">
        <v>1E-3</v>
      </c>
      <c r="D307" s="8">
        <v>24.154</v>
      </c>
      <c r="E307" s="8">
        <v>4.8000000000000001E-2</v>
      </c>
      <c r="F307" s="8">
        <v>1.075</v>
      </c>
      <c r="G307" s="8">
        <v>3.5999999999999997E-2</v>
      </c>
      <c r="H307" s="8">
        <v>0.16400000000000001</v>
      </c>
      <c r="I307" s="8">
        <v>4.2000000000000003E-2</v>
      </c>
      <c r="J307" s="8">
        <v>0.12</v>
      </c>
      <c r="K307" s="8">
        <f t="shared" si="44"/>
        <v>0.246</v>
      </c>
      <c r="L307" s="8">
        <f t="shared" si="45"/>
        <v>42.991704999999996</v>
      </c>
      <c r="M307" s="1">
        <f t="shared" si="46"/>
        <v>3965.893066300805</v>
      </c>
      <c r="N307" s="1">
        <f t="shared" si="47"/>
        <v>1.0431481176857931E+26</v>
      </c>
      <c r="O307" s="2">
        <f t="shared" si="48"/>
        <v>3380.612817252907</v>
      </c>
      <c r="P307" s="2">
        <f t="shared" si="49"/>
        <v>42.644977168588682</v>
      </c>
      <c r="Q307" s="2">
        <f t="shared" si="50"/>
        <v>0.34672783141131447</v>
      </c>
      <c r="R307" s="2">
        <f t="shared" si="51"/>
        <v>1.9865851853260776</v>
      </c>
      <c r="S307" s="12">
        <v>3094.7593468883738</v>
      </c>
      <c r="T307" s="2">
        <f t="shared" si="52"/>
        <v>42.453134416406016</v>
      </c>
      <c r="U307" s="2">
        <f t="shared" si="53"/>
        <v>0.53857058359398025</v>
      </c>
      <c r="V307" s="2">
        <f t="shared" si="54"/>
        <v>4.7930840358378024</v>
      </c>
    </row>
    <row r="308" spans="1:22" x14ac:dyDescent="0.25">
      <c r="A308" t="s">
        <v>328</v>
      </c>
      <c r="B308" s="2">
        <v>0.56299999999999994</v>
      </c>
      <c r="C308" s="8">
        <v>1E-3</v>
      </c>
      <c r="D308" s="8">
        <v>23.495999999999999</v>
      </c>
      <c r="E308" s="8">
        <v>4.1000000000000002E-2</v>
      </c>
      <c r="F308" s="8">
        <v>0.98099999999999998</v>
      </c>
      <c r="G308" s="8">
        <v>2.1000000000000001E-2</v>
      </c>
      <c r="H308" s="8">
        <v>-5.0000000000000001E-3</v>
      </c>
      <c r="I308" s="8">
        <v>2.9000000000000001E-2</v>
      </c>
      <c r="J308" s="8">
        <v>0.12</v>
      </c>
      <c r="K308" s="8">
        <f t="shared" si="44"/>
        <v>0.21099999999999999</v>
      </c>
      <c r="L308" s="8">
        <f t="shared" si="45"/>
        <v>42.848856999999995</v>
      </c>
      <c r="M308" s="1">
        <f t="shared" si="46"/>
        <v>3713.3971520576524</v>
      </c>
      <c r="N308" s="1">
        <f t="shared" si="47"/>
        <v>1.0495233018447643E+26</v>
      </c>
      <c r="O308" s="2">
        <f t="shared" si="48"/>
        <v>3401.2733820516801</v>
      </c>
      <c r="P308" s="2">
        <f t="shared" si="49"/>
        <v>42.658207701776064</v>
      </c>
      <c r="Q308" s="2">
        <f t="shared" si="50"/>
        <v>0.1906492982239314</v>
      </c>
      <c r="R308" s="2">
        <f t="shared" si="51"/>
        <v>0.81640472840406841</v>
      </c>
      <c r="S308" s="12">
        <v>3114.8216361082837</v>
      </c>
      <c r="T308" s="2">
        <f t="shared" si="52"/>
        <v>42.467165913608738</v>
      </c>
      <c r="U308" s="2">
        <f t="shared" si="53"/>
        <v>0.38169108639125682</v>
      </c>
      <c r="V308" s="2">
        <f t="shared" si="54"/>
        <v>3.2723453073951143</v>
      </c>
    </row>
    <row r="309" spans="1:22" x14ac:dyDescent="0.25">
      <c r="A309" t="s">
        <v>329</v>
      </c>
      <c r="B309" s="2">
        <v>0.56599999999999995</v>
      </c>
      <c r="C309" s="8">
        <v>1E-3</v>
      </c>
      <c r="D309" s="8">
        <v>23.317</v>
      </c>
      <c r="E309" s="8">
        <v>0.04</v>
      </c>
      <c r="F309" s="8">
        <v>1.129</v>
      </c>
      <c r="G309" s="8">
        <v>2.5000000000000001E-2</v>
      </c>
      <c r="H309" s="8">
        <v>1.7999999999999999E-2</v>
      </c>
      <c r="I309" s="8">
        <v>3.6999999999999998E-2</v>
      </c>
      <c r="J309" s="8">
        <v>0.12</v>
      </c>
      <c r="K309" s="8">
        <f t="shared" si="44"/>
        <v>0.222</v>
      </c>
      <c r="L309" s="8">
        <f t="shared" si="45"/>
        <v>42.619623000000004</v>
      </c>
      <c r="M309" s="1">
        <f t="shared" si="46"/>
        <v>3341.370238186948</v>
      </c>
      <c r="N309" s="1">
        <f t="shared" si="47"/>
        <v>1.0559050222829491E+26</v>
      </c>
      <c r="O309" s="2">
        <f t="shared" si="48"/>
        <v>3421.9551294887692</v>
      </c>
      <c r="P309" s="2">
        <f t="shared" si="49"/>
        <v>42.671371552701054</v>
      </c>
      <c r="Q309" s="2">
        <f t="shared" si="50"/>
        <v>-5.1748552701049277E-2</v>
      </c>
      <c r="R309" s="2">
        <f t="shared" si="51"/>
        <v>5.4336350674727585E-2</v>
      </c>
      <c r="S309" s="12">
        <v>3134.9129324769142</v>
      </c>
      <c r="T309" s="2">
        <f t="shared" si="52"/>
        <v>42.481127417269207</v>
      </c>
      <c r="U309" s="2">
        <f t="shared" si="53"/>
        <v>0.13849558273079765</v>
      </c>
      <c r="V309" s="2">
        <f t="shared" si="54"/>
        <v>0.38919378370146934</v>
      </c>
    </row>
    <row r="310" spans="1:22" x14ac:dyDescent="0.25">
      <c r="A310" t="s">
        <v>330</v>
      </c>
      <c r="B310" s="2">
        <v>0.57099999999999995</v>
      </c>
      <c r="C310" s="8">
        <v>1E-3</v>
      </c>
      <c r="D310" s="8">
        <v>23.314</v>
      </c>
      <c r="E310" s="8">
        <v>7.5999999999999998E-2</v>
      </c>
      <c r="F310" s="8">
        <v>1.238</v>
      </c>
      <c r="G310" s="8">
        <v>0.57199999999999995</v>
      </c>
      <c r="H310" s="8">
        <v>3.9E-2</v>
      </c>
      <c r="I310" s="8">
        <v>6.3E-2</v>
      </c>
      <c r="J310" s="8">
        <v>0.12</v>
      </c>
      <c r="K310" s="8">
        <f t="shared" si="44"/>
        <v>0.83099999999999985</v>
      </c>
      <c r="L310" s="8">
        <f t="shared" si="45"/>
        <v>42.566915999999999</v>
      </c>
      <c r="M310" s="1">
        <f t="shared" si="46"/>
        <v>3261.2433008931666</v>
      </c>
      <c r="N310" s="1">
        <f t="shared" si="47"/>
        <v>1.0665556859328197E+26</v>
      </c>
      <c r="O310" s="2">
        <f t="shared" si="48"/>
        <v>3456.47157968079</v>
      </c>
      <c r="P310" s="2">
        <f t="shared" si="49"/>
        <v>42.693164951559424</v>
      </c>
      <c r="Q310" s="2">
        <f t="shared" si="50"/>
        <v>-0.12624895155942539</v>
      </c>
      <c r="R310" s="2">
        <f t="shared" si="51"/>
        <v>2.3080941104195205E-2</v>
      </c>
      <c r="S310" s="12">
        <v>3168.4625973989746</v>
      </c>
      <c r="T310" s="2">
        <f t="shared" si="52"/>
        <v>42.504242923979625</v>
      </c>
      <c r="U310" s="2">
        <f t="shared" si="53"/>
        <v>6.2673076020374197E-2</v>
      </c>
      <c r="V310" s="2">
        <f t="shared" si="54"/>
        <v>5.6880050536529062E-3</v>
      </c>
    </row>
    <row r="311" spans="1:22" x14ac:dyDescent="0.25">
      <c r="A311" t="s">
        <v>331</v>
      </c>
      <c r="B311" s="2">
        <v>0.57399999999999995</v>
      </c>
      <c r="C311" s="8">
        <v>4.0000000000000001E-3</v>
      </c>
      <c r="D311" s="8">
        <v>23.655999999999999</v>
      </c>
      <c r="E311" s="8">
        <v>4.7E-2</v>
      </c>
      <c r="F311" s="8">
        <v>1.024</v>
      </c>
      <c r="G311" s="8">
        <v>4.2999999999999997E-2</v>
      </c>
      <c r="H311" s="8">
        <v>4.4999999999999998E-2</v>
      </c>
      <c r="I311" s="8">
        <v>3.9E-2</v>
      </c>
      <c r="J311" s="8">
        <v>0.12</v>
      </c>
      <c r="K311" s="8">
        <f t="shared" si="44"/>
        <v>0.249</v>
      </c>
      <c r="L311" s="8">
        <f t="shared" si="45"/>
        <v>42.858677999999998</v>
      </c>
      <c r="M311" s="1">
        <f t="shared" si="46"/>
        <v>3730.2299095080707</v>
      </c>
      <c r="N311" s="1">
        <f t="shared" si="47"/>
        <v>1.0729547247900697E+26</v>
      </c>
      <c r="O311" s="2">
        <f t="shared" si="48"/>
        <v>3477.2094522917387</v>
      </c>
      <c r="P311" s="2">
        <f t="shared" si="49"/>
        <v>42.706154257607878</v>
      </c>
      <c r="Q311" s="2">
        <f t="shared" si="50"/>
        <v>0.15252374239211974</v>
      </c>
      <c r="R311" s="2">
        <f t="shared" si="51"/>
        <v>0.37521156099575337</v>
      </c>
      <c r="S311" s="12">
        <v>3188.6307261861925</v>
      </c>
      <c r="T311" s="2">
        <f t="shared" si="52"/>
        <v>42.518021133584369</v>
      </c>
      <c r="U311" s="2">
        <f t="shared" si="53"/>
        <v>0.3406568664156282</v>
      </c>
      <c r="V311" s="2">
        <f t="shared" si="54"/>
        <v>1.871697240949584</v>
      </c>
    </row>
    <row r="312" spans="1:22" x14ac:dyDescent="0.25">
      <c r="A312" t="s">
        <v>332</v>
      </c>
      <c r="B312" s="2">
        <v>0.57599999999999996</v>
      </c>
      <c r="C312" s="8">
        <v>2E-3</v>
      </c>
      <c r="D312" s="8">
        <v>23.512</v>
      </c>
      <c r="E312" s="8">
        <v>4.1000000000000002E-2</v>
      </c>
      <c r="F312" s="8">
        <v>0.86099999999999999</v>
      </c>
      <c r="G312" s="8">
        <v>1.7999999999999999E-2</v>
      </c>
      <c r="H312" s="8">
        <v>-3.9E-2</v>
      </c>
      <c r="I312" s="8">
        <v>3.4000000000000002E-2</v>
      </c>
      <c r="J312" s="8">
        <v>0.12</v>
      </c>
      <c r="K312" s="8">
        <f t="shared" si="44"/>
        <v>0.21299999999999999</v>
      </c>
      <c r="L312" s="8">
        <f t="shared" si="45"/>
        <v>42.953637000000001</v>
      </c>
      <c r="M312" s="1">
        <f t="shared" si="46"/>
        <v>3896.9730285921996</v>
      </c>
      <c r="N312" s="1">
        <f t="shared" si="47"/>
        <v>1.077224336996722E+26</v>
      </c>
      <c r="O312" s="2">
        <f t="shared" si="48"/>
        <v>3491.0463231117042</v>
      </c>
      <c r="P312" s="2">
        <f t="shared" si="49"/>
        <v>42.714778057789488</v>
      </c>
      <c r="Q312" s="2">
        <f t="shared" si="50"/>
        <v>0.23885894221051274</v>
      </c>
      <c r="R312" s="2">
        <f t="shared" si="51"/>
        <v>1.2575457751752313</v>
      </c>
      <c r="S312" s="12">
        <v>3202.0920510087217</v>
      </c>
      <c r="T312" s="2">
        <f t="shared" si="52"/>
        <v>42.527169062448763</v>
      </c>
      <c r="U312" s="2">
        <f t="shared" si="53"/>
        <v>0.42646793755123724</v>
      </c>
      <c r="V312" s="2">
        <f t="shared" si="54"/>
        <v>4.0087923859729324</v>
      </c>
    </row>
    <row r="313" spans="1:22" x14ac:dyDescent="0.25">
      <c r="A313" t="s">
        <v>333</v>
      </c>
      <c r="B313" s="2">
        <v>0.57899999999999996</v>
      </c>
      <c r="C313" s="8">
        <v>0</v>
      </c>
      <c r="D313" s="8">
        <v>23.321999999999999</v>
      </c>
      <c r="E313" s="8">
        <v>3.7999999999999999E-2</v>
      </c>
      <c r="F313" s="8">
        <v>1.161</v>
      </c>
      <c r="G313" s="8">
        <v>2.5000000000000001E-2</v>
      </c>
      <c r="H313" s="8">
        <v>3.5000000000000003E-2</v>
      </c>
      <c r="I313" s="8">
        <v>2.5999999999999999E-2</v>
      </c>
      <c r="J313" s="8">
        <v>0.12</v>
      </c>
      <c r="K313" s="8">
        <f t="shared" si="44"/>
        <v>0.20899999999999999</v>
      </c>
      <c r="L313" s="8">
        <f t="shared" si="45"/>
        <v>42.576116999999996</v>
      </c>
      <c r="M313" s="1">
        <f t="shared" si="46"/>
        <v>3275.0912143251744</v>
      </c>
      <c r="N313" s="1">
        <f t="shared" si="47"/>
        <v>1.0836341180724871E+26</v>
      </c>
      <c r="O313" s="2">
        <f t="shared" si="48"/>
        <v>3511.8190088819556</v>
      </c>
      <c r="P313" s="2">
        <f t="shared" si="49"/>
        <v>42.727660626333588</v>
      </c>
      <c r="Q313" s="2">
        <f t="shared" si="50"/>
        <v>-0.15154362633359142</v>
      </c>
      <c r="R313" s="2">
        <f t="shared" si="51"/>
        <v>0.52575423370195706</v>
      </c>
      <c r="S313" s="12">
        <v>3222.3078188916197</v>
      </c>
      <c r="T313" s="2">
        <f t="shared" si="52"/>
        <v>42.540835125575221</v>
      </c>
      <c r="U313" s="2">
        <f t="shared" si="53"/>
        <v>3.5281874424775594E-2</v>
      </c>
      <c r="V313" s="2">
        <f t="shared" si="54"/>
        <v>2.8497760191516546E-2</v>
      </c>
    </row>
    <row r="314" spans="1:22" x14ac:dyDescent="0.25">
      <c r="A314" t="s">
        <v>334</v>
      </c>
      <c r="B314" s="2">
        <v>0.57999999999999996</v>
      </c>
      <c r="C314" s="8">
        <v>0.01</v>
      </c>
      <c r="D314" s="8">
        <v>23.521000000000001</v>
      </c>
      <c r="E314" s="8">
        <v>5.8999999999999997E-2</v>
      </c>
      <c r="F314" s="8">
        <v>0.94599999999999995</v>
      </c>
      <c r="G314" s="8">
        <v>5.7000000000000002E-2</v>
      </c>
      <c r="H314" s="8">
        <v>-5.3999999999999999E-2</v>
      </c>
      <c r="I314" s="8">
        <v>0.05</v>
      </c>
      <c r="J314" s="8">
        <v>0.12</v>
      </c>
      <c r="K314" s="8">
        <f t="shared" si="44"/>
        <v>0.28599999999999998</v>
      </c>
      <c r="L314" s="8">
        <f t="shared" si="45"/>
        <v>43.022081999999997</v>
      </c>
      <c r="M314" s="1">
        <f t="shared" si="46"/>
        <v>4021.7623118537799</v>
      </c>
      <c r="N314" s="1">
        <f t="shared" si="47"/>
        <v>1.0857721385095389E+26</v>
      </c>
      <c r="O314" s="2">
        <f t="shared" si="48"/>
        <v>3518.747861238111</v>
      </c>
      <c r="P314" s="2">
        <f t="shared" si="49"/>
        <v>42.731940741115267</v>
      </c>
      <c r="Q314" s="2">
        <f t="shared" si="50"/>
        <v>0.29014125888473075</v>
      </c>
      <c r="R314" s="2">
        <f t="shared" si="51"/>
        <v>1.0291695206026745</v>
      </c>
      <c r="S314" s="12">
        <v>3229.0527341828883</v>
      </c>
      <c r="T314" s="2">
        <f t="shared" si="52"/>
        <v>42.545375688042803</v>
      </c>
      <c r="U314" s="2">
        <f t="shared" si="53"/>
        <v>0.47670631195719437</v>
      </c>
      <c r="V314" s="2">
        <f t="shared" si="54"/>
        <v>2.7782398633164211</v>
      </c>
    </row>
    <row r="315" spans="1:22" x14ac:dyDescent="0.25">
      <c r="A315" t="s">
        <v>335</v>
      </c>
      <c r="B315" s="2">
        <v>0.57999999999999996</v>
      </c>
      <c r="C315" s="8">
        <v>0.01</v>
      </c>
      <c r="D315" s="8">
        <v>23.335999999999999</v>
      </c>
      <c r="E315" s="8">
        <v>0.04</v>
      </c>
      <c r="F315" s="8">
        <v>1.095</v>
      </c>
      <c r="G315" s="8">
        <v>3.5999999999999997E-2</v>
      </c>
      <c r="H315" s="8">
        <v>0.01</v>
      </c>
      <c r="I315" s="8">
        <v>0.04</v>
      </c>
      <c r="J315" s="8">
        <v>0.12</v>
      </c>
      <c r="K315" s="8">
        <f t="shared" si="44"/>
        <v>0.23599999999999999</v>
      </c>
      <c r="L315" s="8">
        <f t="shared" si="45"/>
        <v>42.658664999999999</v>
      </c>
      <c r="M315" s="1">
        <f t="shared" si="46"/>
        <v>3401.9897439357542</v>
      </c>
      <c r="N315" s="1">
        <f t="shared" si="47"/>
        <v>1.0857721385095389E+26</v>
      </c>
      <c r="O315" s="2">
        <f t="shared" si="48"/>
        <v>3518.747861238111</v>
      </c>
      <c r="P315" s="2">
        <f t="shared" si="49"/>
        <v>42.731940741115267</v>
      </c>
      <c r="Q315" s="2">
        <f t="shared" si="50"/>
        <v>-7.3275741115267579E-2</v>
      </c>
      <c r="R315" s="2">
        <f t="shared" si="51"/>
        <v>9.6404306161873676E-2</v>
      </c>
      <c r="S315" s="12">
        <v>3229.0527341828883</v>
      </c>
      <c r="T315" s="2">
        <f t="shared" si="52"/>
        <v>42.545375688042803</v>
      </c>
      <c r="U315" s="2">
        <f t="shared" si="53"/>
        <v>0.11328931195719605</v>
      </c>
      <c r="V315" s="2">
        <f t="shared" si="54"/>
        <v>0.23043788070480617</v>
      </c>
    </row>
    <row r="316" spans="1:22" x14ac:dyDescent="0.25">
      <c r="A316" t="s">
        <v>336</v>
      </c>
      <c r="B316" s="2">
        <v>0.57999999999999996</v>
      </c>
      <c r="C316" s="8">
        <v>0.01</v>
      </c>
      <c r="D316" s="8">
        <v>23.303999999999998</v>
      </c>
      <c r="E316" s="8">
        <v>3.9E-2</v>
      </c>
      <c r="F316" s="8">
        <v>1.0780000000000001</v>
      </c>
      <c r="G316" s="8">
        <v>1.7000000000000001E-2</v>
      </c>
      <c r="H316" s="8">
        <v>-2.7E-2</v>
      </c>
      <c r="I316" s="8">
        <v>2.9000000000000001E-2</v>
      </c>
      <c r="J316" s="8">
        <v>0.12</v>
      </c>
      <c r="K316" s="8">
        <f t="shared" si="44"/>
        <v>0.20500000000000002</v>
      </c>
      <c r="L316" s="8">
        <f t="shared" si="45"/>
        <v>42.739975999999999</v>
      </c>
      <c r="M316" s="1">
        <f t="shared" si="46"/>
        <v>3531.7926628887976</v>
      </c>
      <c r="N316" s="1">
        <f t="shared" si="47"/>
        <v>1.0857721385095389E+26</v>
      </c>
      <c r="O316" s="2">
        <f t="shared" si="48"/>
        <v>3518.747861238111</v>
      </c>
      <c r="P316" s="2">
        <f t="shared" si="49"/>
        <v>42.731940741115267</v>
      </c>
      <c r="Q316" s="2">
        <f t="shared" si="50"/>
        <v>8.0352588847318884E-3</v>
      </c>
      <c r="R316" s="2">
        <f t="shared" si="51"/>
        <v>1.5363565816695478E-3</v>
      </c>
      <c r="S316" s="12">
        <v>3229.0527341828883</v>
      </c>
      <c r="T316" s="2">
        <f t="shared" si="52"/>
        <v>42.545375688042803</v>
      </c>
      <c r="U316" s="2">
        <f t="shared" si="53"/>
        <v>0.19460031195719552</v>
      </c>
      <c r="V316" s="2">
        <f t="shared" si="54"/>
        <v>0.90111318057912682</v>
      </c>
    </row>
    <row r="317" spans="1:22" x14ac:dyDescent="0.25">
      <c r="A317" t="s">
        <v>337</v>
      </c>
      <c r="B317" s="2">
        <v>0.58199999999999996</v>
      </c>
      <c r="C317" s="8">
        <v>5.0000000000000001E-3</v>
      </c>
      <c r="D317" s="8">
        <v>23.584</v>
      </c>
      <c r="E317" s="8">
        <v>4.2000000000000003E-2</v>
      </c>
      <c r="F317" s="8">
        <v>1.0980000000000001</v>
      </c>
      <c r="G317" s="8">
        <v>3.3000000000000002E-2</v>
      </c>
      <c r="H317" s="8">
        <v>1E-3</v>
      </c>
      <c r="I317" s="8">
        <v>0.04</v>
      </c>
      <c r="J317" s="8">
        <v>0.12</v>
      </c>
      <c r="K317" s="8">
        <f t="shared" si="44"/>
        <v>0.23500000000000001</v>
      </c>
      <c r="L317" s="8">
        <f t="shared" si="45"/>
        <v>42.935276000000002</v>
      </c>
      <c r="M317" s="1">
        <f t="shared" si="46"/>
        <v>3864.1608845996634</v>
      </c>
      <c r="N317" s="1">
        <f t="shared" si="47"/>
        <v>1.0900503145281753E+26</v>
      </c>
      <c r="O317" s="2">
        <f t="shared" si="48"/>
        <v>3532.6124854826062</v>
      </c>
      <c r="P317" s="2">
        <f t="shared" si="49"/>
        <v>42.740479997750342</v>
      </c>
      <c r="Q317" s="2">
        <f t="shared" si="50"/>
        <v>0.19479600224966021</v>
      </c>
      <c r="R317" s="2">
        <f t="shared" si="51"/>
        <v>0.68710697134358745</v>
      </c>
      <c r="S317" s="12">
        <v>3242.5520305632735</v>
      </c>
      <c r="T317" s="2">
        <f t="shared" si="52"/>
        <v>42.55443476789042</v>
      </c>
      <c r="U317" s="2">
        <f t="shared" si="53"/>
        <v>0.38084123210958154</v>
      </c>
      <c r="V317" s="2">
        <f t="shared" si="54"/>
        <v>2.6263475613353395</v>
      </c>
    </row>
    <row r="318" spans="1:22" x14ac:dyDescent="0.25">
      <c r="A318" t="s">
        <v>338</v>
      </c>
      <c r="B318" s="2">
        <v>0.58399999999999996</v>
      </c>
      <c r="C318" s="8">
        <v>1E-3</v>
      </c>
      <c r="D318" s="8">
        <v>23.271999999999998</v>
      </c>
      <c r="E318" s="8">
        <v>4.1000000000000002E-2</v>
      </c>
      <c r="F318" s="8">
        <v>1.028</v>
      </c>
      <c r="G318" s="8">
        <v>2.1000000000000001E-2</v>
      </c>
      <c r="H318" s="8">
        <v>-7.9000000000000001E-2</v>
      </c>
      <c r="I318" s="8">
        <v>3.6999999999999998E-2</v>
      </c>
      <c r="J318" s="8">
        <v>0.12</v>
      </c>
      <c r="K318" s="8">
        <f t="shared" si="44"/>
        <v>0.219</v>
      </c>
      <c r="L318" s="8">
        <f t="shared" si="45"/>
        <v>42.863385999999998</v>
      </c>
      <c r="M318" s="1">
        <f t="shared" si="46"/>
        <v>3738.3262473797135</v>
      </c>
      <c r="N318" s="1">
        <f t="shared" si="47"/>
        <v>1.0943313318975593E+26</v>
      </c>
      <c r="O318" s="2">
        <f t="shared" si="48"/>
        <v>3546.4863179177628</v>
      </c>
      <c r="P318" s="2">
        <f t="shared" si="49"/>
        <v>42.748991443558758</v>
      </c>
      <c r="Q318" s="2">
        <f t="shared" si="50"/>
        <v>0.11439455644124052</v>
      </c>
      <c r="R318" s="2">
        <f t="shared" si="51"/>
        <v>0.27284907619499521</v>
      </c>
      <c r="S318" s="12">
        <v>3256.0639223061885</v>
      </c>
      <c r="T318" s="2">
        <f t="shared" si="52"/>
        <v>42.563464611356622</v>
      </c>
      <c r="U318" s="2">
        <f t="shared" si="53"/>
        <v>0.29992138864337647</v>
      </c>
      <c r="V318" s="2">
        <f t="shared" si="54"/>
        <v>1.8755413641452698</v>
      </c>
    </row>
    <row r="319" spans="1:22" x14ac:dyDescent="0.25">
      <c r="A319" t="s">
        <v>339</v>
      </c>
      <c r="B319" s="2">
        <v>0.58499999999999996</v>
      </c>
      <c r="C319" s="8">
        <v>1E-3</v>
      </c>
      <c r="D319" s="8">
        <v>23.344999999999999</v>
      </c>
      <c r="E319" s="8">
        <v>4.2999999999999997E-2</v>
      </c>
      <c r="F319" s="8">
        <v>1.034</v>
      </c>
      <c r="G319" s="8">
        <v>1.9E-2</v>
      </c>
      <c r="H319" s="8">
        <v>-5.1999999999999998E-2</v>
      </c>
      <c r="I319" s="8">
        <v>2.9000000000000001E-2</v>
      </c>
      <c r="J319" s="8">
        <v>0.12</v>
      </c>
      <c r="K319" s="8">
        <f t="shared" si="44"/>
        <v>0.21099999999999999</v>
      </c>
      <c r="L319" s="8">
        <f t="shared" si="45"/>
        <v>42.852757999999994</v>
      </c>
      <c r="M319" s="1">
        <f t="shared" si="46"/>
        <v>3720.0741799904995</v>
      </c>
      <c r="N319" s="1">
        <f t="shared" si="47"/>
        <v>1.096472904027841E+26</v>
      </c>
      <c r="O319" s="2">
        <f t="shared" si="48"/>
        <v>3553.4266805277857</v>
      </c>
      <c r="P319" s="2">
        <f t="shared" si="49"/>
        <v>42.753236794374565</v>
      </c>
      <c r="Q319" s="2">
        <f t="shared" si="50"/>
        <v>9.9521205625428877E-2</v>
      </c>
      <c r="R319" s="2">
        <f t="shared" si="51"/>
        <v>0.22246738323799772</v>
      </c>
      <c r="S319" s="12">
        <v>3262.8245818213541</v>
      </c>
      <c r="T319" s="2">
        <f t="shared" si="52"/>
        <v>42.567968627911362</v>
      </c>
      <c r="U319" s="2">
        <f t="shared" si="53"/>
        <v>0.28478937208863186</v>
      </c>
      <c r="V319" s="2">
        <f t="shared" si="54"/>
        <v>1.8217242751653648</v>
      </c>
    </row>
    <row r="320" spans="1:22" x14ac:dyDescent="0.25">
      <c r="A320" t="s">
        <v>340</v>
      </c>
      <c r="B320" s="2">
        <v>0.58499999999999996</v>
      </c>
      <c r="C320" s="8">
        <v>1E-3</v>
      </c>
      <c r="D320" s="8">
        <v>23.745999999999999</v>
      </c>
      <c r="E320" s="8">
        <v>4.4999999999999998E-2</v>
      </c>
      <c r="F320" s="8">
        <v>1.034</v>
      </c>
      <c r="G320" s="8">
        <v>2.3E-2</v>
      </c>
      <c r="H320" s="8">
        <v>0.02</v>
      </c>
      <c r="I320" s="8">
        <v>3.4000000000000002E-2</v>
      </c>
      <c r="J320" s="8">
        <v>0.12</v>
      </c>
      <c r="K320" s="8">
        <f t="shared" si="44"/>
        <v>0.222</v>
      </c>
      <c r="L320" s="8">
        <f t="shared" si="45"/>
        <v>43.028397999999996</v>
      </c>
      <c r="M320" s="1">
        <f t="shared" si="46"/>
        <v>4033.4771409928926</v>
      </c>
      <c r="N320" s="1">
        <f t="shared" si="47"/>
        <v>1.096472904027841E+26</v>
      </c>
      <c r="O320" s="2">
        <f t="shared" si="48"/>
        <v>3553.4266805277857</v>
      </c>
      <c r="P320" s="2">
        <f t="shared" si="49"/>
        <v>42.753236794374565</v>
      </c>
      <c r="Q320" s="2">
        <f t="shared" si="50"/>
        <v>0.27516120562543023</v>
      </c>
      <c r="R320" s="2">
        <f t="shared" si="51"/>
        <v>1.5362732140500019</v>
      </c>
      <c r="S320" s="12">
        <v>3262.8245818213541</v>
      </c>
      <c r="T320" s="2">
        <f t="shared" si="52"/>
        <v>42.567968627911362</v>
      </c>
      <c r="U320" s="2">
        <f t="shared" si="53"/>
        <v>0.46042937208863322</v>
      </c>
      <c r="V320" s="2">
        <f t="shared" si="54"/>
        <v>4.3015016370816701</v>
      </c>
    </row>
    <row r="321" spans="1:22" x14ac:dyDescent="0.25">
      <c r="A321" t="s">
        <v>341</v>
      </c>
      <c r="B321" s="2">
        <v>0.58499999999999996</v>
      </c>
      <c r="C321" s="8">
        <v>1E-3</v>
      </c>
      <c r="D321" s="8">
        <v>23.559000000000001</v>
      </c>
      <c r="E321" s="8">
        <v>4.4999999999999998E-2</v>
      </c>
      <c r="F321" s="8">
        <v>0.94</v>
      </c>
      <c r="G321" s="8">
        <v>3.3000000000000002E-2</v>
      </c>
      <c r="H321" s="8">
        <v>-6.4000000000000001E-2</v>
      </c>
      <c r="I321" s="8">
        <v>3.9E-2</v>
      </c>
      <c r="J321" s="8">
        <v>0.12</v>
      </c>
      <c r="K321" s="8">
        <f t="shared" si="44"/>
        <v>0.23699999999999999</v>
      </c>
      <c r="L321" s="8">
        <f t="shared" si="45"/>
        <v>43.090500000000006</v>
      </c>
      <c r="M321" s="1">
        <f t="shared" si="46"/>
        <v>4150.4960033471361</v>
      </c>
      <c r="N321" s="1">
        <f t="shared" si="47"/>
        <v>1.096472904027841E+26</v>
      </c>
      <c r="O321" s="2">
        <f t="shared" si="48"/>
        <v>3553.4266805277857</v>
      </c>
      <c r="P321" s="2">
        <f t="shared" si="49"/>
        <v>42.753236794374565</v>
      </c>
      <c r="Q321" s="2">
        <f t="shared" si="50"/>
        <v>0.33726320562544032</v>
      </c>
      <c r="R321" s="2">
        <f t="shared" si="51"/>
        <v>2.0250755731586469</v>
      </c>
      <c r="S321" s="12">
        <v>3262.8245818213541</v>
      </c>
      <c r="T321" s="2">
        <f t="shared" si="52"/>
        <v>42.567968627911362</v>
      </c>
      <c r="U321" s="2">
        <f t="shared" si="53"/>
        <v>0.52253137208864331</v>
      </c>
      <c r="V321" s="2">
        <f t="shared" si="54"/>
        <v>4.861027164749955</v>
      </c>
    </row>
    <row r="322" spans="1:22" x14ac:dyDescent="0.25">
      <c r="A322" t="s">
        <v>342</v>
      </c>
      <c r="B322" s="2">
        <v>0.58699999999999997</v>
      </c>
      <c r="C322" s="8">
        <v>1E-3</v>
      </c>
      <c r="D322" s="8">
        <v>24.102</v>
      </c>
      <c r="E322" s="8">
        <v>0.05</v>
      </c>
      <c r="F322" s="8">
        <v>1.1259999999999999</v>
      </c>
      <c r="G322" s="8">
        <v>3.4000000000000002E-2</v>
      </c>
      <c r="H322" s="8">
        <v>0.155</v>
      </c>
      <c r="I322" s="8">
        <v>0.04</v>
      </c>
      <c r="J322" s="8">
        <v>0.12</v>
      </c>
      <c r="K322" s="8">
        <f t="shared" si="44"/>
        <v>0.24399999999999999</v>
      </c>
      <c r="L322" s="8">
        <f t="shared" si="45"/>
        <v>42.975372</v>
      </c>
      <c r="M322" s="1">
        <f t="shared" si="46"/>
        <v>3936.1750121180416</v>
      </c>
      <c r="N322" s="1">
        <f t="shared" si="47"/>
        <v>1.1007581710688541E+26</v>
      </c>
      <c r="O322" s="2">
        <f t="shared" si="48"/>
        <v>3567.3142852107517</v>
      </c>
      <c r="P322" s="2">
        <f t="shared" si="49"/>
        <v>42.761706864774212</v>
      </c>
      <c r="Q322" s="2">
        <f t="shared" si="50"/>
        <v>0.21366513522578856</v>
      </c>
      <c r="R322" s="2">
        <f t="shared" si="51"/>
        <v>0.76680982953262755</v>
      </c>
      <c r="S322" s="12">
        <v>3276.3553089529323</v>
      </c>
      <c r="T322" s="2">
        <f t="shared" si="52"/>
        <v>42.576954966586918</v>
      </c>
      <c r="U322" s="2">
        <f t="shared" si="53"/>
        <v>0.39841703341308232</v>
      </c>
      <c r="V322" s="2">
        <f t="shared" si="54"/>
        <v>2.666220984172285</v>
      </c>
    </row>
    <row r="323" spans="1:22" x14ac:dyDescent="0.25">
      <c r="A323" t="s">
        <v>343</v>
      </c>
      <c r="B323" s="2">
        <v>0.58899999999999997</v>
      </c>
      <c r="C323" s="8">
        <v>1E-3</v>
      </c>
      <c r="D323" s="8">
        <v>23.626999999999999</v>
      </c>
      <c r="E323" s="8">
        <v>4.3999999999999997E-2</v>
      </c>
      <c r="F323" s="8">
        <v>1.0289999999999999</v>
      </c>
      <c r="G323" s="8">
        <v>0.03</v>
      </c>
      <c r="H323" s="8">
        <v>1.7999999999999999E-2</v>
      </c>
      <c r="I323" s="8">
        <v>4.1000000000000002E-2</v>
      </c>
      <c r="J323" s="8">
        <v>0.12</v>
      </c>
      <c r="K323" s="8">
        <f t="shared" si="44"/>
        <v>0.23499999999999999</v>
      </c>
      <c r="L323" s="8">
        <f t="shared" si="45"/>
        <v>42.914923000000002</v>
      </c>
      <c r="M323" s="1">
        <f t="shared" si="46"/>
        <v>3828.1116866467532</v>
      </c>
      <c r="N323" s="1">
        <f t="shared" si="47"/>
        <v>1.1050462630176474E+26</v>
      </c>
      <c r="O323" s="2">
        <f t="shared" si="48"/>
        <v>3581.2110447963505</v>
      </c>
      <c r="P323" s="2">
        <f t="shared" si="49"/>
        <v>42.770149576142671</v>
      </c>
      <c r="Q323" s="2">
        <f t="shared" si="50"/>
        <v>0.14477342385733039</v>
      </c>
      <c r="R323" s="2">
        <f t="shared" si="51"/>
        <v>0.37952637854910354</v>
      </c>
      <c r="S323" s="12">
        <v>3289.8985547022598</v>
      </c>
      <c r="T323" s="2">
        <f t="shared" si="52"/>
        <v>42.585912532588353</v>
      </c>
      <c r="U323" s="2">
        <f t="shared" si="53"/>
        <v>0.32901046741164919</v>
      </c>
      <c r="V323" s="2">
        <f t="shared" si="54"/>
        <v>1.9601247200802512</v>
      </c>
    </row>
    <row r="324" spans="1:22" x14ac:dyDescent="0.25">
      <c r="A324" t="s">
        <v>344</v>
      </c>
      <c r="B324" s="2">
        <v>0.59</v>
      </c>
      <c r="C324" s="8">
        <v>0.01</v>
      </c>
      <c r="D324" s="8">
        <v>23.402999999999999</v>
      </c>
      <c r="E324" s="8">
        <v>4.2000000000000003E-2</v>
      </c>
      <c r="F324" s="8">
        <v>1.163</v>
      </c>
      <c r="G324" s="8">
        <v>2.1999999999999999E-2</v>
      </c>
      <c r="H324" s="8">
        <v>4.1000000000000002E-2</v>
      </c>
      <c r="I324" s="8">
        <v>3.1E-2</v>
      </c>
      <c r="J324" s="8">
        <v>0.12</v>
      </c>
      <c r="K324" s="8">
        <f t="shared" si="44"/>
        <v>0.215</v>
      </c>
      <c r="L324" s="8">
        <f t="shared" si="45"/>
        <v>42.638631000000004</v>
      </c>
      <c r="M324" s="1">
        <f t="shared" si="46"/>
        <v>3370.747336334462</v>
      </c>
      <c r="N324" s="1">
        <f t="shared" si="47"/>
        <v>1.107191366287403E+26</v>
      </c>
      <c r="O324" s="2">
        <f t="shared" si="48"/>
        <v>3588.1628510500536</v>
      </c>
      <c r="P324" s="2">
        <f t="shared" si="49"/>
        <v>42.774360727751343</v>
      </c>
      <c r="Q324" s="2">
        <f t="shared" si="50"/>
        <v>-0.13572972775133962</v>
      </c>
      <c r="R324" s="2">
        <f t="shared" si="51"/>
        <v>0.39854102748410547</v>
      </c>
      <c r="S324" s="12">
        <v>3296.6748625102528</v>
      </c>
      <c r="T324" s="2">
        <f t="shared" si="52"/>
        <v>42.590380582878822</v>
      </c>
      <c r="U324" s="2">
        <f t="shared" si="53"/>
        <v>4.8250417121181499E-2</v>
      </c>
      <c r="V324" s="2">
        <f t="shared" si="54"/>
        <v>5.036458090574375E-2</v>
      </c>
    </row>
    <row r="325" spans="1:22" x14ac:dyDescent="0.25">
      <c r="A325" t="s">
        <v>345</v>
      </c>
      <c r="B325" s="2">
        <v>0.59</v>
      </c>
      <c r="C325" s="8">
        <v>0.01</v>
      </c>
      <c r="D325" s="8">
        <v>23.388000000000002</v>
      </c>
      <c r="E325" s="8">
        <v>4.2999999999999997E-2</v>
      </c>
      <c r="F325" s="8">
        <v>1.01</v>
      </c>
      <c r="G325" s="8">
        <v>2.9000000000000001E-2</v>
      </c>
      <c r="H325" s="8">
        <v>-4.8000000000000001E-2</v>
      </c>
      <c r="I325" s="8">
        <v>3.5000000000000003E-2</v>
      </c>
      <c r="J325" s="8">
        <v>0.12</v>
      </c>
      <c r="K325" s="8">
        <f t="shared" si="44"/>
        <v>0.22699999999999998</v>
      </c>
      <c r="L325" s="8">
        <f t="shared" si="45"/>
        <v>42.879710000000003</v>
      </c>
      <c r="M325" s="1">
        <f t="shared" si="46"/>
        <v>3766.5349357510981</v>
      </c>
      <c r="N325" s="1">
        <f t="shared" si="47"/>
        <v>1.107191366287403E+26</v>
      </c>
      <c r="O325" s="2">
        <f t="shared" si="48"/>
        <v>3588.1628510500536</v>
      </c>
      <c r="P325" s="2">
        <f t="shared" si="49"/>
        <v>42.774360727751343</v>
      </c>
      <c r="Q325" s="2">
        <f t="shared" si="50"/>
        <v>0.10534927224865953</v>
      </c>
      <c r="R325" s="2">
        <f t="shared" si="51"/>
        <v>0.21538297198319756</v>
      </c>
      <c r="S325" s="12">
        <v>3296.6748625102528</v>
      </c>
      <c r="T325" s="2">
        <f t="shared" si="52"/>
        <v>42.590380582878822</v>
      </c>
      <c r="U325" s="2">
        <f t="shared" si="53"/>
        <v>0.28932941712118065</v>
      </c>
      <c r="V325" s="2">
        <f t="shared" si="54"/>
        <v>1.6245514489255015</v>
      </c>
    </row>
    <row r="326" spans="1:22" x14ac:dyDescent="0.25">
      <c r="A326" t="s">
        <v>346</v>
      </c>
      <c r="B326" s="2">
        <v>0.59199999999999997</v>
      </c>
      <c r="C326" s="8">
        <v>2E-3</v>
      </c>
      <c r="D326" s="8">
        <v>23.413</v>
      </c>
      <c r="E326" s="8">
        <v>4.7E-2</v>
      </c>
      <c r="F326" s="8">
        <v>1.0980000000000001</v>
      </c>
      <c r="G326" s="8">
        <v>5.1999999999999998E-2</v>
      </c>
      <c r="H326" s="8">
        <v>4.5999999999999999E-2</v>
      </c>
      <c r="I326" s="8">
        <v>4.4999999999999998E-2</v>
      </c>
      <c r="J326" s="8">
        <v>0.12</v>
      </c>
      <c r="K326" s="8">
        <f t="shared" si="44"/>
        <v>0.26400000000000001</v>
      </c>
      <c r="L326" s="8">
        <f t="shared" si="45"/>
        <v>42.623426000000002</v>
      </c>
      <c r="M326" s="1">
        <f t="shared" si="46"/>
        <v>3347.227261669907</v>
      </c>
      <c r="N326" s="1">
        <f t="shared" si="47"/>
        <v>1.1114836833385603E+26</v>
      </c>
      <c r="O326" s="2">
        <f t="shared" si="48"/>
        <v>3602.0733032598964</v>
      </c>
      <c r="P326" s="2">
        <f t="shared" si="49"/>
        <v>42.782762732974689</v>
      </c>
      <c r="Q326" s="2">
        <f t="shared" si="50"/>
        <v>-0.15933673297468687</v>
      </c>
      <c r="R326" s="2">
        <f t="shared" si="51"/>
        <v>0.36427046710064653</v>
      </c>
      <c r="S326" s="12">
        <v>3310.2368289443289</v>
      </c>
      <c r="T326" s="2">
        <f t="shared" si="52"/>
        <v>42.599295331150941</v>
      </c>
      <c r="U326" s="2">
        <f t="shared" si="53"/>
        <v>2.413066884906101E-2</v>
      </c>
      <c r="V326" s="2">
        <f t="shared" si="54"/>
        <v>8.3547001133930689E-3</v>
      </c>
    </row>
    <row r="327" spans="1:22" x14ac:dyDescent="0.25">
      <c r="A327" t="s">
        <v>347</v>
      </c>
      <c r="B327" s="2">
        <v>0.6</v>
      </c>
      <c r="C327" s="8">
        <v>0.01</v>
      </c>
      <c r="D327" s="8">
        <v>23.853999999999999</v>
      </c>
      <c r="E327" s="8">
        <v>5.0999999999999997E-2</v>
      </c>
      <c r="F327" s="8">
        <v>1.02</v>
      </c>
      <c r="G327" s="8">
        <v>4.2999999999999997E-2</v>
      </c>
      <c r="H327" s="8">
        <v>9.6000000000000002E-2</v>
      </c>
      <c r="I327" s="8">
        <v>3.6999999999999998E-2</v>
      </c>
      <c r="J327" s="8">
        <v>0.12</v>
      </c>
      <c r="K327" s="8">
        <f t="shared" ref="K327:K390" si="55">PeakMagnitudeError+StretchError+ColorError+ScatterError</f>
        <v>0.251</v>
      </c>
      <c r="L327" s="8">
        <f t="shared" ref="L327:L390" si="56">PeakMagnitude+α*(Stretch-1)-β*Color-Mb</f>
        <v>42.896459999999998</v>
      </c>
      <c r="M327" s="1">
        <f t="shared" ref="M327:M390" si="57">10^((ObservedDistanceModuli-25)/5)</f>
        <v>3795.7010499840922</v>
      </c>
      <c r="N327" s="1">
        <f t="shared" ref="N327:N390" si="58">(RedShift*Age*(2*InitialTangentVelocity-UniverseAcceleration*Age))/(2+RedShift)*(1+RedShift)</f>
        <v>1.1286809726439688E+26</v>
      </c>
      <c r="O327" s="2">
        <f t="shared" ref="O327:O390" si="59">N327/Mpc</f>
        <v>3657.8059223023843</v>
      </c>
      <c r="P327" s="2">
        <f t="shared" ref="P327:P390" si="60">(LOG10(T2LuminousDistance)*5+25)</f>
        <v>42.816103293688371</v>
      </c>
      <c r="Q327" s="2">
        <f t="shared" ref="Q327:Q390" si="61">ObservedDistanceModuli-T2DistanceModuli</f>
        <v>8.0356706311626169E-2</v>
      </c>
      <c r="R327" s="2">
        <f t="shared" ref="R327:R390" si="62">(ObservedDistanceModuli-T2DistanceModuli)^2/TotalError^2</f>
        <v>0.10249361516885352</v>
      </c>
      <c r="S327" s="12">
        <v>3364.6088161095827</v>
      </c>
      <c r="T327" s="2">
        <f t="shared" ref="T327:T390" si="63">(LOG10(ΛCDMLuminousDistance)*5+25)</f>
        <v>42.634672892754438</v>
      </c>
      <c r="U327" s="2">
        <f t="shared" ref="U327:U390" si="64">ObservedDistanceModuli-ΛCDMDistanceModuli</f>
        <v>0.26178710724555998</v>
      </c>
      <c r="V327" s="2">
        <f t="shared" ref="V327:V390" si="65">(ObservedDistanceModuli-ΛCDMDistanceModuli)^2/TotalError^2</f>
        <v>1.0878000273011272</v>
      </c>
    </row>
    <row r="328" spans="1:22" x14ac:dyDescent="0.25">
      <c r="A328" t="s">
        <v>348</v>
      </c>
      <c r="B328" s="2">
        <v>0.60499999999999998</v>
      </c>
      <c r="C328" s="8">
        <v>1E-3</v>
      </c>
      <c r="D328" s="8">
        <v>23.832000000000001</v>
      </c>
      <c r="E328" s="8">
        <v>4.7E-2</v>
      </c>
      <c r="F328" s="8">
        <v>0.83899999999999997</v>
      </c>
      <c r="G328" s="8">
        <v>2.3E-2</v>
      </c>
      <c r="H328" s="8">
        <v>-5.3999999999999999E-2</v>
      </c>
      <c r="I328" s="8">
        <v>3.5000000000000003E-2</v>
      </c>
      <c r="J328" s="8">
        <v>0.12</v>
      </c>
      <c r="K328" s="8">
        <f t="shared" si="55"/>
        <v>0.22500000000000001</v>
      </c>
      <c r="L328" s="8">
        <f t="shared" si="56"/>
        <v>43.317352999999997</v>
      </c>
      <c r="M328" s="1">
        <f t="shared" si="57"/>
        <v>4607.5557632419032</v>
      </c>
      <c r="N328" s="1">
        <f t="shared" si="58"/>
        <v>1.1394519145074319E+26</v>
      </c>
      <c r="O328" s="2">
        <f t="shared" si="59"/>
        <v>3692.7121676381757</v>
      </c>
      <c r="P328" s="2">
        <f t="shared" si="60"/>
        <v>42.836727287133698</v>
      </c>
      <c r="Q328" s="2">
        <f t="shared" si="61"/>
        <v>0.48062571286629918</v>
      </c>
      <c r="R328" s="2">
        <f t="shared" si="62"/>
        <v>4.5629842146812489</v>
      </c>
      <c r="S328" s="12">
        <v>3398.6915441149126</v>
      </c>
      <c r="T328" s="2">
        <f t="shared" si="63"/>
        <v>42.656558755001839</v>
      </c>
      <c r="U328" s="2">
        <f t="shared" si="64"/>
        <v>0.66079424499815786</v>
      </c>
      <c r="V328" s="2">
        <f t="shared" si="65"/>
        <v>8.6251661081024285</v>
      </c>
    </row>
    <row r="329" spans="1:22" x14ac:dyDescent="0.25">
      <c r="A329" t="s">
        <v>349</v>
      </c>
      <c r="B329" s="2">
        <v>0.60799999999999998</v>
      </c>
      <c r="C329" s="8">
        <v>1E-3</v>
      </c>
      <c r="D329" s="8">
        <v>23.952999999999999</v>
      </c>
      <c r="E329" s="8">
        <v>4.3999999999999997E-2</v>
      </c>
      <c r="F329" s="8">
        <v>1.044</v>
      </c>
      <c r="G329" s="8">
        <v>4.2999999999999997E-2</v>
      </c>
      <c r="H329" s="8">
        <v>7.2999999999999995E-2</v>
      </c>
      <c r="I329" s="8">
        <v>3.6999999999999998E-2</v>
      </c>
      <c r="J329" s="8">
        <v>0.12</v>
      </c>
      <c r="K329" s="8">
        <f t="shared" si="55"/>
        <v>0.24399999999999999</v>
      </c>
      <c r="L329" s="8">
        <f t="shared" si="56"/>
        <v>43.070977999999997</v>
      </c>
      <c r="M329" s="1">
        <f t="shared" si="57"/>
        <v>4113.3493874307205</v>
      </c>
      <c r="N329" s="1">
        <f t="shared" si="58"/>
        <v>1.1459227862751558E+26</v>
      </c>
      <c r="O329" s="2">
        <f t="shared" si="59"/>
        <v>3713.682834857801</v>
      </c>
      <c r="P329" s="2">
        <f t="shared" si="60"/>
        <v>42.849024051471048</v>
      </c>
      <c r="Q329" s="2">
        <f t="shared" si="61"/>
        <v>0.22195394852894879</v>
      </c>
      <c r="R329" s="2">
        <f t="shared" si="62"/>
        <v>0.82745826504285225</v>
      </c>
      <c r="S329" s="12">
        <v>3419.177951427147</v>
      </c>
      <c r="T329" s="2">
        <f t="shared" si="63"/>
        <v>42.66960852140285</v>
      </c>
      <c r="U329" s="2">
        <f t="shared" si="64"/>
        <v>0.40136947859714667</v>
      </c>
      <c r="V329" s="2">
        <f t="shared" si="65"/>
        <v>2.7058831354028721</v>
      </c>
    </row>
    <row r="330" spans="1:22" x14ac:dyDescent="0.25">
      <c r="A330" t="s">
        <v>350</v>
      </c>
      <c r="B330" s="2">
        <v>0.61</v>
      </c>
      <c r="C330" s="8">
        <v>0.02</v>
      </c>
      <c r="D330" s="8">
        <v>23.268000000000001</v>
      </c>
      <c r="E330" s="8">
        <v>5.6000000000000001E-2</v>
      </c>
      <c r="F330" s="8">
        <v>1.127</v>
      </c>
      <c r="G330" s="8">
        <v>2.3E-2</v>
      </c>
      <c r="H330" s="8">
        <v>-0.06</v>
      </c>
      <c r="I330" s="8">
        <v>3.2000000000000001E-2</v>
      </c>
      <c r="J330" s="8">
        <v>0.12</v>
      </c>
      <c r="K330" s="8">
        <f t="shared" si="55"/>
        <v>0.23099999999999998</v>
      </c>
      <c r="L330" s="8">
        <f t="shared" si="56"/>
        <v>42.814469000000003</v>
      </c>
      <c r="M330" s="1">
        <f t="shared" si="57"/>
        <v>3655.0540198994481</v>
      </c>
      <c r="N330" s="1">
        <f t="shared" si="58"/>
        <v>1.1502401486300563E+26</v>
      </c>
      <c r="O330" s="2">
        <f t="shared" si="59"/>
        <v>3727.6744533693518</v>
      </c>
      <c r="P330" s="2">
        <f t="shared" si="60"/>
        <v>42.857189886866301</v>
      </c>
      <c r="Q330" s="2">
        <f t="shared" si="61"/>
        <v>-4.2720886866298713E-2</v>
      </c>
      <c r="R330" s="2">
        <f t="shared" si="62"/>
        <v>3.4202398280450033E-2</v>
      </c>
      <c r="S330" s="12">
        <v>3432.8508153278067</v>
      </c>
      <c r="T330" s="2">
        <f t="shared" si="63"/>
        <v>42.678274651431522</v>
      </c>
      <c r="U330" s="2">
        <f t="shared" si="64"/>
        <v>0.13619434856848045</v>
      </c>
      <c r="V330" s="2">
        <f t="shared" si="65"/>
        <v>0.3476115624143617</v>
      </c>
    </row>
    <row r="331" spans="1:22" x14ac:dyDescent="0.25">
      <c r="A331" t="s">
        <v>351</v>
      </c>
      <c r="B331" s="2">
        <v>0.61</v>
      </c>
      <c r="C331" s="8">
        <v>0.02</v>
      </c>
      <c r="D331" s="8">
        <v>23.577000000000002</v>
      </c>
      <c r="E331" s="8">
        <v>4.2000000000000003E-2</v>
      </c>
      <c r="F331" s="8">
        <v>0.90600000000000003</v>
      </c>
      <c r="G331" s="8">
        <v>1.9E-2</v>
      </c>
      <c r="H331" s="8">
        <v>-9.7000000000000003E-2</v>
      </c>
      <c r="I331" s="8">
        <v>3.2000000000000001E-2</v>
      </c>
      <c r="J331" s="8">
        <v>0.12</v>
      </c>
      <c r="K331" s="8">
        <f t="shared" si="55"/>
        <v>0.21299999999999999</v>
      </c>
      <c r="L331" s="8">
        <f t="shared" si="56"/>
        <v>43.206792</v>
      </c>
      <c r="M331" s="1">
        <f t="shared" si="57"/>
        <v>4378.8331776725863</v>
      </c>
      <c r="N331" s="1">
        <f t="shared" si="58"/>
        <v>1.1502401486300563E+26</v>
      </c>
      <c r="O331" s="2">
        <f t="shared" si="59"/>
        <v>3727.6744533693518</v>
      </c>
      <c r="P331" s="2">
        <f t="shared" si="60"/>
        <v>42.857189886866301</v>
      </c>
      <c r="Q331" s="2">
        <f t="shared" si="61"/>
        <v>0.34960211313369882</v>
      </c>
      <c r="R331" s="2">
        <f t="shared" si="62"/>
        <v>2.6939460315975126</v>
      </c>
      <c r="S331" s="12">
        <v>3432.8508153278067</v>
      </c>
      <c r="T331" s="2">
        <f t="shared" si="63"/>
        <v>42.678274651431522</v>
      </c>
      <c r="U331" s="2">
        <f t="shared" si="64"/>
        <v>0.52851734856847798</v>
      </c>
      <c r="V331" s="2">
        <f t="shared" si="65"/>
        <v>6.1568601410181856</v>
      </c>
    </row>
    <row r="332" spans="1:22" x14ac:dyDescent="0.25">
      <c r="A332" t="s">
        <v>352</v>
      </c>
      <c r="B332" s="2">
        <v>0.61199999999999999</v>
      </c>
      <c r="C332" s="8">
        <v>2E-3</v>
      </c>
      <c r="D332" s="8">
        <v>23.3</v>
      </c>
      <c r="E332" s="8">
        <v>4.7E-2</v>
      </c>
      <c r="F332" s="8">
        <v>1.048</v>
      </c>
      <c r="G332" s="8">
        <v>6.6000000000000003E-2</v>
      </c>
      <c r="H332" s="8">
        <v>-5.3999999999999999E-2</v>
      </c>
      <c r="I332" s="8">
        <v>0.04</v>
      </c>
      <c r="J332" s="8">
        <v>0.12</v>
      </c>
      <c r="K332" s="8">
        <f t="shared" si="55"/>
        <v>0.27300000000000002</v>
      </c>
      <c r="L332" s="8">
        <f t="shared" si="56"/>
        <v>42.816075999999995</v>
      </c>
      <c r="M332" s="1">
        <f t="shared" si="57"/>
        <v>3657.7599468678718</v>
      </c>
      <c r="N332" s="1">
        <f t="shared" si="58"/>
        <v>1.1545602618674176E+26</v>
      </c>
      <c r="O332" s="2">
        <f t="shared" si="59"/>
        <v>3741.6749868838133</v>
      </c>
      <c r="P332" s="2">
        <f t="shared" si="60"/>
        <v>42.865330303402601</v>
      </c>
      <c r="Q332" s="2">
        <f t="shared" si="61"/>
        <v>-4.9254303402605615E-2</v>
      </c>
      <c r="R332" s="2">
        <f t="shared" si="62"/>
        <v>3.2550905066161179E-2</v>
      </c>
      <c r="S332" s="12">
        <v>3446.535851869337</v>
      </c>
      <c r="T332" s="2">
        <f t="shared" si="63"/>
        <v>42.686914002556705</v>
      </c>
      <c r="U332" s="2">
        <f t="shared" si="64"/>
        <v>0.12916199744329049</v>
      </c>
      <c r="V332" s="2">
        <f t="shared" si="65"/>
        <v>0.22384335739833588</v>
      </c>
    </row>
    <row r="333" spans="1:22" x14ac:dyDescent="0.25">
      <c r="A333" t="s">
        <v>353</v>
      </c>
      <c r="B333" s="2">
        <v>0.61299999999999999</v>
      </c>
      <c r="C333" s="8">
        <v>2E-3</v>
      </c>
      <c r="D333" s="8">
        <v>24.045999999999999</v>
      </c>
      <c r="E333" s="8">
        <v>5.3999999999999999E-2</v>
      </c>
      <c r="F333" s="8">
        <v>0.98699999999999999</v>
      </c>
      <c r="G333" s="8">
        <v>5.6000000000000001E-2</v>
      </c>
      <c r="H333" s="8">
        <v>2.5000000000000001E-2</v>
      </c>
      <c r="I333" s="8">
        <v>0.04</v>
      </c>
      <c r="J333" s="8">
        <v>0.12</v>
      </c>
      <c r="K333" s="8">
        <f t="shared" si="55"/>
        <v>0.27</v>
      </c>
      <c r="L333" s="8">
        <f t="shared" si="56"/>
        <v>43.305838999999999</v>
      </c>
      <c r="M333" s="1">
        <f t="shared" si="57"/>
        <v>4583.1893492763138</v>
      </c>
      <c r="N333" s="1">
        <f t="shared" si="58"/>
        <v>1.156721348093081E+26</v>
      </c>
      <c r="O333" s="2">
        <f t="shared" si="59"/>
        <v>3748.678590370032</v>
      </c>
      <c r="P333" s="2">
        <f t="shared" si="60"/>
        <v>42.869391029244873</v>
      </c>
      <c r="Q333" s="2">
        <f t="shared" si="61"/>
        <v>0.43644797075512543</v>
      </c>
      <c r="R333" s="2">
        <f t="shared" si="62"/>
        <v>2.6129880819789686</v>
      </c>
      <c r="S333" s="12">
        <v>3453.3829256449071</v>
      </c>
      <c r="T333" s="2">
        <f t="shared" si="63"/>
        <v>42.691223687105023</v>
      </c>
      <c r="U333" s="2">
        <f t="shared" si="64"/>
        <v>0.61461531289497628</v>
      </c>
      <c r="V333" s="2">
        <f t="shared" si="65"/>
        <v>5.181783029423725</v>
      </c>
    </row>
    <row r="334" spans="1:22" x14ac:dyDescent="0.25">
      <c r="A334" t="s">
        <v>354</v>
      </c>
      <c r="B334" s="2">
        <v>0.61699999999999999</v>
      </c>
      <c r="C334" s="8">
        <v>1E-3</v>
      </c>
      <c r="D334" s="8">
        <v>24.074000000000002</v>
      </c>
      <c r="E334" s="8">
        <v>4.5999999999999999E-2</v>
      </c>
      <c r="F334" s="8">
        <v>1.0069999999999999</v>
      </c>
      <c r="G334" s="8">
        <v>0.03</v>
      </c>
      <c r="H334" s="8">
        <v>0.111</v>
      </c>
      <c r="I334" s="8">
        <v>3.5000000000000003E-2</v>
      </c>
      <c r="J334" s="8">
        <v>0.12</v>
      </c>
      <c r="K334" s="8">
        <f t="shared" si="55"/>
        <v>0.23099999999999998</v>
      </c>
      <c r="L334" s="8">
        <f t="shared" si="56"/>
        <v>43.067599000000001</v>
      </c>
      <c r="M334" s="1">
        <f t="shared" si="57"/>
        <v>4106.9536353623489</v>
      </c>
      <c r="N334" s="1">
        <f t="shared" si="58"/>
        <v>1.1653725386822104E+26</v>
      </c>
      <c r="O334" s="2">
        <f t="shared" si="59"/>
        <v>3776.7151896738687</v>
      </c>
      <c r="P334" s="2">
        <f t="shared" si="60"/>
        <v>42.885571174843427</v>
      </c>
      <c r="Q334" s="2">
        <f t="shared" si="61"/>
        <v>0.1820278251565739</v>
      </c>
      <c r="R334" s="2">
        <f t="shared" si="62"/>
        <v>0.62094280712940619</v>
      </c>
      <c r="S334" s="12">
        <v>3480.8015048630582</v>
      </c>
      <c r="T334" s="2">
        <f t="shared" si="63"/>
        <v>42.708396290221252</v>
      </c>
      <c r="U334" s="2">
        <f t="shared" si="64"/>
        <v>0.35920270977874935</v>
      </c>
      <c r="V334" s="2">
        <f t="shared" si="65"/>
        <v>2.4179941663836222</v>
      </c>
    </row>
    <row r="335" spans="1:22" x14ac:dyDescent="0.25">
      <c r="A335" t="s">
        <v>355</v>
      </c>
      <c r="B335" s="2">
        <v>0.62</v>
      </c>
      <c r="C335" s="8">
        <v>1.9E-2</v>
      </c>
      <c r="D335" s="8">
        <v>23.597000000000001</v>
      </c>
      <c r="E335" s="8">
        <v>4.5999999999999999E-2</v>
      </c>
      <c r="F335" s="8">
        <v>0.99099999999999999</v>
      </c>
      <c r="G335" s="8">
        <v>8.3000000000000004E-2</v>
      </c>
      <c r="H335" s="8">
        <v>-1.9E-2</v>
      </c>
      <c r="I335" s="8">
        <v>4.5999999999999999E-2</v>
      </c>
      <c r="J335" s="8">
        <v>0.12</v>
      </c>
      <c r="K335" s="8">
        <f t="shared" si="55"/>
        <v>0.29499999999999998</v>
      </c>
      <c r="L335" s="8">
        <f t="shared" si="56"/>
        <v>42.995147000000003</v>
      </c>
      <c r="M335" s="1">
        <f t="shared" si="57"/>
        <v>3972.1843865939791</v>
      </c>
      <c r="N335" s="1">
        <f t="shared" si="58"/>
        <v>1.1718680976468536E+26</v>
      </c>
      <c r="O335" s="2">
        <f t="shared" si="59"/>
        <v>3797.7658626500238</v>
      </c>
      <c r="P335" s="2">
        <f t="shared" si="60"/>
        <v>42.89764093195032</v>
      </c>
      <c r="Q335" s="2">
        <f t="shared" si="61"/>
        <v>9.7506068049682426E-2</v>
      </c>
      <c r="R335" s="2">
        <f t="shared" si="62"/>
        <v>0.10924944908370354</v>
      </c>
      <c r="S335" s="12">
        <v>3501.3971348740615</v>
      </c>
      <c r="T335" s="2">
        <f t="shared" si="63"/>
        <v>42.721206860170319</v>
      </c>
      <c r="U335" s="2">
        <f t="shared" si="64"/>
        <v>0.27394013982968346</v>
      </c>
      <c r="V335" s="2">
        <f t="shared" si="65"/>
        <v>0.86231772720375222</v>
      </c>
    </row>
    <row r="336" spans="1:22" x14ac:dyDescent="0.25">
      <c r="A336" t="s">
        <v>356</v>
      </c>
      <c r="B336" s="2">
        <v>0.62</v>
      </c>
      <c r="C336" s="8">
        <v>0.01</v>
      </c>
      <c r="D336" s="8">
        <v>23.757000000000001</v>
      </c>
      <c r="E336" s="8">
        <v>0.05</v>
      </c>
      <c r="F336" s="8">
        <v>0.93600000000000005</v>
      </c>
      <c r="G336" s="8">
        <v>2.5000000000000001E-2</v>
      </c>
      <c r="H336" s="8">
        <v>1.9E-2</v>
      </c>
      <c r="I336" s="8">
        <v>0.05</v>
      </c>
      <c r="J336" s="8">
        <v>0.12</v>
      </c>
      <c r="K336" s="8">
        <f t="shared" si="55"/>
        <v>0.245</v>
      </c>
      <c r="L336" s="8">
        <f t="shared" si="56"/>
        <v>43.028121999999996</v>
      </c>
      <c r="M336" s="1">
        <f t="shared" si="57"/>
        <v>4032.9645077486703</v>
      </c>
      <c r="N336" s="1">
        <f t="shared" si="58"/>
        <v>1.1718680976468536E+26</v>
      </c>
      <c r="O336" s="2">
        <f t="shared" si="59"/>
        <v>3797.7658626500238</v>
      </c>
      <c r="P336" s="2">
        <f t="shared" si="60"/>
        <v>42.89764093195032</v>
      </c>
      <c r="Q336" s="2">
        <f t="shared" si="61"/>
        <v>0.13048106804967574</v>
      </c>
      <c r="R336" s="2">
        <f t="shared" si="62"/>
        <v>0.28363696991893567</v>
      </c>
      <c r="S336" s="12">
        <v>3501.3971348740615</v>
      </c>
      <c r="T336" s="2">
        <f t="shared" si="63"/>
        <v>42.721206860170319</v>
      </c>
      <c r="U336" s="2">
        <f t="shared" si="64"/>
        <v>0.30691513982967678</v>
      </c>
      <c r="V336" s="2">
        <f t="shared" si="65"/>
        <v>1.5692945115646821</v>
      </c>
    </row>
    <row r="337" spans="1:22" x14ac:dyDescent="0.25">
      <c r="A337" t="s">
        <v>357</v>
      </c>
      <c r="B337" s="2">
        <v>0.627</v>
      </c>
      <c r="C337" s="8">
        <v>0</v>
      </c>
      <c r="D337" s="8">
        <v>23.39</v>
      </c>
      <c r="E337" s="8">
        <v>4.2999999999999997E-2</v>
      </c>
      <c r="F337" s="8">
        <v>1.1299999999999999</v>
      </c>
      <c r="G337" s="8">
        <v>2.1999999999999999E-2</v>
      </c>
      <c r="H337" s="8">
        <v>-4.4999999999999998E-2</v>
      </c>
      <c r="I337" s="8">
        <v>0.04</v>
      </c>
      <c r="J337" s="8">
        <v>0.12</v>
      </c>
      <c r="K337" s="8">
        <f t="shared" si="55"/>
        <v>0.22500000000000001</v>
      </c>
      <c r="L337" s="8">
        <f t="shared" si="56"/>
        <v>42.889960000000002</v>
      </c>
      <c r="M337" s="1">
        <f t="shared" si="57"/>
        <v>3784.3561361126726</v>
      </c>
      <c r="N337" s="1">
        <f t="shared" si="58"/>
        <v>1.1870481613413711E+26</v>
      </c>
      <c r="O337" s="2">
        <f t="shared" si="59"/>
        <v>3846.9610987074393</v>
      </c>
      <c r="P337" s="2">
        <f t="shared" si="60"/>
        <v>42.925588973252147</v>
      </c>
      <c r="Q337" s="2">
        <f t="shared" si="61"/>
        <v>-3.5628973252144647E-2</v>
      </c>
      <c r="R337" s="2">
        <f t="shared" si="62"/>
        <v>2.5075036740781008E-2</v>
      </c>
      <c r="S337" s="12">
        <v>3549.5586609370084</v>
      </c>
      <c r="T337" s="2">
        <f t="shared" si="63"/>
        <v>42.750871789169764</v>
      </c>
      <c r="U337" s="2">
        <f t="shared" si="64"/>
        <v>0.13908821083023781</v>
      </c>
      <c r="V337" s="2">
        <f t="shared" si="65"/>
        <v>0.38213393366828013</v>
      </c>
    </row>
    <row r="338" spans="1:22" x14ac:dyDescent="0.25">
      <c r="A338" t="s">
        <v>358</v>
      </c>
      <c r="B338" s="2">
        <v>0.629</v>
      </c>
      <c r="C338" s="8">
        <v>2E-3</v>
      </c>
      <c r="D338" s="8">
        <v>23.501000000000001</v>
      </c>
      <c r="E338" s="8">
        <v>4.4999999999999998E-2</v>
      </c>
      <c r="F338" s="8">
        <v>1.115</v>
      </c>
      <c r="G338" s="8">
        <v>2.4E-2</v>
      </c>
      <c r="H338" s="8">
        <v>0.01</v>
      </c>
      <c r="I338" s="8">
        <v>4.1000000000000002E-2</v>
      </c>
      <c r="J338" s="8">
        <v>0.12</v>
      </c>
      <c r="K338" s="8">
        <f t="shared" si="55"/>
        <v>0.23</v>
      </c>
      <c r="L338" s="8">
        <f t="shared" si="56"/>
        <v>42.826605000000001</v>
      </c>
      <c r="M338" s="1">
        <f t="shared" si="57"/>
        <v>3675.5387014709868</v>
      </c>
      <c r="N338" s="1">
        <f t="shared" si="58"/>
        <v>1.191391404081206E+26</v>
      </c>
      <c r="O338" s="2">
        <f t="shared" si="59"/>
        <v>3861.0365898345285</v>
      </c>
      <c r="P338" s="2">
        <f t="shared" si="60"/>
        <v>42.933519586581696</v>
      </c>
      <c r="Q338" s="2">
        <f t="shared" si="61"/>
        <v>-0.10691458658169495</v>
      </c>
      <c r="R338" s="2">
        <f t="shared" si="62"/>
        <v>0.21608183032012751</v>
      </c>
      <c r="S338" s="12">
        <v>3563.3459807777394</v>
      </c>
      <c r="T338" s="2">
        <f t="shared" si="63"/>
        <v>42.759289959703153</v>
      </c>
      <c r="U338" s="2">
        <f t="shared" si="64"/>
        <v>6.7315040296847428E-2</v>
      </c>
      <c r="V338" s="2">
        <f t="shared" si="65"/>
        <v>8.5658121931307993E-2</v>
      </c>
    </row>
    <row r="339" spans="1:22" x14ac:dyDescent="0.25">
      <c r="A339" t="s">
        <v>359</v>
      </c>
      <c r="B339" s="2">
        <v>0.63</v>
      </c>
      <c r="C339" s="8">
        <v>1E-3</v>
      </c>
      <c r="D339" s="8">
        <v>23.611999999999998</v>
      </c>
      <c r="E339" s="8">
        <v>5.8000000000000003E-2</v>
      </c>
      <c r="F339" s="8">
        <v>0.90100000000000002</v>
      </c>
      <c r="G339" s="8">
        <v>3.1E-2</v>
      </c>
      <c r="H339" s="8">
        <v>4.4999999999999998E-2</v>
      </c>
      <c r="I339" s="8">
        <v>5.3999999999999999E-2</v>
      </c>
      <c r="J339" s="8">
        <v>0.12</v>
      </c>
      <c r="K339" s="8">
        <f t="shared" si="55"/>
        <v>0.26300000000000001</v>
      </c>
      <c r="L339" s="8">
        <f t="shared" si="56"/>
        <v>42.796596999999998</v>
      </c>
      <c r="M339" s="1">
        <f t="shared" si="57"/>
        <v>3625.0950645360404</v>
      </c>
      <c r="N339" s="1">
        <f t="shared" si="58"/>
        <v>1.1935640352111211E+26</v>
      </c>
      <c r="O339" s="2">
        <f t="shared" si="59"/>
        <v>3868.0776078073627</v>
      </c>
      <c r="P339" s="2">
        <f t="shared" si="60"/>
        <v>42.937475895183525</v>
      </c>
      <c r="Q339" s="2">
        <f t="shared" si="61"/>
        <v>-0.14087889518352625</v>
      </c>
      <c r="R339" s="2">
        <f t="shared" si="62"/>
        <v>0.286932919488947</v>
      </c>
      <c r="S339" s="12">
        <v>3570.2441032843344</v>
      </c>
      <c r="T339" s="2">
        <f t="shared" si="63"/>
        <v>42.763489552669071</v>
      </c>
      <c r="U339" s="2">
        <f t="shared" si="64"/>
        <v>3.3107447330927187E-2</v>
      </c>
      <c r="V339" s="2">
        <f t="shared" si="65"/>
        <v>1.5846738694648144E-2</v>
      </c>
    </row>
    <row r="340" spans="1:22" x14ac:dyDescent="0.25">
      <c r="A340" t="s">
        <v>360</v>
      </c>
      <c r="B340" s="2">
        <v>0.63200000000000001</v>
      </c>
      <c r="C340" s="8">
        <v>1E-3</v>
      </c>
      <c r="D340" s="8">
        <v>23.715</v>
      </c>
      <c r="E340" s="8">
        <v>4.2999999999999997E-2</v>
      </c>
      <c r="F340" s="8">
        <v>0.96699999999999997</v>
      </c>
      <c r="G340" s="8">
        <v>2.5000000000000001E-2</v>
      </c>
      <c r="H340" s="8">
        <v>-1E-3</v>
      </c>
      <c r="I340" s="8">
        <v>3.4000000000000002E-2</v>
      </c>
      <c r="J340" s="8">
        <v>0.12</v>
      </c>
      <c r="K340" s="8">
        <f t="shared" si="55"/>
        <v>0.222</v>
      </c>
      <c r="L340" s="8">
        <f t="shared" si="56"/>
        <v>43.053279000000003</v>
      </c>
      <c r="M340" s="1">
        <f t="shared" si="57"/>
        <v>4079.9590109521814</v>
      </c>
      <c r="N340" s="1">
        <f t="shared" si="58"/>
        <v>1.1979113131544714E+26</v>
      </c>
      <c r="O340" s="2">
        <f t="shared" si="59"/>
        <v>3882.1661761384398</v>
      </c>
      <c r="P340" s="2">
        <f t="shared" si="60"/>
        <v>42.945370607136169</v>
      </c>
      <c r="Q340" s="2">
        <f t="shared" si="61"/>
        <v>0.10790839286383402</v>
      </c>
      <c r="R340" s="2">
        <f t="shared" si="62"/>
        <v>0.2362677796131715</v>
      </c>
      <c r="S340" s="12">
        <v>3584.0492554983816</v>
      </c>
      <c r="T340" s="2">
        <f t="shared" si="63"/>
        <v>42.771869847645974</v>
      </c>
      <c r="U340" s="2">
        <f t="shared" si="64"/>
        <v>0.28140915235402986</v>
      </c>
      <c r="V340" s="2">
        <f t="shared" si="65"/>
        <v>1.6068320556085867</v>
      </c>
    </row>
    <row r="341" spans="1:22" x14ac:dyDescent="0.25">
      <c r="A341" t="s">
        <v>361</v>
      </c>
      <c r="B341" s="2">
        <v>0.63400000000000001</v>
      </c>
      <c r="C341" s="8">
        <v>1E-3</v>
      </c>
      <c r="D341" s="8">
        <v>23.733000000000001</v>
      </c>
      <c r="E341" s="8">
        <v>4.7E-2</v>
      </c>
      <c r="F341" s="8">
        <v>1.0189999999999999</v>
      </c>
      <c r="G341" s="8">
        <v>4.1000000000000002E-2</v>
      </c>
      <c r="H341" s="8">
        <v>-8.0000000000000002E-3</v>
      </c>
      <c r="I341" s="8">
        <v>5.2999999999999999E-2</v>
      </c>
      <c r="J341" s="8">
        <v>0.12</v>
      </c>
      <c r="K341" s="8">
        <f t="shared" si="55"/>
        <v>0.26100000000000001</v>
      </c>
      <c r="L341" s="8">
        <f t="shared" si="56"/>
        <v>43.100833000000002</v>
      </c>
      <c r="M341" s="1">
        <f t="shared" si="57"/>
        <v>4170.2932969311623</v>
      </c>
      <c r="N341" s="1">
        <f t="shared" si="58"/>
        <v>1.2022612735741444E+26</v>
      </c>
      <c r="O341" s="2">
        <f t="shared" si="59"/>
        <v>3896.2634377832323</v>
      </c>
      <c r="P341" s="2">
        <f t="shared" si="60"/>
        <v>42.95324156560644</v>
      </c>
      <c r="Q341" s="2">
        <f t="shared" si="61"/>
        <v>0.14759143439356137</v>
      </c>
      <c r="R341" s="2">
        <f t="shared" si="62"/>
        <v>0.31977263261474337</v>
      </c>
      <c r="S341" s="12">
        <v>3597.8662600795774</v>
      </c>
      <c r="T341" s="2">
        <f t="shared" si="63"/>
        <v>42.780225078553833</v>
      </c>
      <c r="U341" s="2">
        <f t="shared" si="64"/>
        <v>0.32060792144616812</v>
      </c>
      <c r="V341" s="2">
        <f t="shared" si="65"/>
        <v>1.5089244035471046</v>
      </c>
    </row>
    <row r="342" spans="1:22" x14ac:dyDescent="0.25">
      <c r="A342" t="s">
        <v>362</v>
      </c>
      <c r="B342" s="2">
        <v>0.63900000000000001</v>
      </c>
      <c r="C342" s="8">
        <v>1E-3</v>
      </c>
      <c r="D342" s="8">
        <v>24.024000000000001</v>
      </c>
      <c r="E342" s="8">
        <v>6.2E-2</v>
      </c>
      <c r="F342" s="8">
        <v>0.84299999999999997</v>
      </c>
      <c r="G342" s="8">
        <v>3.7999999999999999E-2</v>
      </c>
      <c r="H342" s="8">
        <v>9.4E-2</v>
      </c>
      <c r="I342" s="8">
        <v>7.0999999999999994E-2</v>
      </c>
      <c r="J342" s="8">
        <v>0.12</v>
      </c>
      <c r="K342" s="8">
        <f t="shared" si="55"/>
        <v>0.29099999999999998</v>
      </c>
      <c r="L342" s="8">
        <f t="shared" si="56"/>
        <v>43.046700999999999</v>
      </c>
      <c r="M342" s="1">
        <f t="shared" si="57"/>
        <v>4067.6183699216904</v>
      </c>
      <c r="N342" s="1">
        <f t="shared" si="58"/>
        <v>1.2131478704335531E+26</v>
      </c>
      <c r="O342" s="2">
        <f t="shared" si="59"/>
        <v>3931.5444954347859</v>
      </c>
      <c r="P342" s="2">
        <f t="shared" si="60"/>
        <v>42.972815975888864</v>
      </c>
      <c r="Q342" s="2">
        <f t="shared" si="61"/>
        <v>7.3885024111135067E-2</v>
      </c>
      <c r="R342" s="2">
        <f t="shared" si="62"/>
        <v>6.4465426576245086E-2</v>
      </c>
      <c r="S342" s="12">
        <v>3632.4604381110885</v>
      </c>
      <c r="T342" s="2">
        <f t="shared" si="63"/>
        <v>42.801004465017385</v>
      </c>
      <c r="U342" s="2">
        <f t="shared" si="64"/>
        <v>0.24569653498261346</v>
      </c>
      <c r="V342" s="2">
        <f t="shared" si="65"/>
        <v>0.71287286761448976</v>
      </c>
    </row>
    <row r="343" spans="1:22" x14ac:dyDescent="0.25">
      <c r="A343" t="s">
        <v>363</v>
      </c>
      <c r="B343" s="2">
        <v>0.64</v>
      </c>
      <c r="C343" s="8">
        <v>1E-3</v>
      </c>
      <c r="D343" s="8">
        <v>23.672000000000001</v>
      </c>
      <c r="E343" s="8">
        <v>5.8999999999999997E-2</v>
      </c>
      <c r="F343" s="8">
        <v>0.99399999999999999</v>
      </c>
      <c r="G343" s="8">
        <v>2.5999999999999999E-2</v>
      </c>
      <c r="H343" s="8">
        <v>-6.3E-2</v>
      </c>
      <c r="I343" s="8">
        <v>4.2999999999999997E-2</v>
      </c>
      <c r="J343" s="8">
        <v>0.12</v>
      </c>
      <c r="K343" s="8">
        <f t="shared" si="55"/>
        <v>0.248</v>
      </c>
      <c r="L343" s="8">
        <f t="shared" si="56"/>
        <v>43.208308000000002</v>
      </c>
      <c r="M343" s="1">
        <f t="shared" si="57"/>
        <v>4381.8913002881336</v>
      </c>
      <c r="N343" s="1">
        <f t="shared" si="58"/>
        <v>1.2153271887257283E+26</v>
      </c>
      <c r="O343" s="2">
        <f t="shared" si="59"/>
        <v>3938.607185024588</v>
      </c>
      <c r="P343" s="2">
        <f t="shared" si="60"/>
        <v>42.976713344153389</v>
      </c>
      <c r="Q343" s="2">
        <f t="shared" si="61"/>
        <v>0.23159465584661376</v>
      </c>
      <c r="R343" s="2">
        <f t="shared" si="62"/>
        <v>0.872074736874211</v>
      </c>
      <c r="S343" s="12">
        <v>3639.388102374362</v>
      </c>
      <c r="T343" s="2">
        <f t="shared" si="63"/>
        <v>42.80514185491964</v>
      </c>
      <c r="U343" s="2">
        <f t="shared" si="64"/>
        <v>0.40316614508036253</v>
      </c>
      <c r="V343" s="2">
        <f t="shared" si="65"/>
        <v>2.642802753299947</v>
      </c>
    </row>
    <row r="344" spans="1:22" x14ac:dyDescent="0.25">
      <c r="A344" t="s">
        <v>364</v>
      </c>
      <c r="B344" s="2">
        <v>0.64</v>
      </c>
      <c r="C344" s="8">
        <v>0.02</v>
      </c>
      <c r="D344" s="8">
        <v>23.895</v>
      </c>
      <c r="E344" s="8">
        <v>5.6000000000000001E-2</v>
      </c>
      <c r="F344" s="8">
        <v>1.0549999999999999</v>
      </c>
      <c r="G344" s="8">
        <v>0.06</v>
      </c>
      <c r="H344" s="8">
        <v>6.8000000000000005E-2</v>
      </c>
      <c r="I344" s="8">
        <v>5.0999999999999997E-2</v>
      </c>
      <c r="J344" s="8">
        <v>0.12</v>
      </c>
      <c r="K344" s="8">
        <f t="shared" si="55"/>
        <v>0.28699999999999998</v>
      </c>
      <c r="L344" s="8">
        <f t="shared" si="56"/>
        <v>43.030245000000001</v>
      </c>
      <c r="M344" s="1">
        <f t="shared" si="57"/>
        <v>4036.9093750224647</v>
      </c>
      <c r="N344" s="1">
        <f t="shared" si="58"/>
        <v>1.2153271887257283E+26</v>
      </c>
      <c r="O344" s="2">
        <f t="shared" si="59"/>
        <v>3938.607185024588</v>
      </c>
      <c r="P344" s="2">
        <f t="shared" si="60"/>
        <v>42.976713344153389</v>
      </c>
      <c r="Q344" s="2">
        <f t="shared" si="61"/>
        <v>5.3531655846612125E-2</v>
      </c>
      <c r="R344" s="2">
        <f t="shared" si="62"/>
        <v>3.479025091575863E-2</v>
      </c>
      <c r="S344" s="12">
        <v>3639.388102374362</v>
      </c>
      <c r="T344" s="2">
        <f t="shared" si="63"/>
        <v>42.80514185491964</v>
      </c>
      <c r="U344" s="2">
        <f t="shared" si="64"/>
        <v>0.22510314508036089</v>
      </c>
      <c r="V344" s="2">
        <f t="shared" si="65"/>
        <v>0.61517592692724221</v>
      </c>
    </row>
    <row r="345" spans="1:22" x14ac:dyDescent="0.25">
      <c r="A345" t="s">
        <v>365</v>
      </c>
      <c r="B345" s="2">
        <v>0.64300000000000002</v>
      </c>
      <c r="C345" s="8">
        <v>1E-3</v>
      </c>
      <c r="D345" s="8">
        <v>23.62</v>
      </c>
      <c r="E345" s="8">
        <v>5.8000000000000003E-2</v>
      </c>
      <c r="F345" s="8">
        <v>1.071</v>
      </c>
      <c r="G345" s="8">
        <v>5.0999999999999997E-2</v>
      </c>
      <c r="H345" s="8">
        <v>-3.4000000000000002E-2</v>
      </c>
      <c r="I345" s="8">
        <v>5.0999999999999997E-2</v>
      </c>
      <c r="J345" s="8">
        <v>0.12</v>
      </c>
      <c r="K345" s="8">
        <f t="shared" si="55"/>
        <v>0.28000000000000003</v>
      </c>
      <c r="L345" s="8">
        <f t="shared" si="56"/>
        <v>43.076857000000004</v>
      </c>
      <c r="M345" s="1">
        <f t="shared" si="57"/>
        <v>4124.5008742960472</v>
      </c>
      <c r="N345" s="1">
        <f t="shared" si="58"/>
        <v>1.2218691278293076E+26</v>
      </c>
      <c r="O345" s="2">
        <f t="shared" si="59"/>
        <v>3959.8081657945213</v>
      </c>
      <c r="P345" s="2">
        <f t="shared" si="60"/>
        <v>42.988370734482487</v>
      </c>
      <c r="Q345" s="2">
        <f t="shared" si="61"/>
        <v>8.8486265517516927E-2</v>
      </c>
      <c r="R345" s="2">
        <f t="shared" si="62"/>
        <v>9.9870142668832956E-2</v>
      </c>
      <c r="S345" s="12">
        <v>3660.1886886777261</v>
      </c>
      <c r="T345" s="2">
        <f t="shared" si="63"/>
        <v>42.817517372790718</v>
      </c>
      <c r="U345" s="2">
        <f t="shared" si="64"/>
        <v>0.25933962720928605</v>
      </c>
      <c r="V345" s="2">
        <f t="shared" si="65"/>
        <v>0.85787043674810526</v>
      </c>
    </row>
    <row r="346" spans="1:22" x14ac:dyDescent="0.25">
      <c r="A346" t="s">
        <v>366</v>
      </c>
      <c r="B346" s="2">
        <v>0.64300000000000002</v>
      </c>
      <c r="C346" s="8">
        <v>1E-3</v>
      </c>
      <c r="D346" s="8">
        <v>23.8</v>
      </c>
      <c r="E346" s="8">
        <v>0.06</v>
      </c>
      <c r="F346" s="8">
        <v>0.97799999999999998</v>
      </c>
      <c r="G346" s="8">
        <v>2.5999999999999999E-2</v>
      </c>
      <c r="H346" s="8">
        <v>-1.0999999999999999E-2</v>
      </c>
      <c r="I346" s="8">
        <v>5.0999999999999997E-2</v>
      </c>
      <c r="J346" s="8">
        <v>0.12</v>
      </c>
      <c r="K346" s="8">
        <f t="shared" si="55"/>
        <v>0.25700000000000001</v>
      </c>
      <c r="L346" s="8">
        <f t="shared" si="56"/>
        <v>43.171196000000002</v>
      </c>
      <c r="M346" s="1">
        <f t="shared" si="57"/>
        <v>4307.6380054327328</v>
      </c>
      <c r="N346" s="1">
        <f t="shared" si="58"/>
        <v>1.2218691278293076E+26</v>
      </c>
      <c r="O346" s="2">
        <f t="shared" si="59"/>
        <v>3959.8081657945213</v>
      </c>
      <c r="P346" s="2">
        <f t="shared" si="60"/>
        <v>42.988370734482487</v>
      </c>
      <c r="Q346" s="2">
        <f t="shared" si="61"/>
        <v>0.18282526551751488</v>
      </c>
      <c r="R346" s="2">
        <f t="shared" si="62"/>
        <v>0.5060648565693624</v>
      </c>
      <c r="S346" s="12">
        <v>3660.1886886777261</v>
      </c>
      <c r="T346" s="2">
        <f t="shared" si="63"/>
        <v>42.817517372790718</v>
      </c>
      <c r="U346" s="2">
        <f t="shared" si="64"/>
        <v>0.353678627209284</v>
      </c>
      <c r="V346" s="2">
        <f t="shared" si="65"/>
        <v>1.8938753250563021</v>
      </c>
    </row>
    <row r="347" spans="1:22" x14ac:dyDescent="0.25">
      <c r="A347" t="s">
        <v>367</v>
      </c>
      <c r="B347" s="2">
        <v>0.64700000000000002</v>
      </c>
      <c r="C347" s="8">
        <v>0</v>
      </c>
      <c r="D347" s="8">
        <v>23.896000000000001</v>
      </c>
      <c r="E347" s="8">
        <v>4.2999999999999997E-2</v>
      </c>
      <c r="F347" s="8">
        <v>1.04</v>
      </c>
      <c r="G347" s="8">
        <v>2.1999999999999999E-2</v>
      </c>
      <c r="H347" s="8">
        <v>3.5000000000000003E-2</v>
      </c>
      <c r="I347" s="8">
        <v>3.9E-2</v>
      </c>
      <c r="J347" s="8">
        <v>0.12</v>
      </c>
      <c r="K347" s="8">
        <f t="shared" si="55"/>
        <v>0.224</v>
      </c>
      <c r="L347" s="8">
        <f t="shared" si="56"/>
        <v>43.132330000000003</v>
      </c>
      <c r="M347" s="1">
        <f t="shared" si="57"/>
        <v>4231.2238306000663</v>
      </c>
      <c r="N347" s="1">
        <f t="shared" si="58"/>
        <v>1.2306009817337373E+26</v>
      </c>
      <c r="O347" s="2">
        <f t="shared" si="59"/>
        <v>3988.1061771001278</v>
      </c>
      <c r="P347" s="2">
        <f t="shared" si="60"/>
        <v>43.003833561030149</v>
      </c>
      <c r="Q347" s="2">
        <f t="shared" si="61"/>
        <v>0.12849643896985441</v>
      </c>
      <c r="R347" s="2">
        <f t="shared" si="62"/>
        <v>0.32906837587558829</v>
      </c>
      <c r="S347" s="12">
        <v>3687.9637235861478</v>
      </c>
      <c r="T347" s="2">
        <f t="shared" si="63"/>
        <v>42.833933202466739</v>
      </c>
      <c r="U347" s="2">
        <f t="shared" si="64"/>
        <v>0.29839679753326465</v>
      </c>
      <c r="V347" s="2">
        <f t="shared" si="65"/>
        <v>1.7745665014769636</v>
      </c>
    </row>
    <row r="348" spans="1:22" x14ac:dyDescent="0.25">
      <c r="A348" t="s">
        <v>368</v>
      </c>
      <c r="B348" s="2">
        <v>0.64800000000000002</v>
      </c>
      <c r="C348" s="8">
        <v>0</v>
      </c>
      <c r="D348" s="8">
        <v>23.965</v>
      </c>
      <c r="E348" s="8">
        <v>4.4999999999999998E-2</v>
      </c>
      <c r="F348" s="8">
        <v>0.97899999999999998</v>
      </c>
      <c r="G348" s="8">
        <v>2.5999999999999999E-2</v>
      </c>
      <c r="H348" s="8">
        <v>8.5000000000000006E-2</v>
      </c>
      <c r="I348" s="8">
        <v>3.9E-2</v>
      </c>
      <c r="J348" s="8">
        <v>0.12</v>
      </c>
      <c r="K348" s="8">
        <f t="shared" si="55"/>
        <v>0.22999999999999998</v>
      </c>
      <c r="L348" s="8">
        <f t="shared" si="56"/>
        <v>43.035862999999999</v>
      </c>
      <c r="M348" s="1">
        <f t="shared" si="57"/>
        <v>4047.3671270657592</v>
      </c>
      <c r="N348" s="1">
        <f t="shared" si="58"/>
        <v>1.2327855952869311E+26</v>
      </c>
      <c r="O348" s="2">
        <f t="shared" si="59"/>
        <v>3995.1860274621795</v>
      </c>
      <c r="P348" s="2">
        <f t="shared" si="60"/>
        <v>43.00768503066476</v>
      </c>
      <c r="Q348" s="2">
        <f t="shared" si="61"/>
        <v>2.8177969335239084E-2</v>
      </c>
      <c r="R348" s="2">
        <f t="shared" si="62"/>
        <v>1.5009413154209344E-2</v>
      </c>
      <c r="S348" s="12">
        <v>3694.914765988146</v>
      </c>
      <c r="T348" s="2">
        <f t="shared" si="63"/>
        <v>42.838022122872133</v>
      </c>
      <c r="U348" s="2">
        <f t="shared" si="64"/>
        <v>0.19784087712786658</v>
      </c>
      <c r="V348" s="2">
        <f t="shared" si="65"/>
        <v>0.73990572141254463</v>
      </c>
    </row>
    <row r="349" spans="1:22" x14ac:dyDescent="0.25">
      <c r="A349" t="s">
        <v>369</v>
      </c>
      <c r="B349" s="2">
        <v>0.66300000000000003</v>
      </c>
      <c r="C349" s="8">
        <v>1E-3</v>
      </c>
      <c r="D349" s="8">
        <v>24.058</v>
      </c>
      <c r="E349" s="8">
        <v>4.5999999999999999E-2</v>
      </c>
      <c r="F349" s="8">
        <v>1.028</v>
      </c>
      <c r="G349" s="8">
        <v>4.1000000000000002E-2</v>
      </c>
      <c r="H349" s="8">
        <v>0.1</v>
      </c>
      <c r="I349" s="8">
        <v>4.3999999999999997E-2</v>
      </c>
      <c r="J349" s="8">
        <v>0.12</v>
      </c>
      <c r="K349" s="8">
        <f t="shared" si="55"/>
        <v>0.251</v>
      </c>
      <c r="L349" s="8">
        <f t="shared" si="56"/>
        <v>43.089116000000004</v>
      </c>
      <c r="M349" s="1">
        <f t="shared" si="57"/>
        <v>4147.85150450116</v>
      </c>
      <c r="N349" s="1">
        <f t="shared" si="58"/>
        <v>1.2656334074393029E+26</v>
      </c>
      <c r="O349" s="2">
        <f t="shared" si="59"/>
        <v>4101.6385368405954</v>
      </c>
      <c r="P349" s="2">
        <f t="shared" si="60"/>
        <v>43.064786924271374</v>
      </c>
      <c r="Q349" s="2">
        <f t="shared" si="61"/>
        <v>2.4329075728630301E-2</v>
      </c>
      <c r="R349" s="2">
        <f t="shared" si="62"/>
        <v>9.3951512802880593E-3</v>
      </c>
      <c r="S349" s="12">
        <v>3799.5272295189898</v>
      </c>
      <c r="T349" s="2">
        <f t="shared" si="63"/>
        <v>42.898647806262289</v>
      </c>
      <c r="U349" s="2">
        <f t="shared" si="64"/>
        <v>0.19046819373771484</v>
      </c>
      <c r="V349" s="2">
        <f t="shared" si="65"/>
        <v>0.57583423795983668</v>
      </c>
    </row>
    <row r="350" spans="1:22" x14ac:dyDescent="0.25">
      <c r="A350" t="s">
        <v>370</v>
      </c>
      <c r="B350" s="2">
        <v>0.66400000000000003</v>
      </c>
      <c r="C350" s="8">
        <v>1E-3</v>
      </c>
      <c r="D350" s="8">
        <v>23.501000000000001</v>
      </c>
      <c r="E350" s="8">
        <v>4.9000000000000002E-2</v>
      </c>
      <c r="F350" s="8">
        <v>1.0449999999999999</v>
      </c>
      <c r="G350" s="8">
        <v>2.5999999999999999E-2</v>
      </c>
      <c r="H350" s="8">
        <v>-0.14099999999999999</v>
      </c>
      <c r="I350" s="8">
        <v>3.9E-2</v>
      </c>
      <c r="J350" s="8">
        <v>0.12</v>
      </c>
      <c r="K350" s="8">
        <f t="shared" si="55"/>
        <v>0.23399999999999999</v>
      </c>
      <c r="L350" s="8">
        <f t="shared" si="56"/>
        <v>43.288944999999998</v>
      </c>
      <c r="M350" s="1">
        <f t="shared" si="57"/>
        <v>4547.6705995943357</v>
      </c>
      <c r="N350" s="1">
        <f t="shared" si="58"/>
        <v>1.2678284687308871E+26</v>
      </c>
      <c r="O350" s="2">
        <f t="shared" si="59"/>
        <v>4108.7522460168611</v>
      </c>
      <c r="P350" s="2">
        <f t="shared" si="60"/>
        <v>43.068549772466916</v>
      </c>
      <c r="Q350" s="2">
        <f t="shared" si="61"/>
        <v>0.22039522753308205</v>
      </c>
      <c r="R350" s="2">
        <f t="shared" si="62"/>
        <v>0.88710015924024799</v>
      </c>
      <c r="S350" s="12">
        <v>3806.5243587738846</v>
      </c>
      <c r="T350" s="2">
        <f t="shared" si="63"/>
        <v>42.902643066413411</v>
      </c>
      <c r="U350" s="2">
        <f t="shared" si="64"/>
        <v>0.38630193358658715</v>
      </c>
      <c r="V350" s="2">
        <f t="shared" si="65"/>
        <v>2.7253485260562496</v>
      </c>
    </row>
    <row r="351" spans="1:22" x14ac:dyDescent="0.25">
      <c r="A351" t="s">
        <v>371</v>
      </c>
      <c r="B351" s="2">
        <v>0.67</v>
      </c>
      <c r="C351" s="8">
        <v>0.02</v>
      </c>
      <c r="D351" s="8">
        <v>24.106000000000002</v>
      </c>
      <c r="E351" s="8">
        <v>6.0999999999999999E-2</v>
      </c>
      <c r="F351" s="8">
        <v>1.0840000000000001</v>
      </c>
      <c r="G351" s="8">
        <v>4.7E-2</v>
      </c>
      <c r="H351" s="8">
        <v>5.2999999999999999E-2</v>
      </c>
      <c r="I351" s="8">
        <v>4.3999999999999997E-2</v>
      </c>
      <c r="J351" s="8">
        <v>0.12</v>
      </c>
      <c r="K351" s="8">
        <f t="shared" si="55"/>
        <v>0.27200000000000002</v>
      </c>
      <c r="L351" s="8">
        <f t="shared" si="56"/>
        <v>43.292457999999996</v>
      </c>
      <c r="M351" s="1">
        <f t="shared" si="57"/>
        <v>4555.0337586415835</v>
      </c>
      <c r="N351" s="1">
        <f t="shared" si="58"/>
        <v>1.281012392617617E+26</v>
      </c>
      <c r="O351" s="2">
        <f t="shared" si="59"/>
        <v>4151.4784335232362</v>
      </c>
      <c r="P351" s="2">
        <f t="shared" si="60"/>
        <v>43.091013930763793</v>
      </c>
      <c r="Q351" s="2">
        <f t="shared" si="61"/>
        <v>0.20144406923620295</v>
      </c>
      <c r="R351" s="2">
        <f t="shared" si="62"/>
        <v>0.54849309351265307</v>
      </c>
      <c r="S351" s="12">
        <v>3848.5668892974372</v>
      </c>
      <c r="T351" s="2">
        <f t="shared" si="63"/>
        <v>42.926495195675784</v>
      </c>
      <c r="U351" s="2">
        <f t="shared" si="64"/>
        <v>0.36596280432421224</v>
      </c>
      <c r="V351" s="2">
        <f t="shared" si="65"/>
        <v>1.8102397024875871</v>
      </c>
    </row>
    <row r="352" spans="1:22" x14ac:dyDescent="0.25">
      <c r="A352" t="s">
        <v>372</v>
      </c>
      <c r="B352" s="2">
        <v>0.67900000000000005</v>
      </c>
      <c r="C352" s="8">
        <v>1E-3</v>
      </c>
      <c r="D352" s="8">
        <v>24.088000000000001</v>
      </c>
      <c r="E352" s="8">
        <v>5.3999999999999999E-2</v>
      </c>
      <c r="F352" s="8">
        <v>1.0840000000000001</v>
      </c>
      <c r="G352" s="8">
        <v>0.04</v>
      </c>
      <c r="H352" s="8">
        <v>-1.9E-2</v>
      </c>
      <c r="I352" s="8">
        <v>5.1999999999999998E-2</v>
      </c>
      <c r="J352" s="8">
        <v>0.12</v>
      </c>
      <c r="K352" s="8">
        <f t="shared" si="55"/>
        <v>0.26600000000000001</v>
      </c>
      <c r="L352" s="8">
        <f t="shared" si="56"/>
        <v>43.499818000000005</v>
      </c>
      <c r="M352" s="1">
        <f t="shared" si="57"/>
        <v>5011.4522883198833</v>
      </c>
      <c r="N352" s="1">
        <f t="shared" si="58"/>
        <v>1.3008315915097392E+26</v>
      </c>
      <c r="O352" s="2">
        <f t="shared" si="59"/>
        <v>4215.708082857248</v>
      </c>
      <c r="P352" s="2">
        <f t="shared" si="60"/>
        <v>43.124352652396325</v>
      </c>
      <c r="Q352" s="2">
        <f t="shared" si="61"/>
        <v>0.37546534760367933</v>
      </c>
      <c r="R352" s="2">
        <f t="shared" si="62"/>
        <v>1.9923996163032354</v>
      </c>
      <c r="S352" s="12">
        <v>3911.8215341446171</v>
      </c>
      <c r="T352" s="2">
        <f t="shared" si="63"/>
        <v>42.961895165516232</v>
      </c>
      <c r="U352" s="2">
        <f t="shared" si="64"/>
        <v>0.53792283448377276</v>
      </c>
      <c r="V352" s="2">
        <f t="shared" si="65"/>
        <v>4.0895609681024414</v>
      </c>
    </row>
    <row r="353" spans="1:22" x14ac:dyDescent="0.25">
      <c r="A353" t="s">
        <v>373</v>
      </c>
      <c r="B353" s="2">
        <v>0.68</v>
      </c>
      <c r="C353" s="8">
        <v>0.02</v>
      </c>
      <c r="D353" s="8">
        <v>23.521000000000001</v>
      </c>
      <c r="E353" s="8">
        <v>5.0999999999999997E-2</v>
      </c>
      <c r="F353" s="8">
        <v>1.0669999999999999</v>
      </c>
      <c r="G353" s="8">
        <v>2.9000000000000001E-2</v>
      </c>
      <c r="H353" s="8">
        <v>-0.113</v>
      </c>
      <c r="I353" s="8">
        <v>3.9E-2</v>
      </c>
      <c r="J353" s="8">
        <v>0.12</v>
      </c>
      <c r="K353" s="8">
        <f t="shared" si="55"/>
        <v>0.23899999999999999</v>
      </c>
      <c r="L353" s="8">
        <f t="shared" si="56"/>
        <v>43.224539</v>
      </c>
      <c r="M353" s="1">
        <f t="shared" si="57"/>
        <v>4414.7671262810118</v>
      </c>
      <c r="N353" s="1">
        <f t="shared" si="58"/>
        <v>1.3030369139404626E+26</v>
      </c>
      <c r="O353" s="2">
        <f t="shared" si="59"/>
        <v>4222.8550461207378</v>
      </c>
      <c r="P353" s="2">
        <f t="shared" si="60"/>
        <v>43.128030870361172</v>
      </c>
      <c r="Q353" s="2">
        <f t="shared" si="61"/>
        <v>9.6508129638827711E-2</v>
      </c>
      <c r="R353" s="2">
        <f t="shared" si="62"/>
        <v>0.16305420224409195</v>
      </c>
      <c r="S353" s="12">
        <v>3918.8638751424987</v>
      </c>
      <c r="T353" s="2">
        <f t="shared" si="63"/>
        <v>42.965800890877105</v>
      </c>
      <c r="U353" s="2">
        <f t="shared" si="64"/>
        <v>0.25873810912289485</v>
      </c>
      <c r="V353" s="2">
        <f t="shared" si="65"/>
        <v>1.1719929467707331</v>
      </c>
    </row>
    <row r="354" spans="1:22" x14ac:dyDescent="0.25">
      <c r="A354" t="s">
        <v>374</v>
      </c>
      <c r="B354" s="2">
        <v>0.68300000000000005</v>
      </c>
      <c r="C354" s="8">
        <v>1E-3</v>
      </c>
      <c r="D354" s="8">
        <v>24.067</v>
      </c>
      <c r="E354" s="8">
        <v>7.2999999999999995E-2</v>
      </c>
      <c r="F354" s="8">
        <v>1.0820000000000001</v>
      </c>
      <c r="G354" s="8">
        <v>5.7000000000000002E-2</v>
      </c>
      <c r="H354" s="8">
        <v>6.0000000000000001E-3</v>
      </c>
      <c r="I354" s="8">
        <v>6.2E-2</v>
      </c>
      <c r="J354" s="8">
        <v>0.12</v>
      </c>
      <c r="K354" s="8">
        <f t="shared" si="55"/>
        <v>0.312</v>
      </c>
      <c r="L354" s="8">
        <f t="shared" si="56"/>
        <v>43.400273999999996</v>
      </c>
      <c r="M354" s="1">
        <f t="shared" si="57"/>
        <v>4786.9049047418457</v>
      </c>
      <c r="N354" s="1">
        <f t="shared" si="58"/>
        <v>1.3096566897538563E+26</v>
      </c>
      <c r="O354" s="2">
        <f t="shared" si="59"/>
        <v>4244.308278487918</v>
      </c>
      <c r="P354" s="2">
        <f t="shared" si="60"/>
        <v>43.13903460327171</v>
      </c>
      <c r="Q354" s="2">
        <f t="shared" si="61"/>
        <v>0.26123939672828556</v>
      </c>
      <c r="R354" s="2">
        <f t="shared" si="62"/>
        <v>0.7010809336267112</v>
      </c>
      <c r="S354" s="12">
        <v>3940.007667710468</v>
      </c>
      <c r="T354" s="2">
        <f t="shared" si="63"/>
        <v>42.977485335068359</v>
      </c>
      <c r="U354" s="2">
        <f t="shared" si="64"/>
        <v>0.42278866493163747</v>
      </c>
      <c r="V354" s="2">
        <f t="shared" si="65"/>
        <v>1.8362739890971853</v>
      </c>
    </row>
    <row r="355" spans="1:22" x14ac:dyDescent="0.25">
      <c r="A355" t="s">
        <v>375</v>
      </c>
      <c r="B355" s="2">
        <v>0.68700000000000006</v>
      </c>
      <c r="C355" s="8">
        <v>1E-3</v>
      </c>
      <c r="D355" s="8">
        <v>24.120999999999999</v>
      </c>
      <c r="E355" s="8">
        <v>5.6000000000000001E-2</v>
      </c>
      <c r="F355" s="8">
        <v>0.9</v>
      </c>
      <c r="G355" s="8">
        <v>4.2999999999999997E-2</v>
      </c>
      <c r="H355" s="8">
        <v>-0.01</v>
      </c>
      <c r="I355" s="8">
        <v>5.7000000000000002E-2</v>
      </c>
      <c r="J355" s="8">
        <v>0.12</v>
      </c>
      <c r="K355" s="8">
        <f t="shared" si="55"/>
        <v>0.27600000000000002</v>
      </c>
      <c r="L355" s="8">
        <f t="shared" si="56"/>
        <v>43.477599999999995</v>
      </c>
      <c r="M355" s="1">
        <f t="shared" si="57"/>
        <v>4960.4377052981727</v>
      </c>
      <c r="N355" s="1">
        <f t="shared" si="58"/>
        <v>1.3184919175966618E+26</v>
      </c>
      <c r="O355" s="2">
        <f t="shared" si="59"/>
        <v>4272.941301912243</v>
      </c>
      <c r="P355" s="2">
        <f t="shared" si="60"/>
        <v>43.153634634422154</v>
      </c>
      <c r="Q355" s="2">
        <f t="shared" si="61"/>
        <v>0.32396536557784117</v>
      </c>
      <c r="R355" s="2">
        <f t="shared" si="62"/>
        <v>1.3777772276567983</v>
      </c>
      <c r="S355" s="12">
        <v>3968.2383960418406</v>
      </c>
      <c r="T355" s="2">
        <f t="shared" si="63"/>
        <v>42.992988774789055</v>
      </c>
      <c r="U355" s="2">
        <f t="shared" si="64"/>
        <v>0.48461122521094069</v>
      </c>
      <c r="V355" s="2">
        <f t="shared" si="65"/>
        <v>3.0829662833497302</v>
      </c>
    </row>
    <row r="356" spans="1:22" x14ac:dyDescent="0.25">
      <c r="A356" t="s">
        <v>376</v>
      </c>
      <c r="B356" s="2">
        <v>0.69</v>
      </c>
      <c r="C356" s="8">
        <v>0.01</v>
      </c>
      <c r="D356" s="8">
        <v>24.376999999999999</v>
      </c>
      <c r="E356" s="8">
        <v>5.0999999999999997E-2</v>
      </c>
      <c r="F356" s="8">
        <v>1.006</v>
      </c>
      <c r="G356" s="8">
        <v>0.04</v>
      </c>
      <c r="H356" s="8">
        <v>0.14899999999999999</v>
      </c>
      <c r="I356" s="8">
        <v>4.8000000000000001E-2</v>
      </c>
      <c r="J356" s="8">
        <v>0.12</v>
      </c>
      <c r="K356" s="8">
        <f t="shared" si="55"/>
        <v>0.25900000000000001</v>
      </c>
      <c r="L356" s="8">
        <f t="shared" si="56"/>
        <v>43.251511999999998</v>
      </c>
      <c r="M356" s="1">
        <f t="shared" si="57"/>
        <v>4469.9472701919149</v>
      </c>
      <c r="N356" s="1">
        <f t="shared" si="58"/>
        <v>1.3251249588446187E+26</v>
      </c>
      <c r="O356" s="2">
        <f t="shared" si="59"/>
        <v>4294.4375246250411</v>
      </c>
      <c r="P356" s="2">
        <f t="shared" si="60"/>
        <v>43.164531445087221</v>
      </c>
      <c r="Q356" s="2">
        <f t="shared" si="61"/>
        <v>8.6980554912777563E-2</v>
      </c>
      <c r="R356" s="2">
        <f t="shared" si="62"/>
        <v>0.11278330574879195</v>
      </c>
      <c r="S356" s="12">
        <v>3989.4405801050166</v>
      </c>
      <c r="T356" s="2">
        <f t="shared" si="63"/>
        <v>43.004560004741109</v>
      </c>
      <c r="U356" s="2">
        <f t="shared" si="64"/>
        <v>0.24695199525888967</v>
      </c>
      <c r="V356" s="2">
        <f t="shared" si="65"/>
        <v>0.90912908218939292</v>
      </c>
    </row>
    <row r="357" spans="1:22" x14ac:dyDescent="0.25">
      <c r="A357" t="s">
        <v>377</v>
      </c>
      <c r="B357" s="2">
        <v>0.69</v>
      </c>
      <c r="C357" s="8">
        <v>0.01</v>
      </c>
      <c r="D357" s="8">
        <v>23.611000000000001</v>
      </c>
      <c r="E357" s="8">
        <v>4.3999999999999997E-2</v>
      </c>
      <c r="F357" s="8">
        <v>1.0349999999999999</v>
      </c>
      <c r="G357" s="8">
        <v>2.7E-2</v>
      </c>
      <c r="H357" s="8">
        <v>-7.6999999999999999E-2</v>
      </c>
      <c r="I357" s="8">
        <v>3.9E-2</v>
      </c>
      <c r="J357" s="8">
        <v>0.12</v>
      </c>
      <c r="K357" s="8">
        <f t="shared" si="55"/>
        <v>0.22999999999999998</v>
      </c>
      <c r="L357" s="8">
        <f t="shared" si="56"/>
        <v>43.197154999999995</v>
      </c>
      <c r="M357" s="1">
        <f t="shared" si="57"/>
        <v>4359.442963781441</v>
      </c>
      <c r="N357" s="1">
        <f t="shared" si="58"/>
        <v>1.3251249588446187E+26</v>
      </c>
      <c r="O357" s="2">
        <f t="shared" si="59"/>
        <v>4294.4375246250411</v>
      </c>
      <c r="P357" s="2">
        <f t="shared" si="60"/>
        <v>43.164531445087221</v>
      </c>
      <c r="Q357" s="2">
        <f t="shared" si="61"/>
        <v>3.2623554912774466E-2</v>
      </c>
      <c r="R357" s="2">
        <f t="shared" si="62"/>
        <v>2.011902334871099E-2</v>
      </c>
      <c r="S357" s="12">
        <v>3989.4405801050166</v>
      </c>
      <c r="T357" s="2">
        <f t="shared" si="63"/>
        <v>43.004560004741109</v>
      </c>
      <c r="U357" s="2">
        <f t="shared" si="64"/>
        <v>0.19259499525888657</v>
      </c>
      <c r="V357" s="2">
        <f t="shared" si="65"/>
        <v>0.70118775423006707</v>
      </c>
    </row>
    <row r="358" spans="1:22" x14ac:dyDescent="0.25">
      <c r="A358" t="s">
        <v>378</v>
      </c>
      <c r="B358" s="2">
        <v>0.69499999999999995</v>
      </c>
      <c r="C358" s="8">
        <v>1E-3</v>
      </c>
      <c r="D358" s="8">
        <v>24.045000000000002</v>
      </c>
      <c r="E358" s="8">
        <v>6.0999999999999999E-2</v>
      </c>
      <c r="F358" s="8">
        <v>0.81799999999999995</v>
      </c>
      <c r="G358" s="8">
        <v>4.2000000000000003E-2</v>
      </c>
      <c r="H358" s="8">
        <v>-7.0999999999999994E-2</v>
      </c>
      <c r="I358" s="8">
        <v>6.9000000000000006E-2</v>
      </c>
      <c r="J358" s="8">
        <v>0.12</v>
      </c>
      <c r="K358" s="8">
        <f t="shared" si="55"/>
        <v>0.29200000000000004</v>
      </c>
      <c r="L358" s="8">
        <f t="shared" si="56"/>
        <v>43.580476000000004</v>
      </c>
      <c r="M358" s="1">
        <f t="shared" si="57"/>
        <v>5201.0999532253527</v>
      </c>
      <c r="N358" s="1">
        <f t="shared" si="58"/>
        <v>1.3361925816624805E+26</v>
      </c>
      <c r="O358" s="2">
        <f t="shared" si="59"/>
        <v>4330.3052474538854</v>
      </c>
      <c r="P358" s="2">
        <f t="shared" si="60"/>
        <v>43.182592556376903</v>
      </c>
      <c r="Q358" s="2">
        <f t="shared" si="61"/>
        <v>0.39788344362310113</v>
      </c>
      <c r="R358" s="2">
        <f t="shared" si="62"/>
        <v>1.8567183654224229</v>
      </c>
      <c r="S358" s="12">
        <v>4024.8327907882626</v>
      </c>
      <c r="T358" s="2">
        <f t="shared" si="63"/>
        <v>43.023739212902797</v>
      </c>
      <c r="U358" s="2">
        <f t="shared" si="64"/>
        <v>0.55673678709720775</v>
      </c>
      <c r="V358" s="2">
        <f t="shared" si="65"/>
        <v>3.635248758061099</v>
      </c>
    </row>
    <row r="359" spans="1:22" x14ac:dyDescent="0.25">
      <c r="A359" t="s">
        <v>379</v>
      </c>
      <c r="B359" s="2">
        <v>0.69799999999999995</v>
      </c>
      <c r="C359" s="8">
        <v>1E-3</v>
      </c>
      <c r="D359" s="8">
        <v>24.474</v>
      </c>
      <c r="E359" s="8">
        <v>5.3999999999999999E-2</v>
      </c>
      <c r="F359" s="8">
        <v>0.73299999999999998</v>
      </c>
      <c r="G359" s="8">
        <v>4.5999999999999999E-2</v>
      </c>
      <c r="H359" s="8">
        <v>-1.4999999999999999E-2</v>
      </c>
      <c r="I359" s="8">
        <v>5.7000000000000002E-2</v>
      </c>
      <c r="J359" s="8">
        <v>0.12</v>
      </c>
      <c r="K359" s="8">
        <f t="shared" si="55"/>
        <v>0.27700000000000002</v>
      </c>
      <c r="L359" s="8">
        <f t="shared" si="56"/>
        <v>43.821700999999997</v>
      </c>
      <c r="M359" s="1">
        <f t="shared" si="57"/>
        <v>5812.1953143098754</v>
      </c>
      <c r="N359" s="1">
        <f t="shared" si="58"/>
        <v>1.3428406570854794E+26</v>
      </c>
      <c r="O359" s="2">
        <f t="shared" si="59"/>
        <v>4351.850192609817</v>
      </c>
      <c r="P359" s="2">
        <f t="shared" si="60"/>
        <v>43.193369684320672</v>
      </c>
      <c r="Q359" s="2">
        <f t="shared" si="61"/>
        <v>0.62833131567932554</v>
      </c>
      <c r="R359" s="2">
        <f t="shared" si="62"/>
        <v>5.1453849556662039</v>
      </c>
      <c r="S359" s="12">
        <v>4046.1011155112174</v>
      </c>
      <c r="T359" s="2">
        <f t="shared" si="63"/>
        <v>43.035183659796061</v>
      </c>
      <c r="U359" s="2">
        <f t="shared" si="64"/>
        <v>0.78651734020393604</v>
      </c>
      <c r="V359" s="2">
        <f t="shared" si="65"/>
        <v>8.0622649381781848</v>
      </c>
    </row>
    <row r="360" spans="1:22" x14ac:dyDescent="0.25">
      <c r="A360" t="s">
        <v>380</v>
      </c>
      <c r="B360" s="2">
        <v>0.69899999999999995</v>
      </c>
      <c r="C360" s="8">
        <v>1E-3</v>
      </c>
      <c r="D360" s="8">
        <v>23.594999999999999</v>
      </c>
      <c r="E360" s="8">
        <v>4.5999999999999999E-2</v>
      </c>
      <c r="F360" s="8">
        <v>1.101</v>
      </c>
      <c r="G360" s="8">
        <v>2.5000000000000001E-2</v>
      </c>
      <c r="H360" s="8">
        <v>-9.2999999999999999E-2</v>
      </c>
      <c r="I360" s="8">
        <v>4.2000000000000003E-2</v>
      </c>
      <c r="J360" s="8">
        <v>0.12</v>
      </c>
      <c r="K360" s="8">
        <f t="shared" si="55"/>
        <v>0.23300000000000001</v>
      </c>
      <c r="L360" s="8">
        <f t="shared" si="56"/>
        <v>43.240937000000002</v>
      </c>
      <c r="M360" s="1">
        <f t="shared" si="57"/>
        <v>4448.2316923829812</v>
      </c>
      <c r="N360" s="1">
        <f t="shared" si="58"/>
        <v>1.3450579283460194E+26</v>
      </c>
      <c r="O360" s="2">
        <f t="shared" si="59"/>
        <v>4359.0358793935284</v>
      </c>
      <c r="P360" s="2">
        <f t="shared" si="60"/>
        <v>43.196952218635673</v>
      </c>
      <c r="Q360" s="2">
        <f t="shared" si="61"/>
        <v>4.3984781364329706E-2</v>
      </c>
      <c r="R360" s="2">
        <f t="shared" si="62"/>
        <v>3.5636335015710098E-2</v>
      </c>
      <c r="S360" s="12">
        <v>4053.19603725156</v>
      </c>
      <c r="T360" s="2">
        <f t="shared" si="63"/>
        <v>43.038988046882253</v>
      </c>
      <c r="U360" s="2">
        <f t="shared" si="64"/>
        <v>0.20194895311774985</v>
      </c>
      <c r="V360" s="2">
        <f t="shared" si="65"/>
        <v>0.7512273142875191</v>
      </c>
    </row>
    <row r="361" spans="1:22" x14ac:dyDescent="0.25">
      <c r="A361" t="s">
        <v>381</v>
      </c>
      <c r="B361" s="2">
        <v>0.7</v>
      </c>
      <c r="C361" s="8">
        <v>0.02</v>
      </c>
      <c r="D361" s="8">
        <v>24.245999999999999</v>
      </c>
      <c r="E361" s="8">
        <v>0.06</v>
      </c>
      <c r="F361" s="8">
        <v>0.80600000000000005</v>
      </c>
      <c r="G361" s="8">
        <v>4.2000000000000003E-2</v>
      </c>
      <c r="H361" s="8">
        <v>2.1000000000000001E-2</v>
      </c>
      <c r="I361" s="8">
        <v>6.6000000000000003E-2</v>
      </c>
      <c r="J361" s="8">
        <v>0.12</v>
      </c>
      <c r="K361" s="8">
        <f t="shared" si="55"/>
        <v>0.28800000000000003</v>
      </c>
      <c r="L361" s="8">
        <f t="shared" si="56"/>
        <v>43.491752000000005</v>
      </c>
      <c r="M361" s="1">
        <f t="shared" si="57"/>
        <v>4992.8716276656269</v>
      </c>
      <c r="N361" s="1">
        <f t="shared" si="58"/>
        <v>1.3472758215125153E+26</v>
      </c>
      <c r="O361" s="2">
        <f t="shared" si="59"/>
        <v>4366.2235816371831</v>
      </c>
      <c r="P361" s="2">
        <f t="shared" si="60"/>
        <v>43.20052985451234</v>
      </c>
      <c r="Q361" s="2">
        <f t="shared" si="61"/>
        <v>0.29122214548766578</v>
      </c>
      <c r="R361" s="2">
        <f t="shared" si="62"/>
        <v>1.0225011817905956</v>
      </c>
      <c r="S361" s="12">
        <v>4060.2936936639262</v>
      </c>
      <c r="T361" s="2">
        <f t="shared" si="63"/>
        <v>43.042787242916113</v>
      </c>
      <c r="U361" s="2">
        <f t="shared" si="64"/>
        <v>0.44896475708389261</v>
      </c>
      <c r="V361" s="2">
        <f t="shared" si="65"/>
        <v>2.4301860665436759</v>
      </c>
    </row>
    <row r="362" spans="1:22" x14ac:dyDescent="0.25">
      <c r="A362" t="s">
        <v>382</v>
      </c>
      <c r="B362" s="2">
        <v>0.7</v>
      </c>
      <c r="C362" s="8">
        <v>0.01</v>
      </c>
      <c r="D362" s="8">
        <v>23.760999999999999</v>
      </c>
      <c r="E362" s="8">
        <v>0.06</v>
      </c>
      <c r="F362" s="8">
        <v>1.0649999999999999</v>
      </c>
      <c r="G362" s="8">
        <v>4.4999999999999998E-2</v>
      </c>
      <c r="H362" s="8">
        <v>-8.1000000000000003E-2</v>
      </c>
      <c r="I362" s="8">
        <v>5.5E-2</v>
      </c>
      <c r="J362" s="8">
        <v>0.12</v>
      </c>
      <c r="K362" s="8">
        <f t="shared" si="55"/>
        <v>0.28000000000000003</v>
      </c>
      <c r="L362" s="8">
        <f t="shared" si="56"/>
        <v>43.364085000000003</v>
      </c>
      <c r="M362" s="1">
        <f t="shared" si="57"/>
        <v>4707.7891104045893</v>
      </c>
      <c r="N362" s="1">
        <f t="shared" si="58"/>
        <v>1.3472758215125153E+26</v>
      </c>
      <c r="O362" s="2">
        <f t="shared" si="59"/>
        <v>4366.2235816371831</v>
      </c>
      <c r="P362" s="2">
        <f t="shared" si="60"/>
        <v>43.20052985451234</v>
      </c>
      <c r="Q362" s="2">
        <f t="shared" si="61"/>
        <v>0.16355514548766337</v>
      </c>
      <c r="R362" s="2">
        <f t="shared" si="62"/>
        <v>0.34120262264656537</v>
      </c>
      <c r="S362" s="12">
        <v>4060.2936936639262</v>
      </c>
      <c r="T362" s="2">
        <f t="shared" si="63"/>
        <v>43.042787242916113</v>
      </c>
      <c r="U362" s="2">
        <f t="shared" si="64"/>
        <v>0.32129775708389019</v>
      </c>
      <c r="V362" s="2">
        <f t="shared" si="65"/>
        <v>1.3167378661624809</v>
      </c>
    </row>
    <row r="363" spans="1:22" x14ac:dyDescent="0.25">
      <c r="A363" t="s">
        <v>383</v>
      </c>
      <c r="B363" s="2">
        <v>0.7</v>
      </c>
      <c r="C363" s="8">
        <v>1E-3</v>
      </c>
      <c r="D363" s="8">
        <v>23.960999999999999</v>
      </c>
      <c r="E363" s="8">
        <v>0.05</v>
      </c>
      <c r="F363" s="8">
        <v>1.054</v>
      </c>
      <c r="G363" s="8">
        <v>3.5000000000000003E-2</v>
      </c>
      <c r="H363" s="8">
        <v>-1.2E-2</v>
      </c>
      <c r="I363" s="8">
        <v>4.2000000000000003E-2</v>
      </c>
      <c r="J363" s="8">
        <v>0.12</v>
      </c>
      <c r="K363" s="8">
        <f t="shared" si="55"/>
        <v>0.247</v>
      </c>
      <c r="L363" s="8">
        <f t="shared" si="56"/>
        <v>43.346497999999997</v>
      </c>
      <c r="M363" s="1">
        <f t="shared" si="57"/>
        <v>4669.8141845185783</v>
      </c>
      <c r="N363" s="1">
        <f t="shared" si="58"/>
        <v>1.3472758215125153E+26</v>
      </c>
      <c r="O363" s="2">
        <f t="shared" si="59"/>
        <v>4366.2235816371831</v>
      </c>
      <c r="P363" s="2">
        <f t="shared" si="60"/>
        <v>43.20052985451234</v>
      </c>
      <c r="Q363" s="2">
        <f t="shared" si="61"/>
        <v>0.14596814548765735</v>
      </c>
      <c r="R363" s="2">
        <f t="shared" si="62"/>
        <v>0.34923862867947192</v>
      </c>
      <c r="S363" s="12">
        <v>4060.2936936639262</v>
      </c>
      <c r="T363" s="2">
        <f t="shared" si="63"/>
        <v>43.042787242916113</v>
      </c>
      <c r="U363" s="2">
        <f t="shared" si="64"/>
        <v>0.30371075708388418</v>
      </c>
      <c r="V363" s="2">
        <f t="shared" si="65"/>
        <v>1.5119117502084298</v>
      </c>
    </row>
    <row r="364" spans="1:22" x14ac:dyDescent="0.25">
      <c r="A364" t="s">
        <v>384</v>
      </c>
      <c r="B364" s="2">
        <v>0.70099999999999996</v>
      </c>
      <c r="C364" s="8">
        <v>1E-3</v>
      </c>
      <c r="D364" s="8">
        <v>23.73</v>
      </c>
      <c r="E364" s="8">
        <v>4.7E-2</v>
      </c>
      <c r="F364" s="8">
        <v>1.077</v>
      </c>
      <c r="G364" s="8">
        <v>2.9000000000000001E-2</v>
      </c>
      <c r="H364" s="8">
        <v>-5.8000000000000003E-2</v>
      </c>
      <c r="I364" s="8">
        <v>4.3999999999999997E-2</v>
      </c>
      <c r="J364" s="8">
        <v>0.12</v>
      </c>
      <c r="K364" s="8">
        <f t="shared" si="55"/>
        <v>0.24</v>
      </c>
      <c r="L364" s="8">
        <f t="shared" si="56"/>
        <v>43.262858999999999</v>
      </c>
      <c r="M364" s="1">
        <f t="shared" si="57"/>
        <v>4493.3660537810711</v>
      </c>
      <c r="N364" s="1">
        <f t="shared" si="58"/>
        <v>1.3494943358942165E+26</v>
      </c>
      <c r="O364" s="2">
        <f t="shared" si="59"/>
        <v>4373.4132971022091</v>
      </c>
      <c r="P364" s="2">
        <f t="shared" si="60"/>
        <v>43.204102605303504</v>
      </c>
      <c r="Q364" s="2">
        <f t="shared" si="61"/>
        <v>5.8756394696494851E-2</v>
      </c>
      <c r="R364" s="2">
        <f t="shared" si="62"/>
        <v>5.9936005516150838E-2</v>
      </c>
      <c r="S364" s="12">
        <v>4067.3940815090182</v>
      </c>
      <c r="T364" s="2">
        <f t="shared" si="63"/>
        <v>43.046581261744421</v>
      </c>
      <c r="U364" s="2">
        <f t="shared" si="64"/>
        <v>0.21627773825557739</v>
      </c>
      <c r="V364" s="2">
        <f t="shared" si="65"/>
        <v>0.81208437612757023</v>
      </c>
    </row>
    <row r="365" spans="1:22" x14ac:dyDescent="0.25">
      <c r="A365" t="s">
        <v>385</v>
      </c>
      <c r="B365" s="2">
        <v>0.70099999999999996</v>
      </c>
      <c r="C365" s="8">
        <v>1E-3</v>
      </c>
      <c r="D365" s="8">
        <v>24.103000000000002</v>
      </c>
      <c r="E365" s="8">
        <v>4.9000000000000002E-2</v>
      </c>
      <c r="F365" s="8">
        <v>1.012</v>
      </c>
      <c r="G365" s="8">
        <v>3.4000000000000002E-2</v>
      </c>
      <c r="H365" s="8">
        <v>5.8999999999999997E-2</v>
      </c>
      <c r="I365" s="8">
        <v>4.5999999999999999E-2</v>
      </c>
      <c r="J365" s="8">
        <v>0.12</v>
      </c>
      <c r="K365" s="8">
        <f t="shared" si="55"/>
        <v>0.249</v>
      </c>
      <c r="L365" s="8">
        <f t="shared" si="56"/>
        <v>43.260094000000002</v>
      </c>
      <c r="M365" s="1">
        <f t="shared" si="57"/>
        <v>4487.6481591316551</v>
      </c>
      <c r="N365" s="1">
        <f t="shared" si="58"/>
        <v>1.3494943358942165E+26</v>
      </c>
      <c r="O365" s="2">
        <f t="shared" si="59"/>
        <v>4373.4132971022091</v>
      </c>
      <c r="P365" s="2">
        <f t="shared" si="60"/>
        <v>43.204102605303504</v>
      </c>
      <c r="Q365" s="2">
        <f t="shared" si="61"/>
        <v>5.5991394696498276E-2</v>
      </c>
      <c r="R365" s="2">
        <f t="shared" si="62"/>
        <v>5.0564285738279306E-2</v>
      </c>
      <c r="S365" s="12">
        <v>4067.3940815090182</v>
      </c>
      <c r="T365" s="2">
        <f t="shared" si="63"/>
        <v>43.046581261744421</v>
      </c>
      <c r="U365" s="2">
        <f t="shared" si="64"/>
        <v>0.21351273825558081</v>
      </c>
      <c r="V365" s="2">
        <f t="shared" si="65"/>
        <v>0.73527345361197671</v>
      </c>
    </row>
    <row r="366" spans="1:22" x14ac:dyDescent="0.25">
      <c r="A366" t="s">
        <v>386</v>
      </c>
      <c r="B366" s="2">
        <v>0.70199999999999996</v>
      </c>
      <c r="C366" s="8">
        <v>1E-3</v>
      </c>
      <c r="D366" s="8">
        <v>23.867000000000001</v>
      </c>
      <c r="E366" s="8">
        <v>4.8000000000000001E-2</v>
      </c>
      <c r="F366" s="8">
        <v>0.99399999999999999</v>
      </c>
      <c r="G366" s="8">
        <v>3.3000000000000002E-2</v>
      </c>
      <c r="H366" s="8">
        <v>-3.0000000000000001E-3</v>
      </c>
      <c r="I366" s="8">
        <v>4.2999999999999997E-2</v>
      </c>
      <c r="J366" s="8">
        <v>0.12</v>
      </c>
      <c r="K366" s="8">
        <f t="shared" si="55"/>
        <v>0.24399999999999999</v>
      </c>
      <c r="L366" s="8">
        <f t="shared" si="56"/>
        <v>43.215508</v>
      </c>
      <c r="M366" s="1">
        <f t="shared" si="57"/>
        <v>4396.4445499493486</v>
      </c>
      <c r="N366" s="1">
        <f t="shared" si="58"/>
        <v>1.3517134708013938E+26</v>
      </c>
      <c r="O366" s="2">
        <f t="shared" si="59"/>
        <v>4380.6050235533485</v>
      </c>
      <c r="P366" s="2">
        <f t="shared" si="60"/>
        <v>43.207670484306433</v>
      </c>
      <c r="Q366" s="2">
        <f t="shared" si="61"/>
        <v>7.8375156935663881E-3</v>
      </c>
      <c r="R366" s="2">
        <f t="shared" si="62"/>
        <v>1.0317564540261259E-3</v>
      </c>
      <c r="S366" s="12">
        <v>4074.4971975524054</v>
      </c>
      <c r="T366" s="2">
        <f t="shared" si="63"/>
        <v>43.05037011715757</v>
      </c>
      <c r="U366" s="2">
        <f t="shared" si="64"/>
        <v>0.16513788284242992</v>
      </c>
      <c r="V366" s="2">
        <f t="shared" si="65"/>
        <v>0.45805093304353856</v>
      </c>
    </row>
    <row r="367" spans="1:22" x14ac:dyDescent="0.25">
      <c r="A367" t="s">
        <v>387</v>
      </c>
      <c r="B367" s="2">
        <v>0.70299999999999996</v>
      </c>
      <c r="C367" s="8">
        <v>0</v>
      </c>
      <c r="D367" s="8">
        <v>23.92</v>
      </c>
      <c r="E367" s="8">
        <v>4.8000000000000001E-2</v>
      </c>
      <c r="F367" s="8">
        <v>1.0049999999999999</v>
      </c>
      <c r="G367" s="8">
        <v>2.8000000000000001E-2</v>
      </c>
      <c r="H367" s="8">
        <v>-7.8E-2</v>
      </c>
      <c r="I367" s="8">
        <v>4.4999999999999998E-2</v>
      </c>
      <c r="J367" s="8">
        <v>0.12</v>
      </c>
      <c r="K367" s="8">
        <f t="shared" si="55"/>
        <v>0.24099999999999999</v>
      </c>
      <c r="L367" s="8">
        <f t="shared" si="56"/>
        <v>43.504874999999998</v>
      </c>
      <c r="M367" s="1">
        <f t="shared" si="57"/>
        <v>5023.1367319071851</v>
      </c>
      <c r="N367" s="1">
        <f t="shared" si="58"/>
        <v>1.3539332255453411E+26</v>
      </c>
      <c r="O367" s="2">
        <f t="shared" si="59"/>
        <v>4387.7987587586549</v>
      </c>
      <c r="P367" s="2">
        <f t="shared" si="60"/>
        <v>43.211233504763115</v>
      </c>
      <c r="Q367" s="2">
        <f t="shared" si="61"/>
        <v>0.29364149523688354</v>
      </c>
      <c r="R367" s="2">
        <f t="shared" si="62"/>
        <v>1.4845703022494914</v>
      </c>
      <c r="S367" s="12">
        <v>4081.6030385645031</v>
      </c>
      <c r="T367" s="2">
        <f t="shared" si="63"/>
        <v>43.054153822889859</v>
      </c>
      <c r="U367" s="2">
        <f t="shared" si="64"/>
        <v>0.45072117711013959</v>
      </c>
      <c r="V367" s="2">
        <f t="shared" si="65"/>
        <v>3.4976942458902194</v>
      </c>
    </row>
    <row r="368" spans="1:22" x14ac:dyDescent="0.25">
      <c r="A368" t="s">
        <v>388</v>
      </c>
      <c r="B368" s="2">
        <v>0.71499999999999997</v>
      </c>
      <c r="C368" s="8">
        <v>1E-3</v>
      </c>
      <c r="D368" s="8">
        <v>24.001000000000001</v>
      </c>
      <c r="E368" s="8">
        <v>5.2999999999999999E-2</v>
      </c>
      <c r="F368" s="8">
        <v>0.91100000000000003</v>
      </c>
      <c r="G368" s="8">
        <v>3.2000000000000001E-2</v>
      </c>
      <c r="H368" s="8">
        <v>-4.2999999999999997E-2</v>
      </c>
      <c r="I368" s="8">
        <v>4.9000000000000002E-2</v>
      </c>
      <c r="J368" s="8">
        <v>0.12</v>
      </c>
      <c r="K368" s="8">
        <f t="shared" si="55"/>
        <v>0.254</v>
      </c>
      <c r="L368" s="8">
        <f t="shared" si="56"/>
        <v>43.462507000000002</v>
      </c>
      <c r="M368" s="1">
        <f t="shared" si="57"/>
        <v>4926.0793132736962</v>
      </c>
      <c r="N368" s="1">
        <f t="shared" si="58"/>
        <v>1.3806183804361999E+26</v>
      </c>
      <c r="O368" s="2">
        <f t="shared" si="59"/>
        <v>4474.2794561063638</v>
      </c>
      <c r="P368" s="2">
        <f t="shared" si="60"/>
        <v>43.253615529619637</v>
      </c>
      <c r="Q368" s="2">
        <f t="shared" si="61"/>
        <v>0.20889147038036526</v>
      </c>
      <c r="R368" s="2">
        <f t="shared" si="62"/>
        <v>0.67635387187164453</v>
      </c>
      <c r="S368" s="12">
        <v>4167.0845093021308</v>
      </c>
      <c r="T368" s="2">
        <f t="shared" si="63"/>
        <v>43.099161540625033</v>
      </c>
      <c r="U368" s="2">
        <f t="shared" si="64"/>
        <v>0.36334545937496898</v>
      </c>
      <c r="V368" s="2">
        <f t="shared" si="65"/>
        <v>2.0463128967761057</v>
      </c>
    </row>
    <row r="369" spans="1:22" x14ac:dyDescent="0.25">
      <c r="A369" t="s">
        <v>389</v>
      </c>
      <c r="B369" s="2">
        <v>0.71799999999999997</v>
      </c>
      <c r="C369" s="8">
        <v>1E-3</v>
      </c>
      <c r="D369" s="8">
        <v>23.753</v>
      </c>
      <c r="E369" s="8">
        <v>4.9000000000000002E-2</v>
      </c>
      <c r="F369" s="8">
        <v>0.92700000000000005</v>
      </c>
      <c r="G369" s="8">
        <v>2.1000000000000001E-2</v>
      </c>
      <c r="H369" s="8">
        <v>-9.6000000000000002E-2</v>
      </c>
      <c r="I369" s="8">
        <v>0.04</v>
      </c>
      <c r="J369" s="8">
        <v>0.12</v>
      </c>
      <c r="K369" s="8">
        <f t="shared" si="55"/>
        <v>0.23</v>
      </c>
      <c r="L369" s="8">
        <f t="shared" si="56"/>
        <v>43.382749000000004</v>
      </c>
      <c r="M369" s="1">
        <f t="shared" si="57"/>
        <v>4748.4273743715876</v>
      </c>
      <c r="N369" s="1">
        <f t="shared" si="58"/>
        <v>1.3873034618972153E+26</v>
      </c>
      <c r="O369" s="2">
        <f t="shared" si="59"/>
        <v>4495.944329663942</v>
      </c>
      <c r="P369" s="2">
        <f t="shared" si="60"/>
        <v>43.26410462504986</v>
      </c>
      <c r="Q369" s="2">
        <f t="shared" si="61"/>
        <v>0.11864437495014357</v>
      </c>
      <c r="R369" s="2">
        <f t="shared" si="62"/>
        <v>0.26609617594159274</v>
      </c>
      <c r="S369" s="12">
        <v>4188.515468661124</v>
      </c>
      <c r="T369" s="2">
        <f t="shared" si="63"/>
        <v>43.11030061839999</v>
      </c>
      <c r="U369" s="2">
        <f t="shared" si="64"/>
        <v>0.2724483816000145</v>
      </c>
      <c r="V369" s="2">
        <f t="shared" si="65"/>
        <v>1.4031780838651629</v>
      </c>
    </row>
    <row r="370" spans="1:22" x14ac:dyDescent="0.25">
      <c r="A370" t="s">
        <v>390</v>
      </c>
      <c r="B370" s="2">
        <v>0.72</v>
      </c>
      <c r="C370" s="8">
        <v>5.0000000000000001E-3</v>
      </c>
      <c r="D370" s="8">
        <v>23.925999999999998</v>
      </c>
      <c r="E370" s="8">
        <v>5.6000000000000001E-2</v>
      </c>
      <c r="F370" s="8">
        <v>1.034</v>
      </c>
      <c r="G370" s="8">
        <v>4.2000000000000003E-2</v>
      </c>
      <c r="H370" s="8">
        <v>-2.1000000000000001E-2</v>
      </c>
      <c r="I370" s="8">
        <v>5.1999999999999998E-2</v>
      </c>
      <c r="J370" s="8">
        <v>0.12</v>
      </c>
      <c r="K370" s="8">
        <f t="shared" si="55"/>
        <v>0.27</v>
      </c>
      <c r="L370" s="8">
        <f t="shared" si="56"/>
        <v>43.336727999999994</v>
      </c>
      <c r="M370" s="1">
        <f t="shared" si="57"/>
        <v>4648.8507124385005</v>
      </c>
      <c r="N370" s="1">
        <f t="shared" si="58"/>
        <v>1.3917632287676E+26</v>
      </c>
      <c r="O370" s="2">
        <f t="shared" si="59"/>
        <v>4510.3974497802201</v>
      </c>
      <c r="P370" s="2">
        <f t="shared" si="60"/>
        <v>43.271074064867719</v>
      </c>
      <c r="Q370" s="2">
        <f t="shared" si="61"/>
        <v>6.565393513227491E-2</v>
      </c>
      <c r="R370" s="2">
        <f t="shared" si="62"/>
        <v>5.912810971677588E-2</v>
      </c>
      <c r="S370" s="12">
        <v>4202.8161499161697</v>
      </c>
      <c r="T370" s="2">
        <f t="shared" si="63"/>
        <v>43.117701962133694</v>
      </c>
      <c r="U370" s="2">
        <f t="shared" si="64"/>
        <v>0.21902603786629982</v>
      </c>
      <c r="V370" s="2">
        <f t="shared" si="65"/>
        <v>0.65805768536913301</v>
      </c>
    </row>
    <row r="371" spans="1:22" x14ac:dyDescent="0.25">
      <c r="A371" t="s">
        <v>391</v>
      </c>
      <c r="B371" s="2">
        <v>0.72099999999999997</v>
      </c>
      <c r="C371" s="8">
        <v>1.0999999999999999E-2</v>
      </c>
      <c r="D371" s="8">
        <v>23.904</v>
      </c>
      <c r="E371" s="8">
        <v>0.05</v>
      </c>
      <c r="F371" s="8">
        <v>1.03</v>
      </c>
      <c r="G371" s="8">
        <v>4.3999999999999997E-2</v>
      </c>
      <c r="H371" s="8">
        <v>-4.0000000000000001E-3</v>
      </c>
      <c r="I371" s="8">
        <v>5.1999999999999998E-2</v>
      </c>
      <c r="J371" s="8">
        <v>0.12</v>
      </c>
      <c r="K371" s="8">
        <f t="shared" si="55"/>
        <v>0.26600000000000001</v>
      </c>
      <c r="L371" s="8">
        <f t="shared" si="56"/>
        <v>43.260930000000002</v>
      </c>
      <c r="M371" s="1">
        <f t="shared" si="57"/>
        <v>4489.3762014129725</v>
      </c>
      <c r="N371" s="1">
        <f t="shared" si="58"/>
        <v>1.3939940239567789E+26</v>
      </c>
      <c r="O371" s="2">
        <f t="shared" si="59"/>
        <v>4517.6269646317978</v>
      </c>
      <c r="P371" s="2">
        <f t="shared" si="60"/>
        <v>43.274551834680778</v>
      </c>
      <c r="Q371" s="2">
        <f t="shared" si="61"/>
        <v>-1.3621834680776601E-2</v>
      </c>
      <c r="R371" s="2">
        <f t="shared" si="62"/>
        <v>2.6224543511562007E-3</v>
      </c>
      <c r="S371" s="12">
        <v>4209.9704936044254</v>
      </c>
      <c r="T371" s="2">
        <f t="shared" si="63"/>
        <v>43.121395260045702</v>
      </c>
      <c r="U371" s="2">
        <f t="shared" si="64"/>
        <v>0.13953473995429988</v>
      </c>
      <c r="V371" s="2">
        <f t="shared" si="65"/>
        <v>0.27517021389160057</v>
      </c>
    </row>
    <row r="372" spans="1:22" x14ac:dyDescent="0.25">
      <c r="A372" t="s">
        <v>392</v>
      </c>
      <c r="B372" s="2">
        <v>0.72199999999999998</v>
      </c>
      <c r="C372" s="8">
        <v>1E-3</v>
      </c>
      <c r="D372" s="8">
        <v>24.259</v>
      </c>
      <c r="E372" s="8">
        <v>5.6000000000000001E-2</v>
      </c>
      <c r="F372" s="8">
        <v>0.89600000000000002</v>
      </c>
      <c r="G372" s="8">
        <v>3.3000000000000002E-2</v>
      </c>
      <c r="H372" s="8">
        <v>-1.4E-2</v>
      </c>
      <c r="I372" s="8">
        <v>0.05</v>
      </c>
      <c r="J372" s="8">
        <v>0.12</v>
      </c>
      <c r="K372" s="8">
        <f t="shared" si="55"/>
        <v>0.25900000000000001</v>
      </c>
      <c r="L372" s="8">
        <f t="shared" si="56"/>
        <v>43.627532000000002</v>
      </c>
      <c r="M372" s="1">
        <f t="shared" si="57"/>
        <v>5315.0383197885913</v>
      </c>
      <c r="N372" s="1">
        <f t="shared" si="58"/>
        <v>1.396225426088729E+26</v>
      </c>
      <c r="O372" s="2">
        <f t="shared" si="59"/>
        <v>4524.8584464509386</v>
      </c>
      <c r="P372" s="2">
        <f t="shared" si="60"/>
        <v>43.278024987444418</v>
      </c>
      <c r="Q372" s="2">
        <f t="shared" si="61"/>
        <v>0.34950701255558414</v>
      </c>
      <c r="R372" s="2">
        <f t="shared" si="62"/>
        <v>1.8210097020844835</v>
      </c>
      <c r="S372" s="12">
        <v>4217.1275018135784</v>
      </c>
      <c r="T372" s="2">
        <f t="shared" si="63"/>
        <v>43.125083658971604</v>
      </c>
      <c r="U372" s="2">
        <f t="shared" si="64"/>
        <v>0.50244834102839775</v>
      </c>
      <c r="V372" s="2">
        <f t="shared" si="65"/>
        <v>3.7634253425290183</v>
      </c>
    </row>
    <row r="373" spans="1:22" x14ac:dyDescent="0.25">
      <c r="A373" t="s">
        <v>393</v>
      </c>
      <c r="B373" s="2">
        <v>0.72499999999999998</v>
      </c>
      <c r="C373" s="8">
        <v>0</v>
      </c>
      <c r="D373" s="8">
        <v>23.898</v>
      </c>
      <c r="E373" s="8">
        <v>5.1999999999999998E-2</v>
      </c>
      <c r="F373" s="8">
        <v>1.0960000000000001</v>
      </c>
      <c r="G373" s="8">
        <v>6.2E-2</v>
      </c>
      <c r="H373" s="8">
        <v>-4.3999999999999997E-2</v>
      </c>
      <c r="I373" s="8">
        <v>4.7E-2</v>
      </c>
      <c r="J373" s="8">
        <v>0.12</v>
      </c>
      <c r="K373" s="8">
        <f t="shared" si="55"/>
        <v>0.28099999999999997</v>
      </c>
      <c r="L373" s="8">
        <f t="shared" si="56"/>
        <v>43.389831999999998</v>
      </c>
      <c r="M373" s="1">
        <f t="shared" si="57"/>
        <v>4763.9412826221014</v>
      </c>
      <c r="N373" s="1">
        <f t="shared" si="58"/>
        <v>1.4029232674592681E+26</v>
      </c>
      <c r="O373" s="2">
        <f t="shared" si="59"/>
        <v>4546.5646720590557</v>
      </c>
      <c r="P373" s="2">
        <f t="shared" si="60"/>
        <v>43.288416865182747</v>
      </c>
      <c r="Q373" s="2">
        <f t="shared" si="61"/>
        <v>0.10141513481725184</v>
      </c>
      <c r="R373" s="2">
        <f t="shared" si="62"/>
        <v>0.1302545506009469</v>
      </c>
      <c r="S373" s="12">
        <v>4238.6144822522692</v>
      </c>
      <c r="T373" s="2">
        <f t="shared" si="63"/>
        <v>43.136119588332505</v>
      </c>
      <c r="U373" s="2">
        <f t="shared" si="64"/>
        <v>0.25371241166749314</v>
      </c>
      <c r="V373" s="2">
        <f t="shared" si="65"/>
        <v>0.81521241922133103</v>
      </c>
    </row>
    <row r="374" spans="1:22" x14ac:dyDescent="0.25">
      <c r="A374" t="s">
        <v>394</v>
      </c>
      <c r="B374" s="2">
        <v>0.72699999999999998</v>
      </c>
      <c r="C374" s="8">
        <v>0.02</v>
      </c>
      <c r="D374" s="8">
        <v>23.959</v>
      </c>
      <c r="E374" s="8">
        <v>5.6000000000000001E-2</v>
      </c>
      <c r="F374" s="8">
        <v>0.92300000000000004</v>
      </c>
      <c r="G374" s="8">
        <v>0.04</v>
      </c>
      <c r="H374" s="8">
        <v>-5.7000000000000002E-2</v>
      </c>
      <c r="I374" s="8">
        <v>5.1999999999999998E-2</v>
      </c>
      <c r="J374" s="8">
        <v>0.12</v>
      </c>
      <c r="K374" s="8">
        <f t="shared" si="55"/>
        <v>0.26800000000000002</v>
      </c>
      <c r="L374" s="8">
        <f t="shared" si="56"/>
        <v>43.466090999999999</v>
      </c>
      <c r="M374" s="1">
        <f t="shared" si="57"/>
        <v>4934.21648599744</v>
      </c>
      <c r="N374" s="1">
        <f t="shared" si="58"/>
        <v>1.4073915175204152E+26</v>
      </c>
      <c r="O374" s="2">
        <f t="shared" si="59"/>
        <v>4561.0452843242792</v>
      </c>
      <c r="P374" s="2">
        <f t="shared" si="60"/>
        <v>43.295321920768956</v>
      </c>
      <c r="Q374" s="2">
        <f t="shared" si="61"/>
        <v>0.17076907923104301</v>
      </c>
      <c r="R374" s="2">
        <f t="shared" si="62"/>
        <v>0.40602136363079527</v>
      </c>
      <c r="S374" s="12">
        <v>4252.9524011558733</v>
      </c>
      <c r="T374" s="2">
        <f t="shared" si="63"/>
        <v>43.143452610688584</v>
      </c>
      <c r="U374" s="2">
        <f t="shared" si="64"/>
        <v>0.32263838931141464</v>
      </c>
      <c r="V374" s="2">
        <f t="shared" si="65"/>
        <v>1.4493140211832247</v>
      </c>
    </row>
    <row r="375" spans="1:22" x14ac:dyDescent="0.25">
      <c r="A375" t="s">
        <v>395</v>
      </c>
      <c r="B375" s="2">
        <v>0.73199999999999998</v>
      </c>
      <c r="C375" s="8">
        <v>1E-3</v>
      </c>
      <c r="D375" s="8">
        <v>24.219000000000001</v>
      </c>
      <c r="E375" s="8">
        <v>6.3E-2</v>
      </c>
      <c r="F375" s="8">
        <v>0.84899999999999998</v>
      </c>
      <c r="G375" s="8">
        <v>4.2999999999999997E-2</v>
      </c>
      <c r="H375" s="8">
        <v>-9.0999999999999998E-2</v>
      </c>
      <c r="I375" s="8">
        <v>6.4000000000000001E-2</v>
      </c>
      <c r="J375" s="8">
        <v>0.12</v>
      </c>
      <c r="K375" s="8">
        <f t="shared" si="55"/>
        <v>0.28999999999999998</v>
      </c>
      <c r="L375" s="8">
        <f t="shared" si="56"/>
        <v>43.821633000000006</v>
      </c>
      <c r="M375" s="1">
        <f t="shared" si="57"/>
        <v>5812.0133073493835</v>
      </c>
      <c r="N375" s="1">
        <f t="shared" si="58"/>
        <v>1.4185726826346519E+26</v>
      </c>
      <c r="O375" s="2">
        <f t="shared" si="59"/>
        <v>4597.2809726758687</v>
      </c>
      <c r="P375" s="2">
        <f t="shared" si="60"/>
        <v>43.312505236995747</v>
      </c>
      <c r="Q375" s="2">
        <f t="shared" si="61"/>
        <v>0.50912776300425833</v>
      </c>
      <c r="R375" s="2">
        <f t="shared" si="62"/>
        <v>3.0821769210668286</v>
      </c>
      <c r="S375" s="12">
        <v>4288.8434454578983</v>
      </c>
      <c r="T375" s="2">
        <f t="shared" si="63"/>
        <v>43.161700967946757</v>
      </c>
      <c r="U375" s="2">
        <f t="shared" si="64"/>
        <v>0.65993203205324846</v>
      </c>
      <c r="V375" s="2">
        <f t="shared" si="65"/>
        <v>5.1784814141489868</v>
      </c>
    </row>
    <row r="376" spans="1:22" x14ac:dyDescent="0.25">
      <c r="A376" t="s">
        <v>396</v>
      </c>
      <c r="B376" s="2">
        <v>0.73199999999999998</v>
      </c>
      <c r="C376" s="8">
        <v>1E-3</v>
      </c>
      <c r="D376" s="8">
        <v>23.904</v>
      </c>
      <c r="E376" s="8">
        <v>5.1999999999999998E-2</v>
      </c>
      <c r="F376" s="8">
        <v>1.0660000000000001</v>
      </c>
      <c r="G376" s="8">
        <v>2.9000000000000001E-2</v>
      </c>
      <c r="H376" s="8">
        <v>5.0000000000000001E-3</v>
      </c>
      <c r="I376" s="8">
        <v>4.9000000000000002E-2</v>
      </c>
      <c r="J376" s="8">
        <v>0.12</v>
      </c>
      <c r="K376" s="8">
        <f t="shared" si="55"/>
        <v>0.25</v>
      </c>
      <c r="L376" s="8">
        <f t="shared" si="56"/>
        <v>43.238051999999996</v>
      </c>
      <c r="M376" s="1">
        <f t="shared" si="57"/>
        <v>4442.3257333001475</v>
      </c>
      <c r="N376" s="1">
        <f t="shared" si="58"/>
        <v>1.4185726826346519E+26</v>
      </c>
      <c r="O376" s="2">
        <f t="shared" si="59"/>
        <v>4597.2809726758687</v>
      </c>
      <c r="P376" s="2">
        <f t="shared" si="60"/>
        <v>43.312505236995747</v>
      </c>
      <c r="Q376" s="2">
        <f t="shared" si="61"/>
        <v>-7.4453236995751126E-2</v>
      </c>
      <c r="R376" s="2">
        <f t="shared" si="62"/>
        <v>8.869255198632775E-2</v>
      </c>
      <c r="S376" s="12">
        <v>4288.8434454578983</v>
      </c>
      <c r="T376" s="2">
        <f t="shared" si="63"/>
        <v>43.161700967946757</v>
      </c>
      <c r="U376" s="2">
        <f t="shared" si="64"/>
        <v>7.635103205323901E-2</v>
      </c>
      <c r="V376" s="2">
        <f t="shared" si="65"/>
        <v>9.327168152951569E-2</v>
      </c>
    </row>
    <row r="377" spans="1:22" x14ac:dyDescent="0.25">
      <c r="A377" t="s">
        <v>397</v>
      </c>
      <c r="B377" s="2">
        <v>0.73299999999999998</v>
      </c>
      <c r="C377" s="8">
        <v>1E-3</v>
      </c>
      <c r="D377" s="8">
        <v>23.997</v>
      </c>
      <c r="E377" s="8">
        <v>0.05</v>
      </c>
      <c r="F377" s="8">
        <v>1.0840000000000001</v>
      </c>
      <c r="G377" s="8">
        <v>3.4000000000000002E-2</v>
      </c>
      <c r="H377" s="8">
        <v>-3.3000000000000002E-2</v>
      </c>
      <c r="I377" s="8">
        <v>4.4999999999999998E-2</v>
      </c>
      <c r="J377" s="8">
        <v>0.12</v>
      </c>
      <c r="K377" s="8">
        <f t="shared" si="55"/>
        <v>0.249</v>
      </c>
      <c r="L377" s="8">
        <f t="shared" si="56"/>
        <v>43.452638</v>
      </c>
      <c r="M377" s="1">
        <f t="shared" si="57"/>
        <v>4903.7418574246822</v>
      </c>
      <c r="N377" s="1">
        <f t="shared" si="58"/>
        <v>1.420810717219032E+26</v>
      </c>
      <c r="O377" s="2">
        <f t="shared" si="59"/>
        <v>4604.5339488094933</v>
      </c>
      <c r="P377" s="2">
        <f t="shared" si="60"/>
        <v>43.315928396656545</v>
      </c>
      <c r="Q377" s="2">
        <f t="shared" si="61"/>
        <v>0.13670960334345494</v>
      </c>
      <c r="R377" s="2">
        <f t="shared" si="62"/>
        <v>0.30143893882880574</v>
      </c>
      <c r="S377" s="12">
        <v>4296.029557604269</v>
      </c>
      <c r="T377" s="2">
        <f t="shared" si="63"/>
        <v>43.165336303704549</v>
      </c>
      <c r="U377" s="2">
        <f t="shared" si="64"/>
        <v>0.28730169629545088</v>
      </c>
      <c r="V377" s="2">
        <f t="shared" si="65"/>
        <v>1.3313053772397785</v>
      </c>
    </row>
    <row r="378" spans="1:22" x14ac:dyDescent="0.25">
      <c r="A378" t="s">
        <v>398</v>
      </c>
      <c r="B378" s="2">
        <v>0.73399999999999999</v>
      </c>
      <c r="C378" s="8">
        <v>1E-3</v>
      </c>
      <c r="D378" s="8">
        <v>24.385000000000002</v>
      </c>
      <c r="E378" s="8">
        <v>6.5000000000000002E-2</v>
      </c>
      <c r="F378" s="8">
        <v>1.042</v>
      </c>
      <c r="G378" s="8">
        <v>5.0999999999999997E-2</v>
      </c>
      <c r="H378" s="8">
        <v>9.2999999999999999E-2</v>
      </c>
      <c r="I378" s="8">
        <v>5.7000000000000002E-2</v>
      </c>
      <c r="J378" s="8">
        <v>0.12</v>
      </c>
      <c r="K378" s="8">
        <f t="shared" si="55"/>
        <v>0.29299999999999998</v>
      </c>
      <c r="L378" s="8">
        <f t="shared" si="56"/>
        <v>43.440083999999999</v>
      </c>
      <c r="M378" s="1">
        <f t="shared" si="57"/>
        <v>4875.4734974216835</v>
      </c>
      <c r="N378" s="1">
        <f t="shared" si="58"/>
        <v>1.4230493507863795E+26</v>
      </c>
      <c r="O378" s="2">
        <f t="shared" si="59"/>
        <v>4611.7888661147144</v>
      </c>
      <c r="P378" s="2">
        <f t="shared" si="60"/>
        <v>43.319347082466912</v>
      </c>
      <c r="Q378" s="2">
        <f t="shared" si="61"/>
        <v>0.1207369175330868</v>
      </c>
      <c r="R378" s="2">
        <f t="shared" si="62"/>
        <v>0.1698028311965358</v>
      </c>
      <c r="S378" s="12">
        <v>4303.2182969767673</v>
      </c>
      <c r="T378" s="2">
        <f t="shared" si="63"/>
        <v>43.168966889334122</v>
      </c>
      <c r="U378" s="2">
        <f t="shared" si="64"/>
        <v>0.27111711066587674</v>
      </c>
      <c r="V378" s="2">
        <f t="shared" si="65"/>
        <v>0.85620668494464991</v>
      </c>
    </row>
    <row r="379" spans="1:22" x14ac:dyDescent="0.25">
      <c r="A379" t="s">
        <v>399</v>
      </c>
      <c r="B379" s="2">
        <v>0.73499999999999999</v>
      </c>
      <c r="C379" s="8">
        <v>1E-3</v>
      </c>
      <c r="D379" s="8">
        <v>23.998000000000001</v>
      </c>
      <c r="E379" s="8">
        <v>4.9000000000000002E-2</v>
      </c>
      <c r="F379" s="8">
        <v>0.86499999999999999</v>
      </c>
      <c r="G379" s="8">
        <v>2.5000000000000001E-2</v>
      </c>
      <c r="H379" s="8">
        <v>-6.4000000000000001E-2</v>
      </c>
      <c r="I379" s="8">
        <v>4.2000000000000003E-2</v>
      </c>
      <c r="J379" s="8">
        <v>0.12</v>
      </c>
      <c r="K379" s="8">
        <f t="shared" si="55"/>
        <v>0.23600000000000002</v>
      </c>
      <c r="L379" s="8">
        <f t="shared" si="56"/>
        <v>43.518475000000002</v>
      </c>
      <c r="M379" s="1">
        <f t="shared" si="57"/>
        <v>5054.6955189302398</v>
      </c>
      <c r="N379" s="1">
        <f t="shared" si="58"/>
        <v>1.4252885826796745E+26</v>
      </c>
      <c r="O379" s="2">
        <f t="shared" si="59"/>
        <v>4619.045722462276</v>
      </c>
      <c r="P379" s="2">
        <f t="shared" si="60"/>
        <v>43.322761306052811</v>
      </c>
      <c r="Q379" s="2">
        <f t="shared" si="61"/>
        <v>0.19571369394719085</v>
      </c>
      <c r="R379" s="2">
        <f t="shared" si="62"/>
        <v>0.68773071672031527</v>
      </c>
      <c r="S379" s="12">
        <v>4310.4096604979168</v>
      </c>
      <c r="T379" s="2">
        <f t="shared" si="63"/>
        <v>43.172592736927797</v>
      </c>
      <c r="U379" s="2">
        <f t="shared" si="64"/>
        <v>0.34588226307220538</v>
      </c>
      <c r="V379" s="2">
        <f t="shared" si="65"/>
        <v>2.1479915955894544</v>
      </c>
    </row>
    <row r="380" spans="1:22" x14ac:dyDescent="0.25">
      <c r="A380" t="s">
        <v>400</v>
      </c>
      <c r="B380" s="2">
        <v>0.73599999999999999</v>
      </c>
      <c r="C380" s="8">
        <v>1E-3</v>
      </c>
      <c r="D380" s="8">
        <v>23.716999999999999</v>
      </c>
      <c r="E380" s="8">
        <v>4.7E-2</v>
      </c>
      <c r="F380" s="8">
        <v>1.0820000000000001</v>
      </c>
      <c r="G380" s="8">
        <v>2.1999999999999999E-2</v>
      </c>
      <c r="H380" s="8">
        <v>-7.9000000000000001E-2</v>
      </c>
      <c r="I380" s="8">
        <v>3.7999999999999999E-2</v>
      </c>
      <c r="J380" s="8">
        <v>0.12</v>
      </c>
      <c r="K380" s="8">
        <f t="shared" si="55"/>
        <v>0.22700000000000001</v>
      </c>
      <c r="L380" s="8">
        <f t="shared" si="56"/>
        <v>43.316323999999994</v>
      </c>
      <c r="M380" s="1">
        <f t="shared" si="57"/>
        <v>4605.3728887637444</v>
      </c>
      <c r="N380" s="1">
        <f t="shared" si="58"/>
        <v>1.4275284122428585E+26</v>
      </c>
      <c r="O380" s="2">
        <f t="shared" si="59"/>
        <v>4626.3045157260358</v>
      </c>
      <c r="P380" s="2">
        <f t="shared" si="60"/>
        <v>43.326171078994086</v>
      </c>
      <c r="Q380" s="2">
        <f t="shared" si="61"/>
        <v>-9.8470789940918735E-3</v>
      </c>
      <c r="R380" s="2">
        <f t="shared" si="62"/>
        <v>1.8817552196993036E-3</v>
      </c>
      <c r="S380" s="12">
        <v>4317.6036450949005</v>
      </c>
      <c r="T380" s="2">
        <f t="shared" si="63"/>
        <v>43.176213858531028</v>
      </c>
      <c r="U380" s="2">
        <f t="shared" si="64"/>
        <v>0.14011014146896628</v>
      </c>
      <c r="V380" s="2">
        <f t="shared" si="65"/>
        <v>0.38096706209035186</v>
      </c>
    </row>
    <row r="381" spans="1:22" x14ac:dyDescent="0.25">
      <c r="A381" t="s">
        <v>401</v>
      </c>
      <c r="B381" s="2">
        <v>0.73699999999999999</v>
      </c>
      <c r="C381" s="8">
        <v>1E-3</v>
      </c>
      <c r="D381" s="8">
        <v>24.315999999999999</v>
      </c>
      <c r="E381" s="8">
        <v>5.1999999999999998E-2</v>
      </c>
      <c r="F381" s="8">
        <v>0.85399999999999998</v>
      </c>
      <c r="G381" s="8">
        <v>3.2000000000000001E-2</v>
      </c>
      <c r="H381" s="8">
        <v>-3.7999999999999999E-2</v>
      </c>
      <c r="I381" s="8">
        <v>5.0999999999999997E-2</v>
      </c>
      <c r="J381" s="8">
        <v>0.12</v>
      </c>
      <c r="K381" s="8">
        <f t="shared" si="55"/>
        <v>0.255</v>
      </c>
      <c r="L381" s="8">
        <f t="shared" si="56"/>
        <v>43.753478000000001</v>
      </c>
      <c r="M381" s="1">
        <f t="shared" si="57"/>
        <v>5632.4273671951796</v>
      </c>
      <c r="N381" s="1">
        <f t="shared" si="58"/>
        <v>1.4297688388208307E+26</v>
      </c>
      <c r="O381" s="2">
        <f t="shared" si="59"/>
        <v>4633.5652437829585</v>
      </c>
      <c r="P381" s="2">
        <f t="shared" si="60"/>
        <v>43.32957641282475</v>
      </c>
      <c r="Q381" s="2">
        <f t="shared" si="61"/>
        <v>0.42390158717525139</v>
      </c>
      <c r="R381" s="2">
        <f t="shared" si="62"/>
        <v>2.7634379947665861</v>
      </c>
      <c r="S381" s="12">
        <v>4324.8002476995389</v>
      </c>
      <c r="T381" s="2">
        <f t="shared" si="63"/>
        <v>43.179830266142631</v>
      </c>
      <c r="U381" s="2">
        <f t="shared" si="64"/>
        <v>0.57364773385737067</v>
      </c>
      <c r="V381" s="2">
        <f t="shared" si="65"/>
        <v>5.0606954642014106</v>
      </c>
    </row>
    <row r="382" spans="1:22" x14ac:dyDescent="0.25">
      <c r="A382" t="s">
        <v>402</v>
      </c>
      <c r="B382" s="2">
        <v>0.74</v>
      </c>
      <c r="C382" s="8">
        <v>1E-3</v>
      </c>
      <c r="D382" s="8">
        <v>24.129000000000001</v>
      </c>
      <c r="E382" s="8">
        <v>6.3E-2</v>
      </c>
      <c r="F382" s="8">
        <v>1.04</v>
      </c>
      <c r="G382" s="8">
        <v>4.4999999999999998E-2</v>
      </c>
      <c r="H382" s="8">
        <v>-0.13100000000000001</v>
      </c>
      <c r="I382" s="8">
        <v>5.2999999999999999E-2</v>
      </c>
      <c r="J382" s="8">
        <v>0.12</v>
      </c>
      <c r="K382" s="8">
        <f t="shared" si="55"/>
        <v>0.28100000000000003</v>
      </c>
      <c r="L382" s="8">
        <f t="shared" si="56"/>
        <v>43.884910000000005</v>
      </c>
      <c r="M382" s="1">
        <f t="shared" si="57"/>
        <v>5983.8679348916594</v>
      </c>
      <c r="N382" s="1">
        <f t="shared" si="58"/>
        <v>1.4364936941068176E+26</v>
      </c>
      <c r="O382" s="2">
        <f t="shared" si="59"/>
        <v>4655.3590155288284</v>
      </c>
      <c r="P382" s="2">
        <f t="shared" si="60"/>
        <v>43.33976589431056</v>
      </c>
      <c r="Q382" s="2">
        <f t="shared" si="61"/>
        <v>0.54514410568944527</v>
      </c>
      <c r="R382" s="2">
        <f t="shared" si="62"/>
        <v>3.763656690872013</v>
      </c>
      <c r="S382" s="12">
        <v>4346.4057329472153</v>
      </c>
      <c r="T382" s="2">
        <f t="shared" si="63"/>
        <v>43.190651324321337</v>
      </c>
      <c r="U382" s="2">
        <f t="shared" si="64"/>
        <v>0.69425867567866817</v>
      </c>
      <c r="V382" s="2">
        <f t="shared" si="65"/>
        <v>6.1042173826964961</v>
      </c>
    </row>
    <row r="383" spans="1:22" x14ac:dyDescent="0.25">
      <c r="A383" t="s">
        <v>403</v>
      </c>
      <c r="B383" s="2">
        <v>0.74199999999999999</v>
      </c>
      <c r="C383" s="8">
        <v>1E-3</v>
      </c>
      <c r="D383" s="8">
        <v>24.116</v>
      </c>
      <c r="E383" s="8">
        <v>5.1999999999999998E-2</v>
      </c>
      <c r="F383" s="8">
        <v>0.95599999999999996</v>
      </c>
      <c r="G383" s="8">
        <v>0.04</v>
      </c>
      <c r="H383" s="8">
        <v>-0.03</v>
      </c>
      <c r="I383" s="8">
        <v>5.1999999999999998E-2</v>
      </c>
      <c r="J383" s="8">
        <v>0.12</v>
      </c>
      <c r="K383" s="8">
        <f t="shared" si="55"/>
        <v>0.26400000000000001</v>
      </c>
      <c r="L383" s="8">
        <f t="shared" si="56"/>
        <v>43.543431999999996</v>
      </c>
      <c r="M383" s="1">
        <f t="shared" si="57"/>
        <v>5113.1248822027446</v>
      </c>
      <c r="N383" s="1">
        <f t="shared" si="58"/>
        <v>1.4409799040708978E+26</v>
      </c>
      <c r="O383" s="2">
        <f t="shared" si="59"/>
        <v>4669.8978318755453</v>
      </c>
      <c r="P383" s="2">
        <f t="shared" si="60"/>
        <v>43.346536895830511</v>
      </c>
      <c r="Q383" s="2">
        <f t="shared" si="61"/>
        <v>0.19689510416948508</v>
      </c>
      <c r="R383" s="2">
        <f t="shared" si="62"/>
        <v>0.55623969877629098</v>
      </c>
      <c r="S383" s="12">
        <v>4360.8224237759277</v>
      </c>
      <c r="T383" s="2">
        <f t="shared" si="63"/>
        <v>43.197842011050675</v>
      </c>
      <c r="U383" s="2">
        <f t="shared" si="64"/>
        <v>0.34558998894932103</v>
      </c>
      <c r="V383" s="2">
        <f t="shared" si="65"/>
        <v>1.7136197265552087</v>
      </c>
    </row>
    <row r="384" spans="1:22" x14ac:dyDescent="0.25">
      <c r="A384" t="s">
        <v>404</v>
      </c>
      <c r="B384" s="2">
        <v>0.74399999999999999</v>
      </c>
      <c r="C384" s="8">
        <v>1E-3</v>
      </c>
      <c r="D384" s="8">
        <v>23.864999999999998</v>
      </c>
      <c r="E384" s="8">
        <v>0.05</v>
      </c>
      <c r="F384" s="8">
        <v>1.0569999999999999</v>
      </c>
      <c r="G384" s="8">
        <v>3.5000000000000003E-2</v>
      </c>
      <c r="H384" s="8">
        <v>-0.02</v>
      </c>
      <c r="I384" s="8">
        <v>4.2000000000000003E-2</v>
      </c>
      <c r="J384" s="8">
        <v>0.12</v>
      </c>
      <c r="K384" s="8">
        <f t="shared" si="55"/>
        <v>0.247</v>
      </c>
      <c r="L384" s="8">
        <f t="shared" si="56"/>
        <v>43.275979</v>
      </c>
      <c r="M384" s="1">
        <f t="shared" si="57"/>
        <v>4520.5970782239547</v>
      </c>
      <c r="N384" s="1">
        <f t="shared" si="58"/>
        <v>1.4454684864528172E+26</v>
      </c>
      <c r="O384" s="2">
        <f t="shared" si="59"/>
        <v>4684.4443367048652</v>
      </c>
      <c r="P384" s="2">
        <f t="shared" si="60"/>
        <v>43.353290413883187</v>
      </c>
      <c r="Q384" s="2">
        <f t="shared" si="61"/>
        <v>-7.7311413883187186E-2</v>
      </c>
      <c r="R384" s="2">
        <f t="shared" si="62"/>
        <v>9.7970048953719427E-2</v>
      </c>
      <c r="S384" s="12">
        <v>4375.2495133925622</v>
      </c>
      <c r="T384" s="2">
        <f t="shared" si="63"/>
        <v>43.20501412587695</v>
      </c>
      <c r="U384" s="2">
        <f t="shared" si="64"/>
        <v>7.0964874123049526E-2</v>
      </c>
      <c r="V384" s="2">
        <f t="shared" si="65"/>
        <v>8.2545417222053538E-2</v>
      </c>
    </row>
    <row r="385" spans="1:22" x14ac:dyDescent="0.25">
      <c r="A385" t="s">
        <v>405</v>
      </c>
      <c r="B385" s="2">
        <v>0.745</v>
      </c>
      <c r="C385" s="8">
        <v>1E-3</v>
      </c>
      <c r="D385" s="8">
        <v>23.939</v>
      </c>
      <c r="E385" s="8">
        <v>4.9000000000000002E-2</v>
      </c>
      <c r="F385" s="8">
        <v>1.1020000000000001</v>
      </c>
      <c r="G385" s="8">
        <v>2.5000000000000001E-2</v>
      </c>
      <c r="H385" s="8">
        <v>-2.5000000000000001E-2</v>
      </c>
      <c r="I385" s="8">
        <v>4.1000000000000002E-2</v>
      </c>
      <c r="J385" s="8">
        <v>0.12</v>
      </c>
      <c r="K385" s="8">
        <f t="shared" si="55"/>
        <v>0.23500000000000001</v>
      </c>
      <c r="L385" s="8">
        <f t="shared" si="56"/>
        <v>43.372244000000002</v>
      </c>
      <c r="M385" s="1">
        <f t="shared" si="57"/>
        <v>4725.5112344867548</v>
      </c>
      <c r="N385" s="1">
        <f t="shared" si="58"/>
        <v>1.4477136656799626E+26</v>
      </c>
      <c r="O385" s="2">
        <f t="shared" si="59"/>
        <v>4691.7204670488054</v>
      </c>
      <c r="P385" s="2">
        <f t="shared" si="60"/>
        <v>43.356660644631525</v>
      </c>
      <c r="Q385" s="2">
        <f t="shared" si="61"/>
        <v>1.5583355368477214E-2</v>
      </c>
      <c r="R385" s="2">
        <f t="shared" si="62"/>
        <v>4.3973013044861491E-3</v>
      </c>
      <c r="S385" s="12">
        <v>4382.4669501596591</v>
      </c>
      <c r="T385" s="2">
        <f t="shared" si="63"/>
        <v>43.208593247996404</v>
      </c>
      <c r="U385" s="2">
        <f t="shared" si="64"/>
        <v>0.16365075200359769</v>
      </c>
      <c r="V385" s="2">
        <f t="shared" si="65"/>
        <v>0.48495370993830744</v>
      </c>
    </row>
    <row r="386" spans="1:22" x14ac:dyDescent="0.25">
      <c r="A386" t="s">
        <v>406</v>
      </c>
      <c r="B386" s="2">
        <v>0.75</v>
      </c>
      <c r="C386" s="8">
        <v>0.01</v>
      </c>
      <c r="D386" s="8">
        <v>23.855</v>
      </c>
      <c r="E386" s="8">
        <v>5.6000000000000001E-2</v>
      </c>
      <c r="F386" s="8">
        <v>1.075</v>
      </c>
      <c r="G386" s="8">
        <v>3.2000000000000001E-2</v>
      </c>
      <c r="H386" s="8">
        <v>-0.03</v>
      </c>
      <c r="I386" s="8">
        <v>4.9000000000000002E-2</v>
      </c>
      <c r="J386" s="8">
        <v>0.12</v>
      </c>
      <c r="K386" s="8">
        <f t="shared" si="55"/>
        <v>0.25700000000000001</v>
      </c>
      <c r="L386" s="8">
        <f t="shared" si="56"/>
        <v>43.299925000000002</v>
      </c>
      <c r="M386" s="1">
        <f t="shared" si="57"/>
        <v>4570.7240262073528</v>
      </c>
      <c r="N386" s="1">
        <f t="shared" si="58"/>
        <v>1.4589484163437667E+26</v>
      </c>
      <c r="O386" s="2">
        <f t="shared" si="59"/>
        <v>4728.1298143397298</v>
      </c>
      <c r="P386" s="2">
        <f t="shared" si="60"/>
        <v>43.373446959583276</v>
      </c>
      <c r="Q386" s="2">
        <f t="shared" si="61"/>
        <v>-7.3521959583274565E-2</v>
      </c>
      <c r="R386" s="2">
        <f t="shared" si="62"/>
        <v>8.1840429695599612E-2</v>
      </c>
      <c r="S386" s="12">
        <v>4418.5929326547566</v>
      </c>
      <c r="T386" s="2">
        <f t="shared" si="63"/>
        <v>43.22641996793265</v>
      </c>
      <c r="U386" s="2">
        <f t="shared" si="64"/>
        <v>7.3505032067352261E-2</v>
      </c>
      <c r="V386" s="2">
        <f t="shared" si="65"/>
        <v>8.1802748553687174E-2</v>
      </c>
    </row>
    <row r="387" spans="1:22" x14ac:dyDescent="0.25">
      <c r="A387" t="s">
        <v>407</v>
      </c>
      <c r="B387" s="2">
        <v>0.751</v>
      </c>
      <c r="C387" s="8">
        <v>1E-3</v>
      </c>
      <c r="D387" s="8">
        <v>23.852</v>
      </c>
      <c r="E387" s="8">
        <v>5.0999999999999997E-2</v>
      </c>
      <c r="F387" s="8">
        <v>1.1479999999999999</v>
      </c>
      <c r="G387" s="8">
        <v>2.8000000000000001E-2</v>
      </c>
      <c r="H387" s="8">
        <v>4.2999999999999997E-2</v>
      </c>
      <c r="I387" s="8">
        <v>4.5999999999999999E-2</v>
      </c>
      <c r="J387" s="8">
        <v>0.12</v>
      </c>
      <c r="K387" s="8">
        <f t="shared" si="55"/>
        <v>0.245</v>
      </c>
      <c r="L387" s="8">
        <f t="shared" si="56"/>
        <v>43.079166000000001</v>
      </c>
      <c r="M387" s="1">
        <f t="shared" si="57"/>
        <v>4128.8889280365511</v>
      </c>
      <c r="N387" s="1">
        <f t="shared" si="58"/>
        <v>1.4611971328760217E+26</v>
      </c>
      <c r="O387" s="2">
        <f t="shared" si="59"/>
        <v>4735.4174083088155</v>
      </c>
      <c r="P387" s="2">
        <f t="shared" si="60"/>
        <v>43.376791331834276</v>
      </c>
      <c r="Q387" s="2">
        <f t="shared" si="61"/>
        <v>-0.29762533183427564</v>
      </c>
      <c r="R387" s="2">
        <f t="shared" si="62"/>
        <v>1.4757324139852177</v>
      </c>
      <c r="S387" s="12">
        <v>4425.8258677953399</v>
      </c>
      <c r="T387" s="2">
        <f t="shared" si="63"/>
        <v>43.229971613994046</v>
      </c>
      <c r="U387" s="2">
        <f t="shared" si="64"/>
        <v>-0.15080561399404502</v>
      </c>
      <c r="V387" s="2">
        <f t="shared" si="65"/>
        <v>0.37888101977710803</v>
      </c>
    </row>
    <row r="388" spans="1:22" x14ac:dyDescent="0.25">
      <c r="A388" t="s">
        <v>408</v>
      </c>
      <c r="B388" s="2">
        <v>0.75600000000000001</v>
      </c>
      <c r="C388" s="8">
        <v>1E-3</v>
      </c>
      <c r="D388" s="8">
        <v>24.06</v>
      </c>
      <c r="E388" s="8">
        <v>6.2E-2</v>
      </c>
      <c r="F388" s="8">
        <v>0.90800000000000003</v>
      </c>
      <c r="G388" s="8">
        <v>0.03</v>
      </c>
      <c r="H388" s="8">
        <v>-0.161</v>
      </c>
      <c r="I388" s="8">
        <v>4.5999999999999999E-2</v>
      </c>
      <c r="J388" s="8">
        <v>0.12</v>
      </c>
      <c r="K388" s="8">
        <f t="shared" si="55"/>
        <v>0.25800000000000001</v>
      </c>
      <c r="L388" s="8">
        <f t="shared" si="56"/>
        <v>43.890405999999999</v>
      </c>
      <c r="M388" s="1">
        <f t="shared" si="57"/>
        <v>5999.0322962311211</v>
      </c>
      <c r="N388" s="1">
        <f t="shared" si="58"/>
        <v>1.4724495122836909E+26</v>
      </c>
      <c r="O388" s="2">
        <f t="shared" si="59"/>
        <v>4771.8838864677855</v>
      </c>
      <c r="P388" s="2">
        <f t="shared" si="60"/>
        <v>43.39344933752313</v>
      </c>
      <c r="Q388" s="2">
        <f t="shared" si="61"/>
        <v>0.49695666247686887</v>
      </c>
      <c r="R388" s="2">
        <f t="shared" si="62"/>
        <v>3.7102025776718435</v>
      </c>
      <c r="S388" s="12">
        <v>4462.0290717482494</v>
      </c>
      <c r="T388" s="2">
        <f t="shared" si="63"/>
        <v>43.247661977720618</v>
      </c>
      <c r="U388" s="2">
        <f t="shared" si="64"/>
        <v>0.64274402227938054</v>
      </c>
      <c r="V388" s="2">
        <f t="shared" si="65"/>
        <v>6.2063559608178114</v>
      </c>
    </row>
    <row r="389" spans="1:22" x14ac:dyDescent="0.25">
      <c r="A389" t="s">
        <v>409</v>
      </c>
      <c r="B389" s="2">
        <v>0.75700000000000001</v>
      </c>
      <c r="C389" s="8">
        <v>1E-3</v>
      </c>
      <c r="D389" s="8">
        <v>24.099</v>
      </c>
      <c r="E389" s="8">
        <v>5.0999999999999997E-2</v>
      </c>
      <c r="F389" s="8">
        <v>1.1559999999999999</v>
      </c>
      <c r="G389" s="8">
        <v>3.4000000000000002E-2</v>
      </c>
      <c r="H389" s="8">
        <v>-6.0000000000000001E-3</v>
      </c>
      <c r="I389" s="8">
        <v>4.2000000000000003E-2</v>
      </c>
      <c r="J389" s="8">
        <v>0.12</v>
      </c>
      <c r="K389" s="8">
        <f t="shared" si="55"/>
        <v>0.247</v>
      </c>
      <c r="L389" s="8">
        <f t="shared" si="56"/>
        <v>43.480711999999997</v>
      </c>
      <c r="M389" s="1">
        <f t="shared" si="57"/>
        <v>4967.5517486904446</v>
      </c>
      <c r="N389" s="1">
        <f t="shared" si="58"/>
        <v>1.4747017430475306E+26</v>
      </c>
      <c r="O389" s="2">
        <f t="shared" si="59"/>
        <v>4779.1828692858135</v>
      </c>
      <c r="P389" s="2">
        <f t="shared" si="60"/>
        <v>43.396768242792589</v>
      </c>
      <c r="Q389" s="2">
        <f t="shared" si="61"/>
        <v>8.3943757207407543E-2</v>
      </c>
      <c r="R389" s="2">
        <f t="shared" si="62"/>
        <v>0.11550024380167165</v>
      </c>
      <c r="S389" s="12">
        <v>4469.2773972895875</v>
      </c>
      <c r="T389" s="2">
        <f t="shared" si="63"/>
        <v>43.251186555549921</v>
      </c>
      <c r="U389" s="2">
        <f t="shared" si="64"/>
        <v>0.22952544445007561</v>
      </c>
      <c r="V389" s="2">
        <f t="shared" si="65"/>
        <v>0.86351078775270451</v>
      </c>
    </row>
    <row r="390" spans="1:22" x14ac:dyDescent="0.25">
      <c r="A390" t="s">
        <v>410</v>
      </c>
      <c r="B390" s="2">
        <v>0.76</v>
      </c>
      <c r="C390" s="8">
        <v>1E-3</v>
      </c>
      <c r="D390" s="8">
        <v>24.042999999999999</v>
      </c>
      <c r="E390" s="8">
        <v>4.8000000000000001E-2</v>
      </c>
      <c r="F390" s="8">
        <v>0.98699999999999999</v>
      </c>
      <c r="G390" s="8">
        <v>3.4000000000000002E-2</v>
      </c>
      <c r="H390" s="8">
        <v>-2.1000000000000001E-2</v>
      </c>
      <c r="I390" s="8">
        <v>4.2000000000000003E-2</v>
      </c>
      <c r="J390" s="8">
        <v>0.12</v>
      </c>
      <c r="K390" s="8">
        <f t="shared" si="55"/>
        <v>0.24399999999999999</v>
      </c>
      <c r="L390" s="8">
        <f t="shared" si="56"/>
        <v>43.446818999999998</v>
      </c>
      <c r="M390" s="1">
        <f t="shared" si="57"/>
        <v>4890.6186536809028</v>
      </c>
      <c r="N390" s="1">
        <f t="shared" si="58"/>
        <v>1.481461933658775E+26</v>
      </c>
      <c r="O390" s="2">
        <f t="shared" si="59"/>
        <v>4801.0911550220198</v>
      </c>
      <c r="P390" s="2">
        <f t="shared" si="60"/>
        <v>43.406699758493239</v>
      </c>
      <c r="Q390" s="2">
        <f t="shared" si="61"/>
        <v>4.0119241506758385E-2</v>
      </c>
      <c r="R390" s="2">
        <f t="shared" si="62"/>
        <v>2.7034962696143593E-2</v>
      </c>
      <c r="S390" s="12">
        <v>4491.0376898777831</v>
      </c>
      <c r="T390" s="2">
        <f t="shared" si="63"/>
        <v>43.261733498913287</v>
      </c>
      <c r="U390" s="2">
        <f t="shared" si="64"/>
        <v>0.18508550108671074</v>
      </c>
      <c r="V390" s="2">
        <f t="shared" si="65"/>
        <v>0.57539375692889683</v>
      </c>
    </row>
    <row r="391" spans="1:22" x14ac:dyDescent="0.25">
      <c r="A391" t="s">
        <v>411</v>
      </c>
      <c r="B391" s="2">
        <v>0.76</v>
      </c>
      <c r="C391" s="8">
        <v>0.02</v>
      </c>
      <c r="D391" s="8">
        <v>23.885000000000002</v>
      </c>
      <c r="E391" s="8">
        <v>5.7000000000000002E-2</v>
      </c>
      <c r="F391" s="8">
        <v>1.0429999999999999</v>
      </c>
      <c r="G391" s="8">
        <v>6.2E-2</v>
      </c>
      <c r="H391" s="8">
        <v>-8.8999999999999996E-2</v>
      </c>
      <c r="I391" s="8">
        <v>5.7000000000000002E-2</v>
      </c>
      <c r="J391" s="8">
        <v>0.12</v>
      </c>
      <c r="K391" s="8">
        <f t="shared" ref="K391:K454" si="66">PeakMagnitudeError+StretchError+ColorError+ScatterError</f>
        <v>0.29599999999999999</v>
      </c>
      <c r="L391" s="8">
        <f t="shared" ref="L391:L454" si="67">PeakMagnitude+α*(Stretch-1)-β*Color-Mb</f>
        <v>43.509890999999996</v>
      </c>
      <c r="M391" s="1">
        <f t="shared" ref="M391:M454" si="68">10^((ObservedDistanceModuli-25)/5)</f>
        <v>5034.753355269072</v>
      </c>
      <c r="N391" s="1">
        <f t="shared" ref="N391:N454" si="69">(RedShift*Age*(2*InitialTangentVelocity-UniverseAcceleration*Age))/(2+RedShift)*(1+RedShift)</f>
        <v>1.481461933658775E+26</v>
      </c>
      <c r="O391" s="2">
        <f t="shared" ref="O391:O454" si="70">N391/Mpc</f>
        <v>4801.0911550220198</v>
      </c>
      <c r="P391" s="2">
        <f t="shared" ref="P391:P454" si="71">(LOG10(T2LuminousDistance)*5+25)</f>
        <v>43.406699758493239</v>
      </c>
      <c r="Q391" s="2">
        <f t="shared" ref="Q391:Q454" si="72">ObservedDistanceModuli-T2DistanceModuli</f>
        <v>0.10319124150675663</v>
      </c>
      <c r="R391" s="2">
        <f t="shared" ref="R391:R454" si="73">(ObservedDistanceModuli-T2DistanceModuli)^2/TotalError^2</f>
        <v>0.12153524839876019</v>
      </c>
      <c r="S391" s="12">
        <v>4491.0376898777831</v>
      </c>
      <c r="T391" s="2">
        <f t="shared" ref="T391:T454" si="74">(LOG10(ΛCDMLuminousDistance)*5+25)</f>
        <v>43.261733498913287</v>
      </c>
      <c r="U391" s="2">
        <f t="shared" ref="U391:U454" si="75">ObservedDistanceModuli-ΛCDMDistanceModuli</f>
        <v>0.24815750108670898</v>
      </c>
      <c r="V391" s="2">
        <f t="shared" ref="V391:V454" si="76">(ObservedDistanceModuli-ΛCDMDistanceModuli)^2/TotalError^2</f>
        <v>0.70286414976260014</v>
      </c>
    </row>
    <row r="392" spans="1:22" x14ac:dyDescent="0.25">
      <c r="A392" t="s">
        <v>412</v>
      </c>
      <c r="B392" s="2">
        <v>0.76300000000000001</v>
      </c>
      <c r="C392" s="8">
        <v>1E-3</v>
      </c>
      <c r="D392" s="8">
        <v>24.102</v>
      </c>
      <c r="E392" s="8">
        <v>5.0999999999999997E-2</v>
      </c>
      <c r="F392" s="8">
        <v>1.111</v>
      </c>
      <c r="G392" s="8">
        <v>2.7E-2</v>
      </c>
      <c r="H392" s="8">
        <v>1.4999999999999999E-2</v>
      </c>
      <c r="I392" s="8">
        <v>4.4999999999999998E-2</v>
      </c>
      <c r="J392" s="8">
        <v>0.12</v>
      </c>
      <c r="K392" s="8">
        <f t="shared" si="66"/>
        <v>0.24299999999999999</v>
      </c>
      <c r="L392" s="8">
        <f t="shared" si="67"/>
        <v>43.411366999999998</v>
      </c>
      <c r="M392" s="1">
        <f t="shared" si="68"/>
        <v>4811.4214498822848</v>
      </c>
      <c r="N392" s="1">
        <f t="shared" si="69"/>
        <v>1.488227358455234E+26</v>
      </c>
      <c r="O392" s="2">
        <f t="shared" si="70"/>
        <v>4823.0164035972739</v>
      </c>
      <c r="P392" s="2">
        <f t="shared" si="71"/>
        <v>43.416593695033072</v>
      </c>
      <c r="Q392" s="2">
        <f t="shared" si="72"/>
        <v>-5.2266950330732698E-3</v>
      </c>
      <c r="R392" s="2">
        <f t="shared" si="73"/>
        <v>4.6263850308646704E-4</v>
      </c>
      <c r="S392" s="12">
        <v>4512.8208942360252</v>
      </c>
      <c r="T392" s="2">
        <f t="shared" si="74"/>
        <v>43.272240487467208</v>
      </c>
      <c r="U392" s="2">
        <f t="shared" si="75"/>
        <v>0.13912651253279051</v>
      </c>
      <c r="V392" s="2">
        <f t="shared" si="76"/>
        <v>0.32779871783665632</v>
      </c>
    </row>
    <row r="393" spans="1:22" x14ac:dyDescent="0.25">
      <c r="A393" t="s">
        <v>413</v>
      </c>
      <c r="B393" s="2">
        <v>0.76300000000000001</v>
      </c>
      <c r="C393" s="8">
        <v>1E-3</v>
      </c>
      <c r="D393" s="8">
        <v>24.059000000000001</v>
      </c>
      <c r="E393" s="8">
        <v>5.1999999999999998E-2</v>
      </c>
      <c r="F393" s="8">
        <v>1.0189999999999999</v>
      </c>
      <c r="G393" s="8">
        <v>2.9000000000000001E-2</v>
      </c>
      <c r="H393" s="8">
        <v>-3.5000000000000003E-2</v>
      </c>
      <c r="I393" s="8">
        <v>4.2000000000000003E-2</v>
      </c>
      <c r="J393" s="8">
        <v>0.12</v>
      </c>
      <c r="K393" s="8">
        <f t="shared" si="66"/>
        <v>0.24299999999999999</v>
      </c>
      <c r="L393" s="8">
        <f t="shared" si="67"/>
        <v>43.511342999999997</v>
      </c>
      <c r="M393" s="1">
        <f t="shared" si="68"/>
        <v>5038.1210731965684</v>
      </c>
      <c r="N393" s="1">
        <f t="shared" si="69"/>
        <v>1.488227358455234E+26</v>
      </c>
      <c r="O393" s="2">
        <f t="shared" si="70"/>
        <v>4823.0164035972739</v>
      </c>
      <c r="P393" s="2">
        <f t="shared" si="71"/>
        <v>43.416593695033072</v>
      </c>
      <c r="Q393" s="2">
        <f t="shared" si="72"/>
        <v>9.4749304966924797E-2</v>
      </c>
      <c r="R393" s="2">
        <f t="shared" si="73"/>
        <v>0.15203357875180479</v>
      </c>
      <c r="S393" s="12">
        <v>4512.8208942360252</v>
      </c>
      <c r="T393" s="2">
        <f t="shared" si="74"/>
        <v>43.272240487467208</v>
      </c>
      <c r="U393" s="2">
        <f t="shared" si="75"/>
        <v>0.23910251253278858</v>
      </c>
      <c r="V393" s="2">
        <f t="shared" si="76"/>
        <v>0.9681791647528718</v>
      </c>
    </row>
    <row r="394" spans="1:22" x14ac:dyDescent="0.25">
      <c r="A394" t="s">
        <v>414</v>
      </c>
      <c r="B394" s="2">
        <v>0.76600000000000001</v>
      </c>
      <c r="C394" s="8">
        <v>1E-3</v>
      </c>
      <c r="D394" s="8">
        <v>24.318999999999999</v>
      </c>
      <c r="E394" s="8">
        <v>6.3E-2</v>
      </c>
      <c r="F394" s="8">
        <v>1.07</v>
      </c>
      <c r="G394" s="8">
        <v>4.4999999999999998E-2</v>
      </c>
      <c r="H394" s="8">
        <v>1.7999999999999999E-2</v>
      </c>
      <c r="I394" s="8">
        <v>5.0999999999999997E-2</v>
      </c>
      <c r="J394" s="8">
        <v>0.12</v>
      </c>
      <c r="K394" s="8">
        <f t="shared" si="66"/>
        <v>0.27900000000000003</v>
      </c>
      <c r="L394" s="8">
        <f t="shared" si="67"/>
        <v>43.612949999999998</v>
      </c>
      <c r="M394" s="1">
        <f t="shared" si="68"/>
        <v>5279.4660322399022</v>
      </c>
      <c r="N394" s="1">
        <f t="shared" si="69"/>
        <v>1.4949980004059368E+26</v>
      </c>
      <c r="O394" s="2">
        <f t="shared" si="70"/>
        <v>4844.9585598179601</v>
      </c>
      <c r="P394" s="2">
        <f t="shared" si="71"/>
        <v>43.426450333848933</v>
      </c>
      <c r="Q394" s="2">
        <f t="shared" si="72"/>
        <v>0.1864996661510645</v>
      </c>
      <c r="R394" s="2">
        <f t="shared" si="73"/>
        <v>0.44683554263766528</v>
      </c>
      <c r="S394" s="12">
        <v>4534.6269307265047</v>
      </c>
      <c r="T394" s="2">
        <f t="shared" si="74"/>
        <v>43.282707814652525</v>
      </c>
      <c r="U394" s="2">
        <f t="shared" si="75"/>
        <v>0.33024218534747263</v>
      </c>
      <c r="V394" s="2">
        <f t="shared" si="76"/>
        <v>1.4010598654060771</v>
      </c>
    </row>
    <row r="395" spans="1:22" x14ac:dyDescent="0.25">
      <c r="A395" t="s">
        <v>415</v>
      </c>
      <c r="B395" s="2">
        <v>0.76700000000000002</v>
      </c>
      <c r="C395" s="8">
        <v>1E-3</v>
      </c>
      <c r="D395" s="8">
        <v>24.228000000000002</v>
      </c>
      <c r="E395" s="8">
        <v>5.1999999999999998E-2</v>
      </c>
      <c r="F395" s="8">
        <v>1.0069999999999999</v>
      </c>
      <c r="G395" s="8">
        <v>2.9000000000000001E-2</v>
      </c>
      <c r="H395" s="8">
        <v>1.2E-2</v>
      </c>
      <c r="I395" s="8">
        <v>4.3999999999999997E-2</v>
      </c>
      <c r="J395" s="8">
        <v>0.12</v>
      </c>
      <c r="K395" s="8">
        <f t="shared" si="66"/>
        <v>0.245</v>
      </c>
      <c r="L395" s="8">
        <f t="shared" si="67"/>
        <v>43.531469000000001</v>
      </c>
      <c r="M395" s="1">
        <f t="shared" si="68"/>
        <v>5085.0332847574718</v>
      </c>
      <c r="N395" s="1">
        <f t="shared" si="69"/>
        <v>1.4972560374907947E+26</v>
      </c>
      <c r="O395" s="2">
        <f t="shared" si="70"/>
        <v>4852.2763596409022</v>
      </c>
      <c r="P395" s="2">
        <f t="shared" si="71"/>
        <v>43.429727639918582</v>
      </c>
      <c r="Q395" s="2">
        <f t="shared" si="72"/>
        <v>0.10174136008141943</v>
      </c>
      <c r="R395" s="2">
        <f t="shared" si="73"/>
        <v>0.17244988506817238</v>
      </c>
      <c r="S395" s="12">
        <v>4541.9006696514816</v>
      </c>
      <c r="T395" s="2">
        <f t="shared" si="74"/>
        <v>43.286188160323512</v>
      </c>
      <c r="U395" s="2">
        <f t="shared" si="75"/>
        <v>0.24528083967648939</v>
      </c>
      <c r="V395" s="2">
        <f t="shared" si="76"/>
        <v>1.0022938827555801</v>
      </c>
    </row>
    <row r="396" spans="1:22" x14ac:dyDescent="0.25">
      <c r="A396" t="s">
        <v>416</v>
      </c>
      <c r="B396" s="2">
        <v>0.76800000000000002</v>
      </c>
      <c r="C396" s="8">
        <v>0</v>
      </c>
      <c r="D396" s="8">
        <v>24.143999999999998</v>
      </c>
      <c r="E396" s="8">
        <v>5.0999999999999997E-2</v>
      </c>
      <c r="F396" s="8">
        <v>1.101</v>
      </c>
      <c r="G396" s="8">
        <v>2.7E-2</v>
      </c>
      <c r="H396" s="8">
        <v>-7.9000000000000001E-2</v>
      </c>
      <c r="I396" s="8">
        <v>4.2999999999999997E-2</v>
      </c>
      <c r="J396" s="8">
        <v>0.12</v>
      </c>
      <c r="K396" s="8">
        <f t="shared" si="66"/>
        <v>0.24099999999999999</v>
      </c>
      <c r="L396" s="8">
        <f t="shared" si="67"/>
        <v>43.746116999999998</v>
      </c>
      <c r="M396" s="1">
        <f t="shared" si="68"/>
        <v>5613.3665195492786</v>
      </c>
      <c r="N396" s="1">
        <f t="shared" si="69"/>
        <v>1.4995146517484961E+26</v>
      </c>
      <c r="O396" s="2">
        <f t="shared" si="70"/>
        <v>4859.5960299536418</v>
      </c>
      <c r="P396" s="2">
        <f t="shared" si="71"/>
        <v>43.43300084296385</v>
      </c>
      <c r="Q396" s="2">
        <f t="shared" si="72"/>
        <v>0.31311615703614848</v>
      </c>
      <c r="R396" s="2">
        <f t="shared" si="73"/>
        <v>1.6880172138407741</v>
      </c>
      <c r="S396" s="12">
        <v>4549.1769337414771</v>
      </c>
      <c r="T396" s="2">
        <f t="shared" si="74"/>
        <v>43.289664142111135</v>
      </c>
      <c r="U396" s="2">
        <f t="shared" si="75"/>
        <v>0.4564528578888627</v>
      </c>
      <c r="V396" s="2">
        <f t="shared" si="76"/>
        <v>3.587218048499687</v>
      </c>
    </row>
    <row r="397" spans="1:22" x14ac:dyDescent="0.25">
      <c r="A397" t="s">
        <v>417</v>
      </c>
      <c r="B397" s="2">
        <v>0.76900000000000002</v>
      </c>
      <c r="C397" s="8">
        <v>2E-3</v>
      </c>
      <c r="D397" s="8">
        <v>24.212</v>
      </c>
      <c r="E397" s="8">
        <v>0.06</v>
      </c>
      <c r="F397" s="8">
        <v>1.0740000000000001</v>
      </c>
      <c r="G397" s="8">
        <v>4.5999999999999999E-2</v>
      </c>
      <c r="H397" s="8">
        <v>-0.1</v>
      </c>
      <c r="I397" s="8">
        <v>0.05</v>
      </c>
      <c r="J397" s="8">
        <v>0.12</v>
      </c>
      <c r="K397" s="8">
        <f t="shared" si="66"/>
        <v>0.27600000000000002</v>
      </c>
      <c r="L397" s="8">
        <f t="shared" si="67"/>
        <v>43.875878</v>
      </c>
      <c r="M397" s="1">
        <f t="shared" si="68"/>
        <v>5959.0303864955567</v>
      </c>
      <c r="N397" s="1">
        <f t="shared" si="69"/>
        <v>1.5017738425537187E+26</v>
      </c>
      <c r="O397" s="2">
        <f t="shared" si="70"/>
        <v>4866.9175687296492</v>
      </c>
      <c r="P397" s="2">
        <f t="shared" si="71"/>
        <v>43.436269953172513</v>
      </c>
      <c r="Q397" s="2">
        <f t="shared" si="72"/>
        <v>0.43960804682748744</v>
      </c>
      <c r="R397" s="2">
        <f t="shared" si="73"/>
        <v>2.5369569790416713</v>
      </c>
      <c r="S397" s="12">
        <v>4556.4557200737345</v>
      </c>
      <c r="T397" s="2">
        <f t="shared" si="74"/>
        <v>43.293135770643232</v>
      </c>
      <c r="U397" s="2">
        <f t="shared" si="75"/>
        <v>0.58274222935676789</v>
      </c>
      <c r="V397" s="2">
        <f t="shared" si="76"/>
        <v>4.4579461493868919</v>
      </c>
    </row>
    <row r="398" spans="1:22" x14ac:dyDescent="0.25">
      <c r="A398" t="s">
        <v>418</v>
      </c>
      <c r="B398" s="2">
        <v>0.77</v>
      </c>
      <c r="C398" s="8">
        <v>1E-3</v>
      </c>
      <c r="D398" s="8">
        <v>24.553000000000001</v>
      </c>
      <c r="E398" s="8">
        <v>5.2999999999999999E-2</v>
      </c>
      <c r="F398" s="8">
        <v>0.97</v>
      </c>
      <c r="G398" s="8">
        <v>3.4000000000000002E-2</v>
      </c>
      <c r="H398" s="8">
        <v>6.7000000000000004E-2</v>
      </c>
      <c r="I398" s="8">
        <v>4.9000000000000002E-2</v>
      </c>
      <c r="J398" s="8">
        <v>0.12</v>
      </c>
      <c r="K398" s="8">
        <f t="shared" si="66"/>
        <v>0.25600000000000001</v>
      </c>
      <c r="L398" s="8">
        <f t="shared" si="67"/>
        <v>43.678879999999999</v>
      </c>
      <c r="M398" s="1">
        <f t="shared" si="68"/>
        <v>5442.2188218955516</v>
      </c>
      <c r="N398" s="1">
        <f t="shared" si="69"/>
        <v>1.5040336092820433E+26</v>
      </c>
      <c r="O398" s="2">
        <f t="shared" si="70"/>
        <v>4874.2409739453187</v>
      </c>
      <c r="P398" s="2">
        <f t="shared" si="71"/>
        <v>43.439534980693821</v>
      </c>
      <c r="Q398" s="2">
        <f t="shared" si="72"/>
        <v>0.23934501930617813</v>
      </c>
      <c r="R398" s="2">
        <f t="shared" si="73"/>
        <v>0.87411557413749374</v>
      </c>
      <c r="S398" s="12">
        <v>4563.7370257299362</v>
      </c>
      <c r="T398" s="2">
        <f t="shared" si="74"/>
        <v>43.296603056508275</v>
      </c>
      <c r="U398" s="2">
        <f t="shared" si="75"/>
        <v>0.38227694349172481</v>
      </c>
      <c r="V398" s="2">
        <f t="shared" si="76"/>
        <v>2.2298532337245995</v>
      </c>
    </row>
    <row r="399" spans="1:22" x14ac:dyDescent="0.25">
      <c r="A399" t="s">
        <v>419</v>
      </c>
      <c r="B399" s="2">
        <v>0.77500000000000002</v>
      </c>
      <c r="C399" s="8">
        <v>1E-3</v>
      </c>
      <c r="D399" s="8">
        <v>24.050999999999998</v>
      </c>
      <c r="E399" s="8">
        <v>5.5E-2</v>
      </c>
      <c r="F399" s="8">
        <v>1.0980000000000001</v>
      </c>
      <c r="G399" s="8">
        <v>4.2000000000000003E-2</v>
      </c>
      <c r="H399" s="8">
        <v>-9.4E-2</v>
      </c>
      <c r="I399" s="8">
        <v>5.0999999999999997E-2</v>
      </c>
      <c r="J399" s="8">
        <v>0.12</v>
      </c>
      <c r="K399" s="8">
        <f t="shared" si="66"/>
        <v>0.26800000000000002</v>
      </c>
      <c r="L399" s="8">
        <f t="shared" si="67"/>
        <v>43.699625999999995</v>
      </c>
      <c r="M399" s="1">
        <f t="shared" si="68"/>
        <v>5494.4623273415218</v>
      </c>
      <c r="N399" s="1">
        <f t="shared" si="69"/>
        <v>1.5153410599785044E+26</v>
      </c>
      <c r="O399" s="2">
        <f t="shared" si="70"/>
        <v>4910.8859259965338</v>
      </c>
      <c r="P399" s="2">
        <f t="shared" si="71"/>
        <v>43.455799230538261</v>
      </c>
      <c r="Q399" s="2">
        <f t="shared" si="72"/>
        <v>0.24382676946173376</v>
      </c>
      <c r="R399" s="2">
        <f t="shared" si="73"/>
        <v>0.82773854848164197</v>
      </c>
      <c r="S399" s="12">
        <v>4600.1812420392898</v>
      </c>
      <c r="T399" s="2">
        <f t="shared" si="74"/>
        <v>43.313874713698027</v>
      </c>
      <c r="U399" s="2">
        <f t="shared" si="75"/>
        <v>0.38575128630196787</v>
      </c>
      <c r="V399" s="2">
        <f t="shared" si="76"/>
        <v>2.0717873535812923</v>
      </c>
    </row>
    <row r="400" spans="1:22" x14ac:dyDescent="0.25">
      <c r="A400" t="s">
        <v>420</v>
      </c>
      <c r="B400" s="2">
        <v>0.77800000000000002</v>
      </c>
      <c r="C400" s="8">
        <v>1E-3</v>
      </c>
      <c r="D400" s="8">
        <v>24.425000000000001</v>
      </c>
      <c r="E400" s="8">
        <v>5.3999999999999999E-2</v>
      </c>
      <c r="F400" s="8">
        <v>1.01</v>
      </c>
      <c r="G400" s="8">
        <v>3.1E-2</v>
      </c>
      <c r="H400" s="8">
        <v>5.0999999999999997E-2</v>
      </c>
      <c r="I400" s="8">
        <v>5.2999999999999999E-2</v>
      </c>
      <c r="J400" s="8">
        <v>0.12</v>
      </c>
      <c r="K400" s="8">
        <f t="shared" si="66"/>
        <v>0.25800000000000001</v>
      </c>
      <c r="L400" s="8">
        <f t="shared" si="67"/>
        <v>43.606840000000005</v>
      </c>
      <c r="M400" s="1">
        <f t="shared" si="68"/>
        <v>5264.6317670735334</v>
      </c>
      <c r="N400" s="1">
        <f t="shared" si="69"/>
        <v>1.5221324017066325E+26</v>
      </c>
      <c r="O400" s="2">
        <f t="shared" si="70"/>
        <v>4932.8951656272284</v>
      </c>
      <c r="P400" s="2">
        <f t="shared" si="71"/>
        <v>43.465509429456056</v>
      </c>
      <c r="Q400" s="2">
        <f t="shared" si="72"/>
        <v>0.14133057054394982</v>
      </c>
      <c r="R400" s="2">
        <f t="shared" si="73"/>
        <v>0.30007707124389127</v>
      </c>
      <c r="S400" s="12">
        <v>4622.0778179049121</v>
      </c>
      <c r="T400" s="2">
        <f t="shared" si="74"/>
        <v>43.324186265215886</v>
      </c>
      <c r="U400" s="2">
        <f t="shared" si="75"/>
        <v>0.28265373478411959</v>
      </c>
      <c r="V400" s="2">
        <f t="shared" si="76"/>
        <v>1.200245384703615</v>
      </c>
    </row>
    <row r="401" spans="1:22" x14ac:dyDescent="0.25">
      <c r="A401" t="s">
        <v>421</v>
      </c>
      <c r="B401" s="2">
        <v>0.79</v>
      </c>
      <c r="C401" s="8">
        <v>0.01</v>
      </c>
      <c r="D401" s="8">
        <v>23.966999999999999</v>
      </c>
      <c r="E401" s="8">
        <v>5.0999999999999997E-2</v>
      </c>
      <c r="F401" s="8">
        <v>1.135</v>
      </c>
      <c r="G401" s="8">
        <v>2.4E-2</v>
      </c>
      <c r="H401" s="8">
        <v>-6.0999999999999999E-2</v>
      </c>
      <c r="I401" s="8">
        <v>4.1000000000000002E-2</v>
      </c>
      <c r="J401" s="8">
        <v>0.12</v>
      </c>
      <c r="K401" s="8">
        <f t="shared" si="66"/>
        <v>0.23599999999999999</v>
      </c>
      <c r="L401" s="8">
        <f t="shared" si="67"/>
        <v>43.517775</v>
      </c>
      <c r="M401" s="1">
        <f t="shared" si="68"/>
        <v>5053.0663402197188</v>
      </c>
      <c r="N401" s="1">
        <f t="shared" si="69"/>
        <v>1.5493489340207493E+26</v>
      </c>
      <c r="O401" s="2">
        <f t="shared" si="70"/>
        <v>5021.0979399239413</v>
      </c>
      <c r="P401" s="2">
        <f t="shared" si="71"/>
        <v>43.503993463328307</v>
      </c>
      <c r="Q401" s="2">
        <f t="shared" si="72"/>
        <v>1.3781536671693573E-2</v>
      </c>
      <c r="R401" s="2">
        <f t="shared" si="73"/>
        <v>3.4101327390339479E-3</v>
      </c>
      <c r="S401" s="12">
        <v>4709.8877417542408</v>
      </c>
      <c r="T401" s="2">
        <f t="shared" si="74"/>
        <v>43.365052780105543</v>
      </c>
      <c r="U401" s="2">
        <f t="shared" si="75"/>
        <v>0.15272221989445711</v>
      </c>
      <c r="V401" s="2">
        <f t="shared" si="76"/>
        <v>0.41877471361481822</v>
      </c>
    </row>
    <row r="402" spans="1:22" x14ac:dyDescent="0.25">
      <c r="A402" t="s">
        <v>422</v>
      </c>
      <c r="B402" s="2">
        <v>0.79100000000000004</v>
      </c>
      <c r="C402" s="8">
        <v>3.0000000000000001E-3</v>
      </c>
      <c r="D402" s="8">
        <v>24.231999999999999</v>
      </c>
      <c r="E402" s="8">
        <v>6.7000000000000004E-2</v>
      </c>
      <c r="F402" s="8">
        <v>1.0720000000000001</v>
      </c>
      <c r="G402" s="8">
        <v>0.05</v>
      </c>
      <c r="H402" s="8">
        <v>-2.4E-2</v>
      </c>
      <c r="I402" s="8">
        <v>5.0999999999999997E-2</v>
      </c>
      <c r="J402" s="8">
        <v>0.12</v>
      </c>
      <c r="K402" s="8">
        <f t="shared" si="66"/>
        <v>0.28800000000000003</v>
      </c>
      <c r="L402" s="8">
        <f t="shared" si="67"/>
        <v>43.657703999999995</v>
      </c>
      <c r="M402" s="1">
        <f t="shared" si="68"/>
        <v>5389.4047401218295</v>
      </c>
      <c r="N402" s="1">
        <f t="shared" si="69"/>
        <v>1.5516206524752925E+26</v>
      </c>
      <c r="O402" s="2">
        <f t="shared" si="70"/>
        <v>5028.4600780464325</v>
      </c>
      <c r="P402" s="2">
        <f t="shared" si="71"/>
        <v>43.507175032635004</v>
      </c>
      <c r="Q402" s="2">
        <f t="shared" si="72"/>
        <v>0.15052896736499122</v>
      </c>
      <c r="R402" s="2">
        <f t="shared" si="73"/>
        <v>0.27318395563236142</v>
      </c>
      <c r="S402" s="12">
        <v>4717.2212868848528</v>
      </c>
      <c r="T402" s="2">
        <f t="shared" si="74"/>
        <v>43.36843124832501</v>
      </c>
      <c r="U402" s="2">
        <f t="shared" si="75"/>
        <v>0.28927275167498578</v>
      </c>
      <c r="V402" s="2">
        <f t="shared" si="76"/>
        <v>1.0088580833046148</v>
      </c>
    </row>
    <row r="403" spans="1:22" x14ac:dyDescent="0.25">
      <c r="A403" t="s">
        <v>423</v>
      </c>
      <c r="B403" s="2">
        <v>0.79800000000000004</v>
      </c>
      <c r="C403" s="8">
        <v>1.2E-2</v>
      </c>
      <c r="D403" s="8">
        <v>24.145</v>
      </c>
      <c r="E403" s="8">
        <v>5.3999999999999999E-2</v>
      </c>
      <c r="F403" s="8">
        <v>1.079</v>
      </c>
      <c r="G403" s="8">
        <v>2.9000000000000001E-2</v>
      </c>
      <c r="H403" s="8">
        <v>7.5999999999999998E-2</v>
      </c>
      <c r="I403" s="8">
        <v>4.8000000000000001E-2</v>
      </c>
      <c r="J403" s="8">
        <v>0.12</v>
      </c>
      <c r="K403" s="8">
        <f t="shared" si="66"/>
        <v>0.251</v>
      </c>
      <c r="L403" s="8">
        <f t="shared" si="67"/>
        <v>43.258732999999999</v>
      </c>
      <c r="M403" s="1">
        <f t="shared" si="68"/>
        <v>4484.8363455995814</v>
      </c>
      <c r="N403" s="1">
        <f t="shared" si="69"/>
        <v>1.5675383953981226E+26</v>
      </c>
      <c r="O403" s="2">
        <f t="shared" si="70"/>
        <v>5080.045969670372</v>
      </c>
      <c r="P403" s="2">
        <f t="shared" si="71"/>
        <v>43.529338211305273</v>
      </c>
      <c r="Q403" s="2">
        <f t="shared" si="72"/>
        <v>-0.27060521130527349</v>
      </c>
      <c r="R403" s="2">
        <f t="shared" si="73"/>
        <v>1.162317747108327</v>
      </c>
      <c r="S403" s="12">
        <v>4768.6247198114525</v>
      </c>
      <c r="T403" s="2">
        <f t="shared" si="74"/>
        <v>43.391965728831053</v>
      </c>
      <c r="U403" s="2">
        <f t="shared" si="75"/>
        <v>-0.13323272883105375</v>
      </c>
      <c r="V403" s="2">
        <f t="shared" si="76"/>
        <v>0.28175679801541403</v>
      </c>
    </row>
    <row r="404" spans="1:22" x14ac:dyDescent="0.25">
      <c r="A404" t="s">
        <v>424</v>
      </c>
      <c r="B404" s="2">
        <v>0.8</v>
      </c>
      <c r="C404" s="8">
        <v>0.02</v>
      </c>
      <c r="D404" s="8">
        <v>24.202999999999999</v>
      </c>
      <c r="E404" s="8">
        <v>5.7000000000000002E-2</v>
      </c>
      <c r="F404" s="8">
        <v>1.0089999999999999</v>
      </c>
      <c r="G404" s="8">
        <v>3.1E-2</v>
      </c>
      <c r="H404" s="8">
        <v>7.8E-2</v>
      </c>
      <c r="I404" s="8">
        <v>5.1999999999999998E-2</v>
      </c>
      <c r="J404" s="8">
        <v>0.12</v>
      </c>
      <c r="K404" s="8">
        <f t="shared" si="66"/>
        <v>0.26</v>
      </c>
      <c r="L404" s="8">
        <f t="shared" si="67"/>
        <v>43.300182999999997</v>
      </c>
      <c r="M404" s="1">
        <f t="shared" si="68"/>
        <v>4571.2671216901654</v>
      </c>
      <c r="N404" s="1">
        <f t="shared" si="69"/>
        <v>1.5720913547540998E+26</v>
      </c>
      <c r="O404" s="2">
        <f t="shared" si="70"/>
        <v>5094.8011060640365</v>
      </c>
      <c r="P404" s="2">
        <f t="shared" si="71"/>
        <v>43.535636172109776</v>
      </c>
      <c r="Q404" s="2">
        <f t="shared" si="72"/>
        <v>-0.23545317210977856</v>
      </c>
      <c r="R404" s="2">
        <f t="shared" si="73"/>
        <v>0.82009166059995564</v>
      </c>
      <c r="S404" s="12">
        <v>4783.3333862843438</v>
      </c>
      <c r="T404" s="2">
        <f t="shared" si="74"/>
        <v>43.398653255789725</v>
      </c>
      <c r="U404" s="2">
        <f t="shared" si="75"/>
        <v>-9.8470255789727901E-2</v>
      </c>
      <c r="V404" s="2">
        <f t="shared" si="76"/>
        <v>0.14343774075879348</v>
      </c>
    </row>
    <row r="405" spans="1:22" x14ac:dyDescent="0.25">
      <c r="A405" t="s">
        <v>425</v>
      </c>
      <c r="B405" s="2">
        <v>0.8</v>
      </c>
      <c r="C405" s="8">
        <v>0.02</v>
      </c>
      <c r="D405" s="8">
        <v>24.512</v>
      </c>
      <c r="E405" s="8">
        <v>6.0999999999999999E-2</v>
      </c>
      <c r="F405" s="8">
        <v>0.87</v>
      </c>
      <c r="G405" s="8">
        <v>3.9E-2</v>
      </c>
      <c r="H405" s="8">
        <v>-4.4999999999999998E-2</v>
      </c>
      <c r="I405" s="8">
        <v>5.1999999999999998E-2</v>
      </c>
      <c r="J405" s="8">
        <v>0.12</v>
      </c>
      <c r="K405" s="8">
        <f t="shared" si="66"/>
        <v>0.27200000000000002</v>
      </c>
      <c r="L405" s="8">
        <f t="shared" si="67"/>
        <v>43.973739999999999</v>
      </c>
      <c r="M405" s="1">
        <f t="shared" si="68"/>
        <v>6233.7301742668615</v>
      </c>
      <c r="N405" s="1">
        <f t="shared" si="69"/>
        <v>1.5720913547540998E+26</v>
      </c>
      <c r="O405" s="2">
        <f t="shared" si="70"/>
        <v>5094.8011060640365</v>
      </c>
      <c r="P405" s="2">
        <f t="shared" si="71"/>
        <v>43.535636172109776</v>
      </c>
      <c r="Q405" s="2">
        <f t="shared" si="72"/>
        <v>0.43810382789022384</v>
      </c>
      <c r="R405" s="2">
        <f t="shared" si="73"/>
        <v>2.5942766545748652</v>
      </c>
      <c r="S405" s="12">
        <v>4783.3333862843438</v>
      </c>
      <c r="T405" s="2">
        <f t="shared" si="74"/>
        <v>43.398653255789725</v>
      </c>
      <c r="U405" s="2">
        <f t="shared" si="75"/>
        <v>0.5750867442102745</v>
      </c>
      <c r="V405" s="2">
        <f t="shared" si="76"/>
        <v>4.4702200930792282</v>
      </c>
    </row>
    <row r="406" spans="1:22" x14ac:dyDescent="0.25">
      <c r="A406" t="s">
        <v>426</v>
      </c>
      <c r="B406" s="2">
        <v>0.80500000000000005</v>
      </c>
      <c r="C406" s="8">
        <v>1E-3</v>
      </c>
      <c r="D406" s="8">
        <v>23.913</v>
      </c>
      <c r="E406" s="8">
        <v>5.6000000000000001E-2</v>
      </c>
      <c r="F406" s="8">
        <v>1.0509999999999999</v>
      </c>
      <c r="G406" s="8">
        <v>4.7E-2</v>
      </c>
      <c r="H406" s="8">
        <v>-0.11</v>
      </c>
      <c r="I406" s="8">
        <v>4.2999999999999997E-2</v>
      </c>
      <c r="J406" s="8">
        <v>0.12</v>
      </c>
      <c r="K406" s="8">
        <f t="shared" si="66"/>
        <v>0.26600000000000001</v>
      </c>
      <c r="L406" s="8">
        <f t="shared" si="67"/>
        <v>43.604797000000005</v>
      </c>
      <c r="M406" s="1">
        <f t="shared" si="68"/>
        <v>5259.6809398882397</v>
      </c>
      <c r="N406" s="1">
        <f t="shared" si="69"/>
        <v>1.5834834903140257E+26</v>
      </c>
      <c r="O406" s="2">
        <f t="shared" si="70"/>
        <v>5131.7205030670311</v>
      </c>
      <c r="P406" s="2">
        <f t="shared" si="71"/>
        <v>43.551314973431445</v>
      </c>
      <c r="Q406" s="2">
        <f t="shared" si="72"/>
        <v>5.3482026568559604E-2</v>
      </c>
      <c r="R406" s="2">
        <f t="shared" si="73"/>
        <v>4.0425224233706182E-2</v>
      </c>
      <c r="S406" s="12">
        <v>4820.1475468585268</v>
      </c>
      <c r="T406" s="2">
        <f t="shared" si="74"/>
        <v>43.415301661947083</v>
      </c>
      <c r="U406" s="2">
        <f t="shared" si="75"/>
        <v>0.18949533805292162</v>
      </c>
      <c r="V406" s="2">
        <f t="shared" si="76"/>
        <v>0.50749735914680083</v>
      </c>
    </row>
    <row r="407" spans="1:22" x14ac:dyDescent="0.25">
      <c r="A407" t="s">
        <v>427</v>
      </c>
      <c r="B407" s="2">
        <v>0.80500000000000005</v>
      </c>
      <c r="C407" s="8">
        <v>1E-3</v>
      </c>
      <c r="D407" s="8">
        <v>24.388000000000002</v>
      </c>
      <c r="E407" s="8">
        <v>7.0000000000000007E-2</v>
      </c>
      <c r="F407" s="8">
        <v>0.97199999999999998</v>
      </c>
      <c r="G407" s="8">
        <v>4.2999999999999997E-2</v>
      </c>
      <c r="H407" s="8">
        <v>0.09</v>
      </c>
      <c r="I407" s="8">
        <v>5.3999999999999999E-2</v>
      </c>
      <c r="J407" s="8">
        <v>0.12</v>
      </c>
      <c r="K407" s="8">
        <f t="shared" si="66"/>
        <v>0.28700000000000003</v>
      </c>
      <c r="L407" s="8">
        <f t="shared" si="67"/>
        <v>43.442183999999997</v>
      </c>
      <c r="M407" s="1">
        <f t="shared" si="68"/>
        <v>4880.1907789523784</v>
      </c>
      <c r="N407" s="1">
        <f t="shared" si="69"/>
        <v>1.5834834903140257E+26</v>
      </c>
      <c r="O407" s="2">
        <f t="shared" si="70"/>
        <v>5131.7205030670311</v>
      </c>
      <c r="P407" s="2">
        <f t="shared" si="71"/>
        <v>43.551314973431445</v>
      </c>
      <c r="Q407" s="2">
        <f t="shared" si="72"/>
        <v>-0.10913097343144784</v>
      </c>
      <c r="R407" s="2">
        <f t="shared" si="73"/>
        <v>0.14458800473594885</v>
      </c>
      <c r="S407" s="12">
        <v>4820.1475468585268</v>
      </c>
      <c r="T407" s="2">
        <f t="shared" si="74"/>
        <v>43.415301661947083</v>
      </c>
      <c r="U407" s="2">
        <f t="shared" si="75"/>
        <v>2.6882338052914179E-2</v>
      </c>
      <c r="V407" s="2">
        <f t="shared" si="76"/>
        <v>8.7734475250538114E-3</v>
      </c>
    </row>
    <row r="408" spans="1:22" x14ac:dyDescent="0.25">
      <c r="A408" t="s">
        <v>428</v>
      </c>
      <c r="B408" s="2">
        <v>0.80800000000000005</v>
      </c>
      <c r="C408" s="8">
        <v>1E-3</v>
      </c>
      <c r="D408" s="8">
        <v>24.481000000000002</v>
      </c>
      <c r="E408" s="8">
        <v>6.6000000000000003E-2</v>
      </c>
      <c r="F408" s="8">
        <v>1.0249999999999999</v>
      </c>
      <c r="G408" s="8">
        <v>4.8000000000000001E-2</v>
      </c>
      <c r="H408" s="8">
        <v>4.7E-2</v>
      </c>
      <c r="I408" s="8">
        <v>5.3999999999999999E-2</v>
      </c>
      <c r="J408" s="8">
        <v>0.12</v>
      </c>
      <c r="K408" s="8">
        <f t="shared" si="66"/>
        <v>0.28800000000000003</v>
      </c>
      <c r="L408" s="8">
        <f t="shared" si="67"/>
        <v>43.677565000000001</v>
      </c>
      <c r="M408" s="1">
        <f t="shared" si="68"/>
        <v>5438.9241213802597</v>
      </c>
      <c r="N408" s="1">
        <f t="shared" si="69"/>
        <v>1.5903254247883481E+26</v>
      </c>
      <c r="O408" s="2">
        <f t="shared" si="70"/>
        <v>5153.8937026218673</v>
      </c>
      <c r="P408" s="2">
        <f t="shared" si="71"/>
        <v>43.560677285625431</v>
      </c>
      <c r="Q408" s="2">
        <f t="shared" si="72"/>
        <v>0.11688771437457035</v>
      </c>
      <c r="R408" s="2">
        <f t="shared" si="73"/>
        <v>0.1647224364837859</v>
      </c>
      <c r="S408" s="12">
        <v>4842.2650714196197</v>
      </c>
      <c r="T408" s="2">
        <f t="shared" si="74"/>
        <v>43.425242797796145</v>
      </c>
      <c r="U408" s="2">
        <f t="shared" si="75"/>
        <v>0.2523222022038567</v>
      </c>
      <c r="V408" s="2">
        <f t="shared" si="76"/>
        <v>0.76758407751017477</v>
      </c>
    </row>
    <row r="409" spans="1:22" x14ac:dyDescent="0.25">
      <c r="A409" t="s">
        <v>429</v>
      </c>
      <c r="B409" s="2">
        <v>0.81</v>
      </c>
      <c r="C409" s="8">
        <v>0.02</v>
      </c>
      <c r="D409" s="8">
        <v>24.617000000000001</v>
      </c>
      <c r="E409" s="8">
        <v>0.06</v>
      </c>
      <c r="F409" s="8">
        <v>0.95599999999999996</v>
      </c>
      <c r="G409" s="8">
        <v>4.2999999999999997E-2</v>
      </c>
      <c r="H409" s="8">
        <v>-8.3000000000000004E-2</v>
      </c>
      <c r="I409" s="8">
        <v>5.1999999999999998E-2</v>
      </c>
      <c r="J409" s="8">
        <v>0.12</v>
      </c>
      <c r="K409" s="8">
        <f t="shared" si="66"/>
        <v>0.27500000000000002</v>
      </c>
      <c r="L409" s="8">
        <f t="shared" si="67"/>
        <v>44.210321999999998</v>
      </c>
      <c r="M409" s="1">
        <f t="shared" si="68"/>
        <v>6951.2738794013885</v>
      </c>
      <c r="N409" s="1">
        <f t="shared" si="69"/>
        <v>1.594889476713612E+26</v>
      </c>
      <c r="O409" s="2">
        <f t="shared" si="70"/>
        <v>5168.6847875843596</v>
      </c>
      <c r="P409" s="2">
        <f t="shared" si="71"/>
        <v>43.566900237558393</v>
      </c>
      <c r="Q409" s="2">
        <f t="shared" si="72"/>
        <v>0.64342176244160498</v>
      </c>
      <c r="R409" s="2">
        <f t="shared" si="73"/>
        <v>5.4742686199465922</v>
      </c>
      <c r="S409" s="12">
        <v>4857.0221369303508</v>
      </c>
      <c r="T409" s="2">
        <f t="shared" si="74"/>
        <v>43.43185041434355</v>
      </c>
      <c r="U409" s="2">
        <f t="shared" si="75"/>
        <v>0.77847158565644747</v>
      </c>
      <c r="V409" s="2">
        <f t="shared" si="76"/>
        <v>8.0134612849515836</v>
      </c>
    </row>
    <row r="410" spans="1:22" x14ac:dyDescent="0.25">
      <c r="A410" t="s">
        <v>430</v>
      </c>
      <c r="B410" s="2">
        <v>0.81</v>
      </c>
      <c r="C410" s="8">
        <v>0.01</v>
      </c>
      <c r="D410" s="8">
        <v>24.262</v>
      </c>
      <c r="E410" s="8">
        <v>7.4999999999999997E-2</v>
      </c>
      <c r="F410" s="8">
        <v>1.024</v>
      </c>
      <c r="G410" s="8">
        <v>6.0999999999999999E-2</v>
      </c>
      <c r="H410" s="8">
        <v>1.0999999999999999E-2</v>
      </c>
      <c r="I410" s="8">
        <v>5.3999999999999999E-2</v>
      </c>
      <c r="J410" s="8">
        <v>0.12</v>
      </c>
      <c r="K410" s="8">
        <f t="shared" si="66"/>
        <v>0.31</v>
      </c>
      <c r="L410" s="8">
        <f t="shared" si="67"/>
        <v>43.571097999999999</v>
      </c>
      <c r="M410" s="1">
        <f t="shared" si="68"/>
        <v>5178.6862482952329</v>
      </c>
      <c r="N410" s="1">
        <f t="shared" si="69"/>
        <v>1.594889476713612E+26</v>
      </c>
      <c r="O410" s="2">
        <f t="shared" si="70"/>
        <v>5168.6847875843596</v>
      </c>
      <c r="P410" s="2">
        <f t="shared" si="71"/>
        <v>43.566900237558393</v>
      </c>
      <c r="Q410" s="2">
        <f t="shared" si="72"/>
        <v>4.1977624416063009E-3</v>
      </c>
      <c r="R410" s="2">
        <f t="shared" si="73"/>
        <v>1.8336326239501034E-4</v>
      </c>
      <c r="S410" s="12">
        <v>4857.0221369303508</v>
      </c>
      <c r="T410" s="2">
        <f t="shared" si="74"/>
        <v>43.43185041434355</v>
      </c>
      <c r="U410" s="2">
        <f t="shared" si="75"/>
        <v>0.13924758565644879</v>
      </c>
      <c r="V410" s="2">
        <f t="shared" si="76"/>
        <v>0.20176784715036464</v>
      </c>
    </row>
    <row r="411" spans="1:22" x14ac:dyDescent="0.25">
      <c r="A411" t="s">
        <v>431</v>
      </c>
      <c r="B411" s="2">
        <v>0.81100000000000005</v>
      </c>
      <c r="C411" s="8">
        <v>1E-3</v>
      </c>
      <c r="D411" s="8">
        <v>24.402000000000001</v>
      </c>
      <c r="E411" s="8">
        <v>6.0999999999999999E-2</v>
      </c>
      <c r="F411" s="8">
        <v>0.98099999999999998</v>
      </c>
      <c r="G411" s="8">
        <v>3.5999999999999997E-2</v>
      </c>
      <c r="H411" s="8">
        <v>2.1000000000000001E-2</v>
      </c>
      <c r="I411" s="8">
        <v>0.05</v>
      </c>
      <c r="J411" s="8">
        <v>0.12</v>
      </c>
      <c r="K411" s="8">
        <f t="shared" si="66"/>
        <v>0.26700000000000002</v>
      </c>
      <c r="L411" s="8">
        <f t="shared" si="67"/>
        <v>43.673477000000005</v>
      </c>
      <c r="M411" s="1">
        <f t="shared" si="68"/>
        <v>5428.6944699499018</v>
      </c>
      <c r="N411" s="1">
        <f t="shared" si="69"/>
        <v>1.597172329590159E+26</v>
      </c>
      <c r="O411" s="2">
        <f t="shared" si="70"/>
        <v>5176.0830099110972</v>
      </c>
      <c r="P411" s="2">
        <f t="shared" si="71"/>
        <v>43.570006162933488</v>
      </c>
      <c r="Q411" s="2">
        <f t="shared" si="72"/>
        <v>0.10347083706651716</v>
      </c>
      <c r="R411" s="2">
        <f t="shared" si="73"/>
        <v>0.15018045032537616</v>
      </c>
      <c r="S411" s="12">
        <v>4864.4042761897581</v>
      </c>
      <c r="T411" s="2">
        <f t="shared" si="74"/>
        <v>43.435148307908754</v>
      </c>
      <c r="U411" s="2">
        <f t="shared" si="75"/>
        <v>0.23832869209125107</v>
      </c>
      <c r="V411" s="2">
        <f t="shared" si="76"/>
        <v>0.79676479504448594</v>
      </c>
    </row>
    <row r="412" spans="1:22" x14ac:dyDescent="0.25">
      <c r="A412" t="s">
        <v>432</v>
      </c>
      <c r="B412" s="2">
        <v>0.81299999999999994</v>
      </c>
      <c r="C412" s="8">
        <v>1E-3</v>
      </c>
      <c r="D412" s="8">
        <v>24.294</v>
      </c>
      <c r="E412" s="8">
        <v>5.8000000000000003E-2</v>
      </c>
      <c r="F412" s="8">
        <v>0.95399999999999996</v>
      </c>
      <c r="G412" s="8">
        <v>0.03</v>
      </c>
      <c r="H412" s="8">
        <v>-0.104</v>
      </c>
      <c r="I412" s="8">
        <v>4.5999999999999999E-2</v>
      </c>
      <c r="J412" s="8">
        <v>0.12</v>
      </c>
      <c r="K412" s="8">
        <f t="shared" si="66"/>
        <v>0.254</v>
      </c>
      <c r="L412" s="8">
        <f t="shared" si="67"/>
        <v>43.952758000000003</v>
      </c>
      <c r="M412" s="1">
        <f t="shared" si="68"/>
        <v>6173.7864038087719</v>
      </c>
      <c r="N412" s="1">
        <f t="shared" si="69"/>
        <v>1.6017396862314668E+26</v>
      </c>
      <c r="O412" s="2">
        <f t="shared" si="70"/>
        <v>5190.8848047289075</v>
      </c>
      <c r="P412" s="2">
        <f t="shared" si="71"/>
        <v>43.576206955966498</v>
      </c>
      <c r="Q412" s="2">
        <f t="shared" si="72"/>
        <v>0.37655104403350492</v>
      </c>
      <c r="R412" s="2">
        <f t="shared" si="73"/>
        <v>2.197760071342342</v>
      </c>
      <c r="S412" s="12">
        <v>4879.1757540302979</v>
      </c>
      <c r="T412" s="2">
        <f t="shared" si="74"/>
        <v>43.441732311129869</v>
      </c>
      <c r="U412" s="2">
        <f t="shared" si="75"/>
        <v>0.51102568887013433</v>
      </c>
      <c r="V412" s="2">
        <f t="shared" si="76"/>
        <v>4.0477905432016144</v>
      </c>
    </row>
    <row r="413" spans="1:22" x14ac:dyDescent="0.25">
      <c r="A413" t="s">
        <v>433</v>
      </c>
      <c r="B413" s="2">
        <v>0.81699999999999995</v>
      </c>
      <c r="C413" s="8">
        <v>1E-3</v>
      </c>
      <c r="D413" s="8">
        <v>24.292999999999999</v>
      </c>
      <c r="E413" s="8">
        <v>0.06</v>
      </c>
      <c r="F413" s="8">
        <v>1.139</v>
      </c>
      <c r="G413" s="8">
        <v>5.1999999999999998E-2</v>
      </c>
      <c r="H413" s="8">
        <v>-2.1999999999999999E-2</v>
      </c>
      <c r="I413" s="8">
        <v>4.8000000000000001E-2</v>
      </c>
      <c r="J413" s="8">
        <v>0.12</v>
      </c>
      <c r="K413" s="8">
        <f t="shared" si="66"/>
        <v>0.27999999999999997</v>
      </c>
      <c r="L413" s="8">
        <f t="shared" si="67"/>
        <v>43.722293000000001</v>
      </c>
      <c r="M413" s="1">
        <f t="shared" si="68"/>
        <v>5552.1168791955197</v>
      </c>
      <c r="N413" s="1">
        <f t="shared" si="69"/>
        <v>1.6108809866576843E+26</v>
      </c>
      <c r="O413" s="2">
        <f t="shared" si="70"/>
        <v>5220.5097418431005</v>
      </c>
      <c r="P413" s="2">
        <f t="shared" si="71"/>
        <v>43.588564552618003</v>
      </c>
      <c r="Q413" s="2">
        <f t="shared" si="72"/>
        <v>0.13372844738199774</v>
      </c>
      <c r="R413" s="2">
        <f t="shared" si="73"/>
        <v>0.22810328621428241</v>
      </c>
      <c r="S413" s="12">
        <v>4908.7474306175363</v>
      </c>
      <c r="T413" s="2">
        <f t="shared" si="74"/>
        <v>43.45485343478029</v>
      </c>
      <c r="U413" s="2">
        <f t="shared" si="75"/>
        <v>0.26743956521971057</v>
      </c>
      <c r="V413" s="2">
        <f t="shared" si="76"/>
        <v>0.91229491128708984</v>
      </c>
    </row>
    <row r="414" spans="1:22" x14ac:dyDescent="0.25">
      <c r="A414" t="s">
        <v>434</v>
      </c>
      <c r="B414" s="2">
        <v>0.82</v>
      </c>
      <c r="C414" s="8">
        <v>0.02</v>
      </c>
      <c r="D414" s="8">
        <v>24.215</v>
      </c>
      <c r="E414" s="8">
        <v>6.7000000000000004E-2</v>
      </c>
      <c r="F414" s="8">
        <v>1.2190000000000001</v>
      </c>
      <c r="G414" s="8">
        <v>8.5000000000000006E-2</v>
      </c>
      <c r="H414" s="8">
        <v>1.7999999999999999E-2</v>
      </c>
      <c r="I414" s="8">
        <v>6.0999999999999999E-2</v>
      </c>
      <c r="J414" s="8">
        <v>0.12</v>
      </c>
      <c r="K414" s="8">
        <f t="shared" si="66"/>
        <v>0.33300000000000002</v>
      </c>
      <c r="L414" s="8">
        <f t="shared" si="67"/>
        <v>43.530853</v>
      </c>
      <c r="M414" s="1">
        <f t="shared" si="68"/>
        <v>5083.5909748127424</v>
      </c>
      <c r="N414" s="1">
        <f t="shared" si="69"/>
        <v>1.61774270733305E+26</v>
      </c>
      <c r="O414" s="2">
        <f t="shared" si="70"/>
        <v>5242.7470641085256</v>
      </c>
      <c r="P414" s="2">
        <f t="shared" si="71"/>
        <v>43.59779452859177</v>
      </c>
      <c r="Q414" s="2">
        <f t="shared" si="72"/>
        <v>-6.6941528591769384E-2</v>
      </c>
      <c r="R414" s="2">
        <f t="shared" si="73"/>
        <v>4.0411296433394452E-2</v>
      </c>
      <c r="S414" s="12">
        <v>4930.9512332501263</v>
      </c>
      <c r="T414" s="2">
        <f t="shared" si="74"/>
        <v>43.46465353705733</v>
      </c>
      <c r="U414" s="2">
        <f t="shared" si="75"/>
        <v>6.6199462942670095E-2</v>
      </c>
      <c r="V414" s="2">
        <f t="shared" si="76"/>
        <v>3.9520321167094578E-2</v>
      </c>
    </row>
    <row r="415" spans="1:22" x14ac:dyDescent="0.25">
      <c r="A415" t="s">
        <v>435</v>
      </c>
      <c r="B415" s="2">
        <v>0.82199999999999995</v>
      </c>
      <c r="C415" s="8">
        <v>0</v>
      </c>
      <c r="D415" s="8">
        <v>24.376999999999999</v>
      </c>
      <c r="E415" s="8">
        <v>5.7000000000000002E-2</v>
      </c>
      <c r="F415" s="8">
        <v>0.93400000000000005</v>
      </c>
      <c r="G415" s="8">
        <v>2.5999999999999999E-2</v>
      </c>
      <c r="H415" s="8">
        <v>-8.4000000000000005E-2</v>
      </c>
      <c r="I415" s="8">
        <v>4.7E-2</v>
      </c>
      <c r="J415" s="8">
        <v>0.12</v>
      </c>
      <c r="K415" s="8">
        <f t="shared" si="66"/>
        <v>0.25</v>
      </c>
      <c r="L415" s="8">
        <f t="shared" si="67"/>
        <v>43.970218000000003</v>
      </c>
      <c r="M415" s="1">
        <f t="shared" si="68"/>
        <v>6223.6276271734932</v>
      </c>
      <c r="N415" s="1">
        <f t="shared" si="69"/>
        <v>1.6223199149416065E+26</v>
      </c>
      <c r="O415" s="2">
        <f t="shared" si="70"/>
        <v>5257.580783736993</v>
      </c>
      <c r="P415" s="2">
        <f t="shared" si="71"/>
        <v>43.603929772138123</v>
      </c>
      <c r="Q415" s="2">
        <f t="shared" si="72"/>
        <v>0.36628822786187953</v>
      </c>
      <c r="R415" s="2">
        <f t="shared" si="73"/>
        <v>2.1466730539231391</v>
      </c>
      <c r="S415" s="12">
        <v>4945.7656540292319</v>
      </c>
      <c r="T415" s="2">
        <f t="shared" si="74"/>
        <v>43.471167671354522</v>
      </c>
      <c r="U415" s="2">
        <f t="shared" si="75"/>
        <v>0.49905032864548104</v>
      </c>
      <c r="V415" s="2">
        <f t="shared" si="76"/>
        <v>3.984819688338602</v>
      </c>
    </row>
    <row r="416" spans="1:22" x14ac:dyDescent="0.25">
      <c r="A416" t="s">
        <v>436</v>
      </c>
      <c r="B416" s="2">
        <v>0.83</v>
      </c>
      <c r="C416" s="8">
        <v>0.01</v>
      </c>
      <c r="D416" s="8">
        <v>24.353000000000002</v>
      </c>
      <c r="E416" s="8">
        <v>0.06</v>
      </c>
      <c r="F416" s="8">
        <v>1.242</v>
      </c>
      <c r="G416" s="8">
        <v>4.2000000000000003E-2</v>
      </c>
      <c r="H416" s="8">
        <v>-1.7999999999999999E-2</v>
      </c>
      <c r="I416" s="8">
        <v>4.7E-2</v>
      </c>
      <c r="J416" s="8">
        <v>0.12</v>
      </c>
      <c r="K416" s="8">
        <f t="shared" si="66"/>
        <v>0.26900000000000002</v>
      </c>
      <c r="L416" s="8">
        <f t="shared" si="67"/>
        <v>43.784914000000001</v>
      </c>
      <c r="M416" s="1">
        <f t="shared" si="68"/>
        <v>5714.5600401518441</v>
      </c>
      <c r="N416" s="1">
        <f t="shared" si="69"/>
        <v>1.640650462421674E+26</v>
      </c>
      <c r="O416" s="2">
        <f t="shared" si="70"/>
        <v>5316.9860424032831</v>
      </c>
      <c r="P416" s="2">
        <f t="shared" si="71"/>
        <v>43.628327601255684</v>
      </c>
      <c r="Q416" s="2">
        <f t="shared" si="72"/>
        <v>0.15658639874431657</v>
      </c>
      <c r="R416" s="2">
        <f t="shared" si="73"/>
        <v>0.33884689641815485</v>
      </c>
      <c r="S416" s="12">
        <v>5005.1179566531691</v>
      </c>
      <c r="T416" s="2">
        <f t="shared" si="74"/>
        <v>43.497071585220468</v>
      </c>
      <c r="U416" s="2">
        <f t="shared" si="75"/>
        <v>0.28784241477953287</v>
      </c>
      <c r="V416" s="2">
        <f t="shared" si="76"/>
        <v>1.1449987665470713</v>
      </c>
    </row>
    <row r="417" spans="1:22" x14ac:dyDescent="0.25">
      <c r="A417" t="s">
        <v>437</v>
      </c>
      <c r="B417" s="2">
        <v>0.83</v>
      </c>
      <c r="C417" s="8">
        <v>0.02</v>
      </c>
      <c r="D417" s="8">
        <v>24.111000000000001</v>
      </c>
      <c r="E417" s="8">
        <v>0.06</v>
      </c>
      <c r="F417" s="8">
        <v>1.0489999999999999</v>
      </c>
      <c r="G417" s="8">
        <v>0.03</v>
      </c>
      <c r="H417" s="8">
        <v>-0.18</v>
      </c>
      <c r="I417" s="8">
        <v>4.5999999999999999E-2</v>
      </c>
      <c r="J417" s="8">
        <v>0.12</v>
      </c>
      <c r="K417" s="8">
        <f t="shared" si="66"/>
        <v>0.25600000000000001</v>
      </c>
      <c r="L417" s="8">
        <f t="shared" si="67"/>
        <v>44.021602999999999</v>
      </c>
      <c r="M417" s="1">
        <f t="shared" si="68"/>
        <v>6372.6578250729781</v>
      </c>
      <c r="N417" s="1">
        <f t="shared" si="69"/>
        <v>1.640650462421674E+26</v>
      </c>
      <c r="O417" s="2">
        <f t="shared" si="70"/>
        <v>5316.9860424032831</v>
      </c>
      <c r="P417" s="2">
        <f t="shared" si="71"/>
        <v>43.628327601255684</v>
      </c>
      <c r="Q417" s="2">
        <f t="shared" si="72"/>
        <v>0.39327539874431494</v>
      </c>
      <c r="R417" s="2">
        <f t="shared" si="73"/>
        <v>2.360008838768004</v>
      </c>
      <c r="S417" s="12">
        <v>5005.1179566531691</v>
      </c>
      <c r="T417" s="2">
        <f t="shared" si="74"/>
        <v>43.497071585220468</v>
      </c>
      <c r="U417" s="2">
        <f t="shared" si="75"/>
        <v>0.52453141477953125</v>
      </c>
      <c r="V417" s="2">
        <f t="shared" si="76"/>
        <v>4.1981995405672716</v>
      </c>
    </row>
    <row r="418" spans="1:22" x14ac:dyDescent="0.25">
      <c r="A418" t="s">
        <v>438</v>
      </c>
      <c r="B418" s="2">
        <v>0.83599999999999997</v>
      </c>
      <c r="C418" s="8">
        <v>1E-3</v>
      </c>
      <c r="D418" s="8">
        <v>24.318999999999999</v>
      </c>
      <c r="E418" s="8">
        <v>8.1000000000000003E-2</v>
      </c>
      <c r="F418" s="8">
        <v>0.93300000000000005</v>
      </c>
      <c r="G418" s="8">
        <v>0.10199999999999999</v>
      </c>
      <c r="H418" s="8">
        <v>-0.04</v>
      </c>
      <c r="I418" s="8">
        <v>6.9000000000000006E-2</v>
      </c>
      <c r="J418" s="8">
        <v>0.12</v>
      </c>
      <c r="K418" s="8">
        <f t="shared" si="66"/>
        <v>0.372</v>
      </c>
      <c r="L418" s="8">
        <f t="shared" si="67"/>
        <v>43.774350999999996</v>
      </c>
      <c r="M418" s="1">
        <f t="shared" si="68"/>
        <v>5686.8294001838522</v>
      </c>
      <c r="N418" s="1">
        <f t="shared" si="69"/>
        <v>1.6544210472816309E+26</v>
      </c>
      <c r="O418" s="2">
        <f t="shared" si="70"/>
        <v>5361.6134686425376</v>
      </c>
      <c r="P418" s="2">
        <f t="shared" si="71"/>
        <v>43.646477507310678</v>
      </c>
      <c r="Q418" s="2">
        <f t="shared" si="72"/>
        <v>0.12787349268931791</v>
      </c>
      <c r="R418" s="2">
        <f t="shared" si="73"/>
        <v>0.11816127682799341</v>
      </c>
      <c r="S418" s="12">
        <v>5049.7309362213273</v>
      </c>
      <c r="T418" s="2">
        <f t="shared" si="74"/>
        <v>43.516341191556251</v>
      </c>
      <c r="U418" s="2">
        <f t="shared" si="75"/>
        <v>0.25800980844374521</v>
      </c>
      <c r="V418" s="2">
        <f t="shared" si="76"/>
        <v>0.48104593922113897</v>
      </c>
    </row>
    <row r="419" spans="1:22" x14ac:dyDescent="0.25">
      <c r="A419" t="s">
        <v>439</v>
      </c>
      <c r="B419" s="2">
        <v>0.83899999999999997</v>
      </c>
      <c r="C419" s="8">
        <v>1E-3</v>
      </c>
      <c r="D419" s="8">
        <v>24.396999999999998</v>
      </c>
      <c r="E419" s="8">
        <v>5.1999999999999998E-2</v>
      </c>
      <c r="F419" s="8">
        <v>0.98499999999999999</v>
      </c>
      <c r="G419" s="8">
        <v>4.7E-2</v>
      </c>
      <c r="H419" s="8">
        <v>0</v>
      </c>
      <c r="I419" s="8">
        <v>4.3999999999999997E-2</v>
      </c>
      <c r="J419" s="8">
        <v>0.12</v>
      </c>
      <c r="K419" s="8">
        <f t="shared" si="66"/>
        <v>0.26300000000000001</v>
      </c>
      <c r="L419" s="8">
        <f t="shared" si="67"/>
        <v>43.734794999999998</v>
      </c>
      <c r="M419" s="1">
        <f t="shared" si="68"/>
        <v>5584.174742944756</v>
      </c>
      <c r="N419" s="1">
        <f t="shared" si="69"/>
        <v>1.661313584221738E+26</v>
      </c>
      <c r="O419" s="2">
        <f t="shared" si="70"/>
        <v>5383.950659620562</v>
      </c>
      <c r="P419" s="2">
        <f t="shared" si="71"/>
        <v>43.655505356049218</v>
      </c>
      <c r="Q419" s="2">
        <f t="shared" si="72"/>
        <v>7.9289643950779976E-2</v>
      </c>
      <c r="R419" s="2">
        <f t="shared" si="73"/>
        <v>9.089111650944004E-2</v>
      </c>
      <c r="S419" s="12">
        <v>5072.0689652030569</v>
      </c>
      <c r="T419" s="2">
        <f t="shared" si="74"/>
        <v>43.525925750199917</v>
      </c>
      <c r="U419" s="2">
        <f t="shared" si="75"/>
        <v>0.20886924980008104</v>
      </c>
      <c r="V419" s="2">
        <f t="shared" si="76"/>
        <v>0.63072132764748157</v>
      </c>
    </row>
    <row r="420" spans="1:22" x14ac:dyDescent="0.25">
      <c r="A420" t="s">
        <v>440</v>
      </c>
      <c r="B420" s="2">
        <v>0.83899999999999997</v>
      </c>
      <c r="C420" s="8">
        <v>1E-3</v>
      </c>
      <c r="D420" s="8">
        <v>24.195</v>
      </c>
      <c r="E420" s="8">
        <v>5.8000000000000003E-2</v>
      </c>
      <c r="F420" s="8">
        <v>1.024</v>
      </c>
      <c r="G420" s="8">
        <v>0.03</v>
      </c>
      <c r="H420" s="8">
        <v>-0.10199999999999999</v>
      </c>
      <c r="I420" s="8">
        <v>4.5999999999999999E-2</v>
      </c>
      <c r="J420" s="8">
        <v>0.12</v>
      </c>
      <c r="K420" s="8">
        <f t="shared" si="66"/>
        <v>0.254</v>
      </c>
      <c r="L420" s="8">
        <f t="shared" si="67"/>
        <v>43.857787999999999</v>
      </c>
      <c r="M420" s="1">
        <f t="shared" si="68"/>
        <v>5909.593386652321</v>
      </c>
      <c r="N420" s="1">
        <f t="shared" si="69"/>
        <v>1.661313584221738E+26</v>
      </c>
      <c r="O420" s="2">
        <f t="shared" si="70"/>
        <v>5383.950659620562</v>
      </c>
      <c r="P420" s="2">
        <f t="shared" si="71"/>
        <v>43.655505356049218</v>
      </c>
      <c r="Q420" s="2">
        <f t="shared" si="72"/>
        <v>0.20228264395078099</v>
      </c>
      <c r="R420" s="2">
        <f t="shared" si="73"/>
        <v>0.63423442314648193</v>
      </c>
      <c r="S420" s="12">
        <v>5072.0689652030569</v>
      </c>
      <c r="T420" s="2">
        <f t="shared" si="74"/>
        <v>43.525925750199917</v>
      </c>
      <c r="U420" s="2">
        <f t="shared" si="75"/>
        <v>0.33186224980008205</v>
      </c>
      <c r="V420" s="2">
        <f t="shared" si="76"/>
        <v>1.7070579831727331</v>
      </c>
    </row>
    <row r="421" spans="1:22" x14ac:dyDescent="0.25">
      <c r="A421" t="s">
        <v>441</v>
      </c>
      <c r="B421" s="2">
        <v>0.84</v>
      </c>
      <c r="C421" s="8">
        <v>0.01</v>
      </c>
      <c r="D421" s="8">
        <v>24.29</v>
      </c>
      <c r="E421" s="8">
        <v>8.3000000000000004E-2</v>
      </c>
      <c r="F421" s="8">
        <v>1.1759999999999999</v>
      </c>
      <c r="G421" s="8">
        <v>9.1999999999999998E-2</v>
      </c>
      <c r="H421" s="8">
        <v>-1E-3</v>
      </c>
      <c r="I421" s="8">
        <v>6.0999999999999999E-2</v>
      </c>
      <c r="J421" s="8">
        <v>0.12</v>
      </c>
      <c r="K421" s="8">
        <f t="shared" si="66"/>
        <v>0.35599999999999998</v>
      </c>
      <c r="L421" s="8">
        <f t="shared" si="67"/>
        <v>43.659002000000001</v>
      </c>
      <c r="M421" s="1">
        <f t="shared" si="68"/>
        <v>5392.6272257066476</v>
      </c>
      <c r="N421" s="1">
        <f t="shared" si="69"/>
        <v>1.6636121660167794E+26</v>
      </c>
      <c r="O421" s="2">
        <f t="shared" si="70"/>
        <v>5391.3998559006268</v>
      </c>
      <c r="P421" s="2">
        <f t="shared" si="71"/>
        <v>43.65850771346652</v>
      </c>
      <c r="Q421" s="2">
        <f t="shared" si="72"/>
        <v>4.9428653348115859E-4</v>
      </c>
      <c r="R421" s="2">
        <f t="shared" si="73"/>
        <v>1.9277804032068278E-6</v>
      </c>
      <c r="S421" s="12">
        <v>5079.5196297933435</v>
      </c>
      <c r="T421" s="2">
        <f t="shared" si="74"/>
        <v>43.529113214968405</v>
      </c>
      <c r="U421" s="2">
        <f t="shared" si="75"/>
        <v>0.1298887850315964</v>
      </c>
      <c r="V421" s="2">
        <f t="shared" si="76"/>
        <v>0.13312000123867143</v>
      </c>
    </row>
    <row r="422" spans="1:22" x14ac:dyDescent="0.25">
      <c r="A422" t="s">
        <v>442</v>
      </c>
      <c r="B422" s="2">
        <v>0.84199999999999997</v>
      </c>
      <c r="C422" s="8">
        <v>1E-3</v>
      </c>
      <c r="D422" s="8">
        <v>24.254000000000001</v>
      </c>
      <c r="E422" s="8">
        <v>0.06</v>
      </c>
      <c r="F422" s="8">
        <v>1.1839999999999999</v>
      </c>
      <c r="G422" s="8">
        <v>4.1000000000000002E-2</v>
      </c>
      <c r="H422" s="8">
        <v>1.4999999999999999E-2</v>
      </c>
      <c r="I422" s="8">
        <v>4.8000000000000001E-2</v>
      </c>
      <c r="J422" s="8">
        <v>0.12</v>
      </c>
      <c r="K422" s="8">
        <f t="shared" si="66"/>
        <v>0.26900000000000002</v>
      </c>
      <c r="L422" s="8">
        <f t="shared" si="67"/>
        <v>43.574098000000006</v>
      </c>
      <c r="M422" s="1">
        <f t="shared" si="68"/>
        <v>5185.845812262025</v>
      </c>
      <c r="N422" s="1">
        <f t="shared" si="69"/>
        <v>1.6682109304425542E+26</v>
      </c>
      <c r="O422" s="2">
        <f t="shared" si="70"/>
        <v>5406.3034364159148</v>
      </c>
      <c r="P422" s="2">
        <f t="shared" si="71"/>
        <v>43.66450208718976</v>
      </c>
      <c r="Q422" s="2">
        <f t="shared" si="72"/>
        <v>-9.0404087189753568E-2</v>
      </c>
      <c r="R422" s="2">
        <f t="shared" si="73"/>
        <v>0.11294618621374171</v>
      </c>
      <c r="S422" s="12">
        <v>5094.42792565122</v>
      </c>
      <c r="T422" s="2">
        <f t="shared" si="74"/>
        <v>43.535477111798528</v>
      </c>
      <c r="U422" s="2">
        <f t="shared" si="75"/>
        <v>3.8620888201478465E-2</v>
      </c>
      <c r="V422" s="2">
        <f t="shared" si="76"/>
        <v>2.0612940748070071E-2</v>
      </c>
    </row>
    <row r="423" spans="1:22" x14ac:dyDescent="0.25">
      <c r="A423" t="s">
        <v>443</v>
      </c>
      <c r="B423" s="2">
        <v>0.84199999999999997</v>
      </c>
      <c r="C423" s="8">
        <v>1E-3</v>
      </c>
      <c r="D423" s="8">
        <v>24.196000000000002</v>
      </c>
      <c r="E423" s="8">
        <v>6.5000000000000002E-2</v>
      </c>
      <c r="F423" s="8">
        <v>1.1220000000000001</v>
      </c>
      <c r="G423" s="8">
        <v>7.6999999999999999E-2</v>
      </c>
      <c r="H423" s="8">
        <v>4.8000000000000001E-2</v>
      </c>
      <c r="I423" s="8">
        <v>5.7000000000000002E-2</v>
      </c>
      <c r="J423" s="8">
        <v>0.12</v>
      </c>
      <c r="K423" s="8">
        <f t="shared" si="66"/>
        <v>0.31900000000000001</v>
      </c>
      <c r="L423" s="8">
        <f t="shared" si="67"/>
        <v>43.403694000000002</v>
      </c>
      <c r="M423" s="1">
        <f t="shared" si="68"/>
        <v>4794.4500678968834</v>
      </c>
      <c r="N423" s="1">
        <f t="shared" si="69"/>
        <v>1.6682109304425542E+26</v>
      </c>
      <c r="O423" s="2">
        <f t="shared" si="70"/>
        <v>5406.3034364159148</v>
      </c>
      <c r="P423" s="2">
        <f t="shared" si="71"/>
        <v>43.66450208718976</v>
      </c>
      <c r="Q423" s="2">
        <f t="shared" si="72"/>
        <v>-0.26080808718975845</v>
      </c>
      <c r="R423" s="2">
        <f t="shared" si="73"/>
        <v>0.66843740080758496</v>
      </c>
      <c r="S423" s="12">
        <v>5094.42792565122</v>
      </c>
      <c r="T423" s="2">
        <f t="shared" si="74"/>
        <v>43.535477111798528</v>
      </c>
      <c r="U423" s="2">
        <f t="shared" si="75"/>
        <v>-0.13178311179852642</v>
      </c>
      <c r="V423" s="2">
        <f t="shared" si="76"/>
        <v>0.17066251860047477</v>
      </c>
    </row>
    <row r="424" spans="1:22" x14ac:dyDescent="0.25">
      <c r="A424" t="s">
        <v>444</v>
      </c>
      <c r="B424" s="2">
        <v>0.85</v>
      </c>
      <c r="C424" s="8">
        <v>0.02</v>
      </c>
      <c r="D424" s="8">
        <v>24.306999999999999</v>
      </c>
      <c r="E424" s="8">
        <v>5.8000000000000003E-2</v>
      </c>
      <c r="F424" s="8">
        <v>1.1100000000000001</v>
      </c>
      <c r="G424" s="8">
        <v>3.1E-2</v>
      </c>
      <c r="H424" s="8">
        <v>-2.5999999999999999E-2</v>
      </c>
      <c r="I424" s="8">
        <v>4.4999999999999998E-2</v>
      </c>
      <c r="J424" s="8">
        <v>0.12</v>
      </c>
      <c r="K424" s="8">
        <f t="shared" si="66"/>
        <v>0.254</v>
      </c>
      <c r="L424" s="8">
        <f t="shared" si="67"/>
        <v>43.744549999999997</v>
      </c>
      <c r="M424" s="1">
        <f t="shared" si="68"/>
        <v>5609.3172061530004</v>
      </c>
      <c r="N424" s="1">
        <f t="shared" si="69"/>
        <v>1.686627250239352E+26</v>
      </c>
      <c r="O424" s="2">
        <f t="shared" si="70"/>
        <v>5465.9866642300067</v>
      </c>
      <c r="P424" s="2">
        <f t="shared" si="71"/>
        <v>43.688342838888602</v>
      </c>
      <c r="Q424" s="2">
        <f t="shared" si="72"/>
        <v>5.620716111139501E-2</v>
      </c>
      <c r="R424" s="2">
        <f t="shared" si="73"/>
        <v>4.8968394819925529E-2</v>
      </c>
      <c r="S424" s="12">
        <v>5154.1536159646548</v>
      </c>
      <c r="T424" s="2">
        <f t="shared" si="74"/>
        <v>43.560786791264164</v>
      </c>
      <c r="U424" s="2">
        <f t="shared" si="75"/>
        <v>0.18376320873583296</v>
      </c>
      <c r="V424" s="2">
        <f t="shared" si="76"/>
        <v>0.52341925855430149</v>
      </c>
    </row>
    <row r="425" spans="1:22" x14ac:dyDescent="0.25">
      <c r="A425" t="s">
        <v>445</v>
      </c>
      <c r="B425" s="2">
        <v>0.85</v>
      </c>
      <c r="C425" s="8">
        <v>0.02</v>
      </c>
      <c r="D425" s="8">
        <v>24.204999999999998</v>
      </c>
      <c r="E425" s="8">
        <v>7.2999999999999995E-2</v>
      </c>
      <c r="F425" s="8">
        <v>1.1679999999999999</v>
      </c>
      <c r="G425" s="8">
        <v>5.8999999999999997E-2</v>
      </c>
      <c r="H425" s="8">
        <v>-5.8999999999999997E-2</v>
      </c>
      <c r="I425" s="8">
        <v>5.0999999999999997E-2</v>
      </c>
      <c r="J425" s="8">
        <v>0.12</v>
      </c>
      <c r="K425" s="8">
        <f t="shared" si="66"/>
        <v>0.30299999999999999</v>
      </c>
      <c r="L425" s="8">
        <f t="shared" si="67"/>
        <v>43.754365999999997</v>
      </c>
      <c r="M425" s="1">
        <f t="shared" si="68"/>
        <v>5634.731158067013</v>
      </c>
      <c r="N425" s="1">
        <f t="shared" si="69"/>
        <v>1.686627250239352E+26</v>
      </c>
      <c r="O425" s="2">
        <f t="shared" si="70"/>
        <v>5465.9866642300067</v>
      </c>
      <c r="P425" s="2">
        <f t="shared" si="71"/>
        <v>43.688342838888602</v>
      </c>
      <c r="Q425" s="2">
        <f t="shared" si="72"/>
        <v>6.6023161111395723E-2</v>
      </c>
      <c r="R425" s="2">
        <f t="shared" si="73"/>
        <v>4.7479634928398268E-2</v>
      </c>
      <c r="S425" s="12">
        <v>5154.1536159646548</v>
      </c>
      <c r="T425" s="2">
        <f t="shared" si="74"/>
        <v>43.560786791264164</v>
      </c>
      <c r="U425" s="2">
        <f t="shared" si="75"/>
        <v>0.19357920873583367</v>
      </c>
      <c r="V425" s="2">
        <f t="shared" si="76"/>
        <v>0.40816161873881057</v>
      </c>
    </row>
    <row r="426" spans="1:22" x14ac:dyDescent="0.25">
      <c r="A426" t="s">
        <v>446</v>
      </c>
      <c r="B426" s="2">
        <v>0.85</v>
      </c>
      <c r="C426" s="8">
        <v>0.01</v>
      </c>
      <c r="D426" s="8">
        <v>24.138999999999999</v>
      </c>
      <c r="E426" s="8">
        <v>5.6000000000000001E-2</v>
      </c>
      <c r="F426" s="8">
        <v>1.131</v>
      </c>
      <c r="G426" s="8">
        <v>2.5000000000000001E-2</v>
      </c>
      <c r="H426" s="8">
        <v>-8.2000000000000003E-2</v>
      </c>
      <c r="I426" s="8">
        <v>4.2000000000000003E-2</v>
      </c>
      <c r="J426" s="8">
        <v>0.12</v>
      </c>
      <c r="K426" s="8">
        <f t="shared" si="66"/>
        <v>0.24299999999999999</v>
      </c>
      <c r="L426" s="8">
        <f t="shared" si="67"/>
        <v>43.754916999999999</v>
      </c>
      <c r="M426" s="1">
        <f t="shared" si="68"/>
        <v>5636.1611236485933</v>
      </c>
      <c r="N426" s="1">
        <f t="shared" si="69"/>
        <v>1.686627250239352E+26</v>
      </c>
      <c r="O426" s="2">
        <f t="shared" si="70"/>
        <v>5465.9866642300067</v>
      </c>
      <c r="P426" s="2">
        <f t="shared" si="71"/>
        <v>43.688342838888602</v>
      </c>
      <c r="Q426" s="2">
        <f t="shared" si="72"/>
        <v>6.6574161111397245E-2</v>
      </c>
      <c r="R426" s="2">
        <f t="shared" si="73"/>
        <v>7.505832321777299E-2</v>
      </c>
      <c r="S426" s="12">
        <v>5154.1536159646548</v>
      </c>
      <c r="T426" s="2">
        <f t="shared" si="74"/>
        <v>43.560786791264164</v>
      </c>
      <c r="U426" s="2">
        <f t="shared" si="75"/>
        <v>0.1941302087358352</v>
      </c>
      <c r="V426" s="2">
        <f t="shared" si="76"/>
        <v>0.63822482927431368</v>
      </c>
    </row>
    <row r="427" spans="1:22" x14ac:dyDescent="0.25">
      <c r="A427" t="s">
        <v>447</v>
      </c>
      <c r="B427" s="2">
        <v>0.85499999999999998</v>
      </c>
      <c r="C427" s="8">
        <v>1E-3</v>
      </c>
      <c r="D427" s="8">
        <v>24.437999999999999</v>
      </c>
      <c r="E427" s="8">
        <v>7.0999999999999994E-2</v>
      </c>
      <c r="F427" s="8">
        <v>1.046</v>
      </c>
      <c r="G427" s="8">
        <v>3.7999999999999999E-2</v>
      </c>
      <c r="H427" s="8">
        <v>8.0000000000000002E-3</v>
      </c>
      <c r="I427" s="8">
        <v>4.9000000000000002E-2</v>
      </c>
      <c r="J427" s="8">
        <v>0.12</v>
      </c>
      <c r="K427" s="8">
        <f t="shared" si="66"/>
        <v>0.27799999999999997</v>
      </c>
      <c r="L427" s="8">
        <f t="shared" si="67"/>
        <v>43.759721999999996</v>
      </c>
      <c r="M427" s="1">
        <f t="shared" si="68"/>
        <v>5648.6465410239307</v>
      </c>
      <c r="N427" s="1">
        <f t="shared" si="69"/>
        <v>1.6981546347992895E+26</v>
      </c>
      <c r="O427" s="2">
        <f t="shared" si="70"/>
        <v>5503.3443733913691</v>
      </c>
      <c r="P427" s="2">
        <f t="shared" si="71"/>
        <v>43.703133448831473</v>
      </c>
      <c r="Q427" s="2">
        <f t="shared" si="72"/>
        <v>5.6588551168523793E-2</v>
      </c>
      <c r="R427" s="2">
        <f t="shared" si="73"/>
        <v>4.1435020487457126E-2</v>
      </c>
      <c r="S427" s="12">
        <v>5191.5569134309553</v>
      </c>
      <c r="T427" s="2">
        <f t="shared" si="74"/>
        <v>43.57648809705919</v>
      </c>
      <c r="U427" s="2">
        <f t="shared" si="75"/>
        <v>0.1832339029408061</v>
      </c>
      <c r="V427" s="2">
        <f t="shared" si="76"/>
        <v>0.43443226524145701</v>
      </c>
    </row>
    <row r="428" spans="1:22" x14ac:dyDescent="0.25">
      <c r="A428" t="s">
        <v>448</v>
      </c>
      <c r="B428" s="2">
        <v>0.86</v>
      </c>
      <c r="C428" s="8">
        <v>1.2999999999999999E-2</v>
      </c>
      <c r="D428" s="8">
        <v>24.242999999999999</v>
      </c>
      <c r="E428" s="8">
        <v>0.06</v>
      </c>
      <c r="F428" s="8">
        <v>1.08</v>
      </c>
      <c r="G428" s="8">
        <v>3.1E-2</v>
      </c>
      <c r="H428" s="8">
        <v>4.5999999999999999E-2</v>
      </c>
      <c r="I428" s="8">
        <v>4.5999999999999999E-2</v>
      </c>
      <c r="J428" s="8">
        <v>0.12</v>
      </c>
      <c r="K428" s="8">
        <f t="shared" si="66"/>
        <v>0.25700000000000001</v>
      </c>
      <c r="L428" s="8">
        <f t="shared" si="67"/>
        <v>43.450779999999995</v>
      </c>
      <c r="M428" s="1">
        <f t="shared" si="68"/>
        <v>4899.5478112527489</v>
      </c>
      <c r="N428" s="1">
        <f t="shared" si="69"/>
        <v>1.7096951551527393E+26</v>
      </c>
      <c r="O428" s="2">
        <f t="shared" si="70"/>
        <v>5540.744652760317</v>
      </c>
      <c r="P428" s="2">
        <f t="shared" si="71"/>
        <v>43.71784068000683</v>
      </c>
      <c r="Q428" s="2">
        <f t="shared" si="72"/>
        <v>-0.26706068000683558</v>
      </c>
      <c r="R428" s="2">
        <f t="shared" si="73"/>
        <v>1.0798256870764649</v>
      </c>
      <c r="S428" s="12">
        <v>5229.0173185003696</v>
      </c>
      <c r="T428" s="2">
        <f t="shared" si="74"/>
        <v>43.592100401074731</v>
      </c>
      <c r="U428" s="2">
        <f t="shared" si="75"/>
        <v>-0.14132040107473642</v>
      </c>
      <c r="V428" s="2">
        <f t="shared" si="76"/>
        <v>0.30237332525737504</v>
      </c>
    </row>
    <row r="429" spans="1:22" x14ac:dyDescent="0.25">
      <c r="A429" t="s">
        <v>449</v>
      </c>
      <c r="B429" s="2">
        <v>0.86</v>
      </c>
      <c r="C429" s="8">
        <v>0.02</v>
      </c>
      <c r="D429" s="8">
        <v>24.391999999999999</v>
      </c>
      <c r="E429" s="8">
        <v>8.4000000000000005E-2</v>
      </c>
      <c r="F429" s="8">
        <v>1.095</v>
      </c>
      <c r="G429" s="8">
        <v>7.0999999999999994E-2</v>
      </c>
      <c r="H429" s="8">
        <v>-8.2000000000000003E-2</v>
      </c>
      <c r="I429" s="8">
        <v>6.0999999999999999E-2</v>
      </c>
      <c r="J429" s="8">
        <v>0.12</v>
      </c>
      <c r="K429" s="8">
        <f t="shared" si="66"/>
        <v>0.33599999999999997</v>
      </c>
      <c r="L429" s="8">
        <f t="shared" si="67"/>
        <v>44.002624999999995</v>
      </c>
      <c r="M429" s="1">
        <f t="shared" si="68"/>
        <v>6317.2054299850442</v>
      </c>
      <c r="N429" s="1">
        <f t="shared" si="69"/>
        <v>1.7096951551527393E+26</v>
      </c>
      <c r="O429" s="2">
        <f t="shared" si="70"/>
        <v>5540.744652760317</v>
      </c>
      <c r="P429" s="2">
        <f t="shared" si="71"/>
        <v>43.71784068000683</v>
      </c>
      <c r="Q429" s="2">
        <f t="shared" si="72"/>
        <v>0.28478431999316456</v>
      </c>
      <c r="R429" s="2">
        <f t="shared" si="73"/>
        <v>0.71837894091880272</v>
      </c>
      <c r="S429" s="12">
        <v>5229.0173185003696</v>
      </c>
      <c r="T429" s="2">
        <f t="shared" si="74"/>
        <v>43.592100401074731</v>
      </c>
      <c r="U429" s="2">
        <f t="shared" si="75"/>
        <v>0.41052459892526372</v>
      </c>
      <c r="V429" s="2">
        <f t="shared" si="76"/>
        <v>1.4927937776604012</v>
      </c>
    </row>
    <row r="430" spans="1:22" x14ac:dyDescent="0.25">
      <c r="A430" t="s">
        <v>450</v>
      </c>
      <c r="B430" s="2">
        <v>0.86</v>
      </c>
      <c r="C430" s="8">
        <v>0.02</v>
      </c>
      <c r="D430" s="8">
        <v>24.617999999999999</v>
      </c>
      <c r="E430" s="8">
        <v>6.7000000000000004E-2</v>
      </c>
      <c r="F430" s="8">
        <v>1.042</v>
      </c>
      <c r="G430" s="8">
        <v>4.7E-2</v>
      </c>
      <c r="H430" s="8">
        <v>6.2E-2</v>
      </c>
      <c r="I430" s="8">
        <v>5.6000000000000001E-2</v>
      </c>
      <c r="J430" s="8">
        <v>0.12</v>
      </c>
      <c r="K430" s="8">
        <f t="shared" si="66"/>
        <v>0.29000000000000004</v>
      </c>
      <c r="L430" s="8">
        <f t="shared" si="67"/>
        <v>43.770114</v>
      </c>
      <c r="M430" s="1">
        <f t="shared" si="68"/>
        <v>5675.7440168093162</v>
      </c>
      <c r="N430" s="1">
        <f t="shared" si="69"/>
        <v>1.7096951551527393E+26</v>
      </c>
      <c r="O430" s="2">
        <f t="shared" si="70"/>
        <v>5540.744652760317</v>
      </c>
      <c r="P430" s="2">
        <f t="shared" si="71"/>
        <v>43.71784068000683</v>
      </c>
      <c r="Q430" s="2">
        <f t="shared" si="72"/>
        <v>5.2273319993169309E-2</v>
      </c>
      <c r="R430" s="2">
        <f t="shared" si="73"/>
        <v>3.2491081844331436E-2</v>
      </c>
      <c r="S430" s="12">
        <v>5229.0173185003696</v>
      </c>
      <c r="T430" s="2">
        <f t="shared" si="74"/>
        <v>43.592100401074731</v>
      </c>
      <c r="U430" s="2">
        <f t="shared" si="75"/>
        <v>0.17801359892526847</v>
      </c>
      <c r="V430" s="2">
        <f t="shared" si="76"/>
        <v>0.37679954105025365</v>
      </c>
    </row>
    <row r="431" spans="1:22" x14ac:dyDescent="0.25">
      <c r="A431" t="s">
        <v>451</v>
      </c>
      <c r="B431" s="2">
        <v>0.86499999999999999</v>
      </c>
      <c r="C431" s="8">
        <v>1E-3</v>
      </c>
      <c r="D431" s="8">
        <v>24.344999999999999</v>
      </c>
      <c r="E431" s="8">
        <v>6.7000000000000004E-2</v>
      </c>
      <c r="F431" s="8">
        <v>1.018</v>
      </c>
      <c r="G431" s="8">
        <v>0.03</v>
      </c>
      <c r="H431" s="8">
        <v>-0.16700000000000001</v>
      </c>
      <c r="I431" s="8">
        <v>4.5999999999999999E-2</v>
      </c>
      <c r="J431" s="8">
        <v>0.12</v>
      </c>
      <c r="K431" s="8">
        <f t="shared" si="66"/>
        <v>0.26300000000000001</v>
      </c>
      <c r="L431" s="8">
        <f t="shared" si="67"/>
        <v>44.210355999999997</v>
      </c>
      <c r="M431" s="1">
        <f t="shared" si="68"/>
        <v>6951.3827203708443</v>
      </c>
      <c r="N431" s="1">
        <f t="shared" si="69"/>
        <v>1.7212487425259138E+26</v>
      </c>
      <c r="O431" s="2">
        <f t="shared" si="70"/>
        <v>5578.1872794561832</v>
      </c>
      <c r="P431" s="2">
        <f t="shared" si="71"/>
        <v>43.732465454875182</v>
      </c>
      <c r="Q431" s="2">
        <f t="shared" si="72"/>
        <v>0.47789054512481499</v>
      </c>
      <c r="R431" s="2">
        <f t="shared" si="73"/>
        <v>3.3017590700992181</v>
      </c>
      <c r="S431" s="12">
        <v>5266.5345127477285</v>
      </c>
      <c r="T431" s="2">
        <f t="shared" si="74"/>
        <v>43.607624672783444</v>
      </c>
      <c r="U431" s="2">
        <f t="shared" si="75"/>
        <v>0.60273132721655287</v>
      </c>
      <c r="V431" s="2">
        <f t="shared" si="76"/>
        <v>5.2521368359847225</v>
      </c>
    </row>
    <row r="432" spans="1:22" x14ac:dyDescent="0.25">
      <c r="A432" t="s">
        <v>452</v>
      </c>
      <c r="B432" s="2">
        <v>0.86599999999999999</v>
      </c>
      <c r="C432" s="8">
        <v>1E-3</v>
      </c>
      <c r="D432" s="8">
        <v>24.283000000000001</v>
      </c>
      <c r="E432" s="8">
        <v>6.2E-2</v>
      </c>
      <c r="F432" s="8">
        <v>1.0169999999999999</v>
      </c>
      <c r="G432" s="8">
        <v>3.1E-2</v>
      </c>
      <c r="H432" s="8">
        <v>-0.1</v>
      </c>
      <c r="I432" s="8">
        <v>4.7E-2</v>
      </c>
      <c r="J432" s="8">
        <v>0.12</v>
      </c>
      <c r="K432" s="8">
        <f t="shared" si="66"/>
        <v>0.26</v>
      </c>
      <c r="L432" s="8">
        <f t="shared" si="67"/>
        <v>43.938499</v>
      </c>
      <c r="M432" s="1">
        <f t="shared" si="68"/>
        <v>6133.3789734001939</v>
      </c>
      <c r="N432" s="1">
        <f t="shared" si="69"/>
        <v>1.7235610220246095E+26</v>
      </c>
      <c r="O432" s="2">
        <f t="shared" si="70"/>
        <v>5585.6808669705852</v>
      </c>
      <c r="P432" s="2">
        <f t="shared" si="71"/>
        <v>43.735380595177134</v>
      </c>
      <c r="Q432" s="2">
        <f t="shared" si="72"/>
        <v>0.20311840482286669</v>
      </c>
      <c r="R432" s="2">
        <f t="shared" si="73"/>
        <v>0.61031192866547257</v>
      </c>
      <c r="S432" s="12">
        <v>5274.0447384482768</v>
      </c>
      <c r="T432" s="2">
        <f t="shared" si="74"/>
        <v>43.610719047441428</v>
      </c>
      <c r="U432" s="2">
        <f t="shared" si="75"/>
        <v>0.32777995255857206</v>
      </c>
      <c r="V432" s="2">
        <f t="shared" si="76"/>
        <v>1.5893446346050257</v>
      </c>
    </row>
    <row r="433" spans="1:22" x14ac:dyDescent="0.25">
      <c r="A433" t="s">
        <v>453</v>
      </c>
      <c r="B433" s="2">
        <v>0.86599999999999999</v>
      </c>
      <c r="C433" s="8">
        <v>1E-3</v>
      </c>
      <c r="D433" s="8">
        <v>24.399000000000001</v>
      </c>
      <c r="E433" s="8">
        <v>6.5000000000000002E-2</v>
      </c>
      <c r="F433" s="8">
        <v>1.165</v>
      </c>
      <c r="G433" s="8">
        <v>4.8000000000000001E-2</v>
      </c>
      <c r="H433" s="8">
        <v>3.9E-2</v>
      </c>
      <c r="I433" s="8">
        <v>5.0999999999999997E-2</v>
      </c>
      <c r="J433" s="8">
        <v>0.12</v>
      </c>
      <c r="K433" s="8">
        <f t="shared" si="66"/>
        <v>0.28400000000000003</v>
      </c>
      <c r="L433" s="8">
        <f t="shared" si="67"/>
        <v>43.641185</v>
      </c>
      <c r="M433" s="1">
        <f t="shared" si="68"/>
        <v>5348.5615755097615</v>
      </c>
      <c r="N433" s="1">
        <f t="shared" si="69"/>
        <v>1.7235610220246095E+26</v>
      </c>
      <c r="O433" s="2">
        <f t="shared" si="70"/>
        <v>5585.6808669705852</v>
      </c>
      <c r="P433" s="2">
        <f t="shared" si="71"/>
        <v>43.735380595177134</v>
      </c>
      <c r="Q433" s="2">
        <f t="shared" si="72"/>
        <v>-9.4195595177133384E-2</v>
      </c>
      <c r="R433" s="2">
        <f t="shared" si="73"/>
        <v>0.11000806078623281</v>
      </c>
      <c r="S433" s="12">
        <v>5274.0447384482768</v>
      </c>
      <c r="T433" s="2">
        <f t="shared" si="74"/>
        <v>43.610719047441428</v>
      </c>
      <c r="U433" s="2">
        <f t="shared" si="75"/>
        <v>3.0465952558571985E-2</v>
      </c>
      <c r="V433" s="2">
        <f t="shared" si="76"/>
        <v>1.1507814239500579E-2</v>
      </c>
    </row>
    <row r="434" spans="1:22" x14ac:dyDescent="0.25">
      <c r="A434" t="s">
        <v>454</v>
      </c>
      <c r="B434" s="2">
        <v>0.86799999999999999</v>
      </c>
      <c r="C434" s="8">
        <v>1E-3</v>
      </c>
      <c r="D434" s="8">
        <v>24.359000000000002</v>
      </c>
      <c r="E434" s="8">
        <v>7.1999999999999995E-2</v>
      </c>
      <c r="F434" s="8">
        <v>1.036</v>
      </c>
      <c r="G434" s="8">
        <v>3.7999999999999999E-2</v>
      </c>
      <c r="H434" s="8">
        <v>-3.5999999999999997E-2</v>
      </c>
      <c r="I434" s="8">
        <v>5.3999999999999999E-2</v>
      </c>
      <c r="J434" s="8">
        <v>0.12</v>
      </c>
      <c r="K434" s="8">
        <f t="shared" si="66"/>
        <v>0.28399999999999997</v>
      </c>
      <c r="L434" s="8">
        <f t="shared" si="67"/>
        <v>43.816972000000007</v>
      </c>
      <c r="M434" s="1">
        <f t="shared" si="68"/>
        <v>5799.5513755352595</v>
      </c>
      <c r="N434" s="1">
        <f t="shared" si="69"/>
        <v>1.7281871386889505E+26</v>
      </c>
      <c r="O434" s="2">
        <f t="shared" si="70"/>
        <v>5600.6730900541806</v>
      </c>
      <c r="P434" s="2">
        <f t="shared" si="71"/>
        <v>43.741201118718635</v>
      </c>
      <c r="Q434" s="2">
        <f t="shared" si="72"/>
        <v>7.5770881281371771E-2</v>
      </c>
      <c r="R434" s="2">
        <f t="shared" si="73"/>
        <v>7.1181641169357962E-2</v>
      </c>
      <c r="S434" s="12">
        <v>5289.0719565462823</v>
      </c>
      <c r="T434" s="2">
        <f t="shared" si="74"/>
        <v>43.616897377653451</v>
      </c>
      <c r="U434" s="2">
        <f t="shared" si="75"/>
        <v>0.20007462234655549</v>
      </c>
      <c r="V434" s="2">
        <f t="shared" si="76"/>
        <v>0.49630349269882962</v>
      </c>
    </row>
    <row r="435" spans="1:22" x14ac:dyDescent="0.25">
      <c r="A435" t="s">
        <v>455</v>
      </c>
      <c r="B435" s="2">
        <v>0.87</v>
      </c>
      <c r="C435" s="8">
        <v>0.02</v>
      </c>
      <c r="D435" s="8">
        <v>24.395</v>
      </c>
      <c r="E435" s="8">
        <v>8.5999999999999993E-2</v>
      </c>
      <c r="F435" s="8">
        <v>0.879</v>
      </c>
      <c r="G435" s="8">
        <v>5.8999999999999997E-2</v>
      </c>
      <c r="H435" s="8">
        <v>-0.14699999999999999</v>
      </c>
      <c r="I435" s="8">
        <v>5.6000000000000001E-2</v>
      </c>
      <c r="J435" s="8">
        <v>0.12</v>
      </c>
      <c r="K435" s="8">
        <f t="shared" si="66"/>
        <v>0.32099999999999995</v>
      </c>
      <c r="L435" s="8">
        <f t="shared" si="67"/>
        <v>44.177323000000001</v>
      </c>
      <c r="M435" s="1">
        <f t="shared" si="68"/>
        <v>6846.4367447535506</v>
      </c>
      <c r="N435" s="1">
        <f t="shared" si="69"/>
        <v>1.7328153286242851E+26</v>
      </c>
      <c r="O435" s="2">
        <f t="shared" si="70"/>
        <v>5615.6720321514767</v>
      </c>
      <c r="P435" s="2">
        <f t="shared" si="71"/>
        <v>43.74700868045025</v>
      </c>
      <c r="Q435" s="2">
        <f t="shared" si="72"/>
        <v>0.43031431954975119</v>
      </c>
      <c r="R435" s="2">
        <f t="shared" si="73"/>
        <v>1.7970556730773715</v>
      </c>
      <c r="S435" s="12">
        <v>5304.1081801758701</v>
      </c>
      <c r="T435" s="2">
        <f t="shared" si="74"/>
        <v>43.623061865797986</v>
      </c>
      <c r="U435" s="2">
        <f t="shared" si="75"/>
        <v>0.55426113420201517</v>
      </c>
      <c r="V435" s="2">
        <f t="shared" si="76"/>
        <v>2.9813899795897205</v>
      </c>
    </row>
    <row r="436" spans="1:22" x14ac:dyDescent="0.25">
      <c r="A436" t="s">
        <v>456</v>
      </c>
      <c r="B436" s="2">
        <v>0.88</v>
      </c>
      <c r="C436" s="8">
        <v>0.01</v>
      </c>
      <c r="D436" s="8">
        <v>24.327000000000002</v>
      </c>
      <c r="E436" s="8">
        <v>6.3E-2</v>
      </c>
      <c r="F436" s="8">
        <v>1.181</v>
      </c>
      <c r="G436" s="8">
        <v>4.7E-2</v>
      </c>
      <c r="H436" s="8">
        <v>-6.0999999999999999E-2</v>
      </c>
      <c r="I436" s="8">
        <v>0.05</v>
      </c>
      <c r="J436" s="8">
        <v>0.12</v>
      </c>
      <c r="K436" s="8">
        <f t="shared" si="66"/>
        <v>0.28000000000000003</v>
      </c>
      <c r="L436" s="8">
        <f t="shared" si="67"/>
        <v>43.884537000000002</v>
      </c>
      <c r="M436" s="1">
        <f t="shared" si="68"/>
        <v>5982.8401571294798</v>
      </c>
      <c r="N436" s="1">
        <f t="shared" si="69"/>
        <v>1.7559872261898414E+26</v>
      </c>
      <c r="O436" s="2">
        <f t="shared" si="70"/>
        <v>5690.7670379153533</v>
      </c>
      <c r="P436" s="2">
        <f t="shared" si="71"/>
        <v>43.775854036617709</v>
      </c>
      <c r="Q436" s="2">
        <f t="shared" si="72"/>
        <v>0.108682963382293</v>
      </c>
      <c r="R436" s="2">
        <f t="shared" si="73"/>
        <v>0.15066309348924539</v>
      </c>
      <c r="S436" s="12">
        <v>5379.4236826154838</v>
      </c>
      <c r="T436" s="2">
        <f t="shared" si="74"/>
        <v>43.653678752991084</v>
      </c>
      <c r="U436" s="2">
        <f t="shared" si="75"/>
        <v>0.23085824700891777</v>
      </c>
      <c r="V436" s="2">
        <f t="shared" si="76"/>
        <v>0.67978992617385825</v>
      </c>
    </row>
    <row r="437" spans="1:22" x14ac:dyDescent="0.25">
      <c r="A437" t="s">
        <v>457</v>
      </c>
      <c r="B437" s="2">
        <v>0.89</v>
      </c>
      <c r="C437" s="8">
        <v>2E-3</v>
      </c>
      <c r="D437" s="8">
        <v>24.22</v>
      </c>
      <c r="E437" s="8">
        <v>6.4000000000000001E-2</v>
      </c>
      <c r="F437" s="8">
        <v>0.96</v>
      </c>
      <c r="G437" s="8">
        <v>4.5999999999999999E-2</v>
      </c>
      <c r="H437" s="8">
        <v>-0.151</v>
      </c>
      <c r="I437" s="8">
        <v>4.8000000000000001E-2</v>
      </c>
      <c r="J437" s="8">
        <v>0.12</v>
      </c>
      <c r="K437" s="8">
        <f t="shared" si="66"/>
        <v>0.27800000000000002</v>
      </c>
      <c r="L437" s="8">
        <f t="shared" si="67"/>
        <v>44.026749999999993</v>
      </c>
      <c r="M437" s="1">
        <f t="shared" si="68"/>
        <v>6387.7807311277284</v>
      </c>
      <c r="N437" s="1">
        <f t="shared" si="69"/>
        <v>1.7792103109210972E+26</v>
      </c>
      <c r="O437" s="2">
        <f t="shared" si="70"/>
        <v>5766.0279299857939</v>
      </c>
      <c r="P437" s="2">
        <f t="shared" si="71"/>
        <v>43.804383708652665</v>
      </c>
      <c r="Q437" s="2">
        <f t="shared" si="72"/>
        <v>0.22236629134732766</v>
      </c>
      <c r="R437" s="2">
        <f t="shared" si="73"/>
        <v>0.63980600806848242</v>
      </c>
      <c r="S437" s="12">
        <v>5454.9613457036457</v>
      </c>
      <c r="T437" s="2">
        <f t="shared" si="74"/>
        <v>43.683958387447575</v>
      </c>
      <c r="U437" s="2">
        <f t="shared" si="75"/>
        <v>0.34279161255241775</v>
      </c>
      <c r="V437" s="2">
        <f t="shared" si="76"/>
        <v>1.5204452362233689</v>
      </c>
    </row>
    <row r="438" spans="1:22" x14ac:dyDescent="0.25">
      <c r="A438" t="s">
        <v>458</v>
      </c>
      <c r="B438" s="2">
        <v>0.89100000000000001</v>
      </c>
      <c r="C438" s="8">
        <v>1E-3</v>
      </c>
      <c r="D438" s="8">
        <v>24.568000000000001</v>
      </c>
      <c r="E438" s="8">
        <v>6.8000000000000005E-2</v>
      </c>
      <c r="F438" s="8">
        <v>1.1319999999999999</v>
      </c>
      <c r="G438" s="8">
        <v>5.0999999999999997E-2</v>
      </c>
      <c r="H438" s="8">
        <v>-8.0000000000000002E-3</v>
      </c>
      <c r="I438" s="8">
        <v>5.0999999999999997E-2</v>
      </c>
      <c r="J438" s="8">
        <v>0.12</v>
      </c>
      <c r="K438" s="8">
        <f t="shared" si="66"/>
        <v>0.28999999999999998</v>
      </c>
      <c r="L438" s="8">
        <f t="shared" si="67"/>
        <v>43.952444</v>
      </c>
      <c r="M438" s="1">
        <f t="shared" si="68"/>
        <v>6172.8937243677319</v>
      </c>
      <c r="N438" s="1">
        <f t="shared" si="69"/>
        <v>1.7815354142382584E+26</v>
      </c>
      <c r="O438" s="2">
        <f t="shared" si="70"/>
        <v>5773.5630766655104</v>
      </c>
      <c r="P438" s="2">
        <f t="shared" si="71"/>
        <v>43.807219574400904</v>
      </c>
      <c r="Q438" s="2">
        <f t="shared" si="72"/>
        <v>0.14522442559909621</v>
      </c>
      <c r="R438" s="2">
        <f t="shared" si="73"/>
        <v>0.25077448026857824</v>
      </c>
      <c r="S438" s="12">
        <v>5462.5272364909588</v>
      </c>
      <c r="T438" s="2">
        <f t="shared" si="74"/>
        <v>43.686968077012061</v>
      </c>
      <c r="U438" s="2">
        <f t="shared" si="75"/>
        <v>0.26547592298793887</v>
      </c>
      <c r="V438" s="2">
        <f t="shared" si="76"/>
        <v>0.83801980602019088</v>
      </c>
    </row>
    <row r="439" spans="1:22" x14ac:dyDescent="0.25">
      <c r="A439" t="s">
        <v>459</v>
      </c>
      <c r="B439" s="2">
        <v>0.89900000000000002</v>
      </c>
      <c r="C439" s="8">
        <v>1E-3</v>
      </c>
      <c r="D439" s="8">
        <v>24.314</v>
      </c>
      <c r="E439" s="8">
        <v>7.4999999999999997E-2</v>
      </c>
      <c r="F439" s="8">
        <v>1.1459999999999999</v>
      </c>
      <c r="G439" s="8">
        <v>4.3999999999999997E-2</v>
      </c>
      <c r="H439" s="8">
        <v>-4.2999999999999997E-2</v>
      </c>
      <c r="I439" s="8">
        <v>5.0999999999999997E-2</v>
      </c>
      <c r="J439" s="8">
        <v>0.12</v>
      </c>
      <c r="K439" s="8">
        <f t="shared" si="66"/>
        <v>0.28999999999999998</v>
      </c>
      <c r="L439" s="8">
        <f t="shared" si="67"/>
        <v>43.810051999999999</v>
      </c>
      <c r="M439" s="1">
        <f t="shared" si="68"/>
        <v>5781.098911710229</v>
      </c>
      <c r="N439" s="1">
        <f t="shared" si="69"/>
        <v>1.800154414404668E+26</v>
      </c>
      <c r="O439" s="2">
        <f t="shared" si="70"/>
        <v>5833.9031468241346</v>
      </c>
      <c r="P439" s="2">
        <f t="shared" si="71"/>
        <v>43.829796073920861</v>
      </c>
      <c r="Q439" s="2">
        <f t="shared" si="72"/>
        <v>-1.9744073920861638E-2</v>
      </c>
      <c r="R439" s="2">
        <f t="shared" si="73"/>
        <v>4.6352967299934447E-3</v>
      </c>
      <c r="S439" s="12">
        <v>5523.1331703919477</v>
      </c>
      <c r="T439" s="2">
        <f t="shared" si="74"/>
        <v>43.710927573957534</v>
      </c>
      <c r="U439" s="2">
        <f t="shared" si="75"/>
        <v>9.9124426042465075E-2</v>
      </c>
      <c r="V439" s="2">
        <f t="shared" si="76"/>
        <v>0.11683295883767097</v>
      </c>
    </row>
    <row r="440" spans="1:22" x14ac:dyDescent="0.25">
      <c r="A440" t="s">
        <v>460</v>
      </c>
      <c r="B440" s="2">
        <v>0.90100000000000002</v>
      </c>
      <c r="C440" s="8">
        <v>1E-3</v>
      </c>
      <c r="D440" s="8">
        <v>24.417000000000002</v>
      </c>
      <c r="E440" s="8">
        <v>7.2999999999999995E-2</v>
      </c>
      <c r="F440" s="8">
        <v>1.1180000000000001</v>
      </c>
      <c r="G440" s="8">
        <v>4.1000000000000002E-2</v>
      </c>
      <c r="H440" s="8">
        <v>-9.5000000000000001E-2</v>
      </c>
      <c r="I440" s="8">
        <v>4.8000000000000001E-2</v>
      </c>
      <c r="J440" s="8">
        <v>0.12</v>
      </c>
      <c r="K440" s="8">
        <f t="shared" si="66"/>
        <v>0.28199999999999997</v>
      </c>
      <c r="L440" s="8">
        <f t="shared" si="67"/>
        <v>44.071696000000003</v>
      </c>
      <c r="M440" s="1">
        <f t="shared" si="68"/>
        <v>6521.3753866240604</v>
      </c>
      <c r="N440" s="1">
        <f t="shared" si="69"/>
        <v>1.8048141935347234E+26</v>
      </c>
      <c r="O440" s="2">
        <f t="shared" si="70"/>
        <v>5849.0044625295022</v>
      </c>
      <c r="P440" s="2">
        <f t="shared" si="71"/>
        <v>43.835409763553827</v>
      </c>
      <c r="Q440" s="2">
        <f t="shared" si="72"/>
        <v>0.23628623644617619</v>
      </c>
      <c r="R440" s="2">
        <f t="shared" si="73"/>
        <v>0.70206711852897608</v>
      </c>
      <c r="S440" s="12">
        <v>5538.3064567078445</v>
      </c>
      <c r="T440" s="2">
        <f t="shared" si="74"/>
        <v>43.716884916649462</v>
      </c>
      <c r="U440" s="2">
        <f t="shared" si="75"/>
        <v>0.35481108335054046</v>
      </c>
      <c r="V440" s="2">
        <f t="shared" si="76"/>
        <v>1.5830554910264096</v>
      </c>
    </row>
    <row r="441" spans="1:22" x14ac:dyDescent="0.25">
      <c r="A441" t="s">
        <v>461</v>
      </c>
      <c r="B441" s="2">
        <v>0.91</v>
      </c>
      <c r="C441" s="8">
        <v>0.02</v>
      </c>
      <c r="D441" s="8">
        <v>24.666</v>
      </c>
      <c r="E441" s="8">
        <v>7.9000000000000001E-2</v>
      </c>
      <c r="F441" s="8">
        <v>0.94</v>
      </c>
      <c r="G441" s="8">
        <v>4.4999999999999998E-2</v>
      </c>
      <c r="H441" s="8">
        <v>-0.11</v>
      </c>
      <c r="I441" s="8">
        <v>4.9000000000000002E-2</v>
      </c>
      <c r="J441" s="8">
        <v>0.12</v>
      </c>
      <c r="K441" s="8">
        <f t="shared" si="66"/>
        <v>0.29299999999999998</v>
      </c>
      <c r="L441" s="8">
        <f t="shared" si="67"/>
        <v>44.341480000000004</v>
      </c>
      <c r="M441" s="1">
        <f t="shared" si="68"/>
        <v>7384.073313927659</v>
      </c>
      <c r="N441" s="1">
        <f t="shared" si="69"/>
        <v>1.8258079310697503E+26</v>
      </c>
      <c r="O441" s="2">
        <f t="shared" si="70"/>
        <v>5917.0405323739315</v>
      </c>
      <c r="P441" s="2">
        <f t="shared" si="71"/>
        <v>43.860522721259187</v>
      </c>
      <c r="Q441" s="2">
        <f t="shared" si="72"/>
        <v>0.48095727874081717</v>
      </c>
      <c r="R441" s="2">
        <f t="shared" si="73"/>
        <v>2.6944973613411003</v>
      </c>
      <c r="S441" s="12">
        <v>5606.6934211630796</v>
      </c>
      <c r="T441" s="2">
        <f t="shared" si="74"/>
        <v>43.743534045752568</v>
      </c>
      <c r="U441" s="2">
        <f t="shared" si="75"/>
        <v>0.59794595424743591</v>
      </c>
      <c r="V441" s="2">
        <f t="shared" si="76"/>
        <v>4.1647469883269084</v>
      </c>
    </row>
    <row r="442" spans="1:22" x14ac:dyDescent="0.25">
      <c r="A442" t="s">
        <v>462</v>
      </c>
      <c r="B442" s="2">
        <v>0.91500000000000004</v>
      </c>
      <c r="C442" s="8">
        <v>1.4E-2</v>
      </c>
      <c r="D442" s="8">
        <v>24.366</v>
      </c>
      <c r="E442" s="8">
        <v>7.0000000000000007E-2</v>
      </c>
      <c r="F442" s="8">
        <v>1.004</v>
      </c>
      <c r="G442" s="8">
        <v>3.4000000000000002E-2</v>
      </c>
      <c r="H442" s="8">
        <v>-0.124</v>
      </c>
      <c r="I442" s="8">
        <v>4.3999999999999997E-2</v>
      </c>
      <c r="J442" s="8">
        <v>0.12</v>
      </c>
      <c r="K442" s="8">
        <f t="shared" si="66"/>
        <v>0.26800000000000002</v>
      </c>
      <c r="L442" s="8">
        <f t="shared" si="67"/>
        <v>44.094707999999997</v>
      </c>
      <c r="M442" s="1">
        <f t="shared" si="68"/>
        <v>6590.8526145107353</v>
      </c>
      <c r="N442" s="1">
        <f t="shared" si="69"/>
        <v>1.8374885094899956E+26</v>
      </c>
      <c r="O442" s="2">
        <f t="shared" si="70"/>
        <v>5954.8947090252886</v>
      </c>
      <c r="P442" s="2">
        <f t="shared" si="71"/>
        <v>43.874370434724909</v>
      </c>
      <c r="Q442" s="2">
        <f t="shared" si="72"/>
        <v>0.22033756527508785</v>
      </c>
      <c r="R442" s="2">
        <f t="shared" si="73"/>
        <v>0.67593899909993305</v>
      </c>
      <c r="S442" s="12">
        <v>5644.7615189011212</v>
      </c>
      <c r="T442" s="2">
        <f t="shared" si="74"/>
        <v>43.758227992409367</v>
      </c>
      <c r="U442" s="2">
        <f t="shared" si="75"/>
        <v>0.33648000759063024</v>
      </c>
      <c r="V442" s="2">
        <f t="shared" si="76"/>
        <v>1.576336538040078</v>
      </c>
    </row>
    <row r="443" spans="1:22" x14ac:dyDescent="0.25">
      <c r="A443" t="s">
        <v>463</v>
      </c>
      <c r="B443" s="2">
        <v>0.92</v>
      </c>
      <c r="C443" s="8">
        <v>0.02</v>
      </c>
      <c r="D443" s="8">
        <v>24.4</v>
      </c>
      <c r="E443" s="8">
        <v>8.5999999999999993E-2</v>
      </c>
      <c r="F443" s="8">
        <v>0.97199999999999998</v>
      </c>
      <c r="G443" s="8">
        <v>5.8999999999999997E-2</v>
      </c>
      <c r="H443" s="8">
        <v>-0.111</v>
      </c>
      <c r="I443" s="8">
        <v>5.3999999999999999E-2</v>
      </c>
      <c r="J443" s="8">
        <v>0.12</v>
      </c>
      <c r="K443" s="8">
        <f t="shared" si="66"/>
        <v>0.31899999999999995</v>
      </c>
      <c r="L443" s="8">
        <f t="shared" si="67"/>
        <v>44.083314000000001</v>
      </c>
      <c r="M443" s="1">
        <f t="shared" si="68"/>
        <v>6556.3601204885708</v>
      </c>
      <c r="N443" s="1">
        <f t="shared" si="69"/>
        <v>1.8491814291536807E+26</v>
      </c>
      <c r="O443" s="2">
        <f t="shared" si="70"/>
        <v>5992.7888809228116</v>
      </c>
      <c r="P443" s="2">
        <f t="shared" si="71"/>
        <v>43.888144891348048</v>
      </c>
      <c r="Q443" s="2">
        <f t="shared" si="72"/>
        <v>0.19516910865195314</v>
      </c>
      <c r="R443" s="2">
        <f t="shared" si="73"/>
        <v>0.37431806853311095</v>
      </c>
      <c r="S443" s="12">
        <v>5682.8830593695784</v>
      </c>
      <c r="T443" s="2">
        <f t="shared" si="74"/>
        <v>43.772843596787936</v>
      </c>
      <c r="U443" s="2">
        <f t="shared" si="75"/>
        <v>0.31047040321206509</v>
      </c>
      <c r="V443" s="2">
        <f t="shared" si="76"/>
        <v>0.9472378540959927</v>
      </c>
    </row>
    <row r="444" spans="1:22" x14ac:dyDescent="0.25">
      <c r="A444" t="s">
        <v>464</v>
      </c>
      <c r="B444" s="2">
        <v>0.92</v>
      </c>
      <c r="C444" s="8">
        <v>0.01</v>
      </c>
      <c r="D444" s="8">
        <v>24.672000000000001</v>
      </c>
      <c r="E444" s="8">
        <v>8.4000000000000005E-2</v>
      </c>
      <c r="F444" s="8">
        <v>0.98299999999999998</v>
      </c>
      <c r="G444" s="8">
        <v>7.1999999999999995E-2</v>
      </c>
      <c r="H444" s="8">
        <v>1.4E-2</v>
      </c>
      <c r="I444" s="8">
        <v>7.2999999999999995E-2</v>
      </c>
      <c r="J444" s="8">
        <v>0.12</v>
      </c>
      <c r="K444" s="8">
        <f t="shared" si="66"/>
        <v>0.34899999999999998</v>
      </c>
      <c r="L444" s="8">
        <f t="shared" si="67"/>
        <v>43.965681000000004</v>
      </c>
      <c r="M444" s="1">
        <f t="shared" si="68"/>
        <v>6210.6377680051455</v>
      </c>
      <c r="N444" s="1">
        <f t="shared" si="69"/>
        <v>1.8491814291536807E+26</v>
      </c>
      <c r="O444" s="2">
        <f t="shared" si="70"/>
        <v>5992.7888809228116</v>
      </c>
      <c r="P444" s="2">
        <f t="shared" si="71"/>
        <v>43.888144891348048</v>
      </c>
      <c r="Q444" s="2">
        <f t="shared" si="72"/>
        <v>7.753610865195526E-2</v>
      </c>
      <c r="R444" s="2">
        <f t="shared" si="73"/>
        <v>4.9357953915713439E-2</v>
      </c>
      <c r="S444" s="12">
        <v>5682.8830593695784</v>
      </c>
      <c r="T444" s="2">
        <f t="shared" si="74"/>
        <v>43.772843596787936</v>
      </c>
      <c r="U444" s="2">
        <f t="shared" si="75"/>
        <v>0.19283740321206722</v>
      </c>
      <c r="V444" s="2">
        <f t="shared" si="76"/>
        <v>0.30530343821129052</v>
      </c>
    </row>
    <row r="445" spans="1:22" x14ac:dyDescent="0.25">
      <c r="A445" t="s">
        <v>465</v>
      </c>
      <c r="B445" s="2">
        <v>0.92400000000000004</v>
      </c>
      <c r="C445" s="8">
        <v>1E-3</v>
      </c>
      <c r="D445" s="8">
        <v>24.821999999999999</v>
      </c>
      <c r="E445" s="8">
        <v>7.4999999999999997E-2</v>
      </c>
      <c r="F445" s="8">
        <v>1.103</v>
      </c>
      <c r="G445" s="8">
        <v>6.8000000000000005E-2</v>
      </c>
      <c r="H445" s="8">
        <v>3.3000000000000002E-2</v>
      </c>
      <c r="I445" s="8">
        <v>5.5E-2</v>
      </c>
      <c r="J445" s="8">
        <v>0.12</v>
      </c>
      <c r="K445" s="8">
        <f t="shared" si="66"/>
        <v>0.318</v>
      </c>
      <c r="L445" s="8">
        <f t="shared" si="67"/>
        <v>44.073850999999998</v>
      </c>
      <c r="M445" s="1">
        <f t="shared" si="68"/>
        <v>6527.8505044666808</v>
      </c>
      <c r="N445" s="1">
        <f t="shared" si="69"/>
        <v>1.8585446080355365E+26</v>
      </c>
      <c r="O445" s="2">
        <f t="shared" si="70"/>
        <v>6023.1328771411581</v>
      </c>
      <c r="P445" s="2">
        <f t="shared" si="71"/>
        <v>43.899112221525009</v>
      </c>
      <c r="Q445" s="2">
        <f t="shared" si="72"/>
        <v>0.17473877847498898</v>
      </c>
      <c r="R445" s="2">
        <f t="shared" si="73"/>
        <v>0.30194257251425249</v>
      </c>
      <c r="S445" s="12">
        <v>5713.4185752268395</v>
      </c>
      <c r="T445" s="2">
        <f t="shared" si="74"/>
        <v>43.784480212069042</v>
      </c>
      <c r="U445" s="2">
        <f t="shared" si="75"/>
        <v>0.28937078793095594</v>
      </c>
      <c r="V445" s="2">
        <f t="shared" si="76"/>
        <v>0.82804727767673625</v>
      </c>
    </row>
    <row r="446" spans="1:22" x14ac:dyDescent="0.25">
      <c r="A446" t="s">
        <v>466</v>
      </c>
      <c r="B446" s="2">
        <v>0.92700000000000005</v>
      </c>
      <c r="C446" s="8">
        <v>1E-3</v>
      </c>
      <c r="D446" s="8">
        <v>24.704999999999998</v>
      </c>
      <c r="E446" s="8">
        <v>9.8000000000000004E-2</v>
      </c>
      <c r="F446" s="8">
        <v>1.103</v>
      </c>
      <c r="G446" s="8">
        <v>7.0000000000000007E-2</v>
      </c>
      <c r="H446" s="8">
        <v>-3.2000000000000001E-2</v>
      </c>
      <c r="I446" s="8">
        <v>5.8000000000000003E-2</v>
      </c>
      <c r="J446" s="8">
        <v>0.12</v>
      </c>
      <c r="K446" s="8">
        <f t="shared" si="66"/>
        <v>0.34599999999999997</v>
      </c>
      <c r="L446" s="8">
        <f t="shared" si="67"/>
        <v>44.160300999999997</v>
      </c>
      <c r="M446" s="1">
        <f t="shared" si="68"/>
        <v>6792.9778737710039</v>
      </c>
      <c r="N446" s="1">
        <f t="shared" si="69"/>
        <v>1.8655721295529888E+26</v>
      </c>
      <c r="O446" s="2">
        <f t="shared" si="70"/>
        <v>6045.9075233420499</v>
      </c>
      <c r="P446" s="2">
        <f t="shared" si="71"/>
        <v>43.907307500175406</v>
      </c>
      <c r="Q446" s="2">
        <f t="shared" si="72"/>
        <v>0.25299349982459063</v>
      </c>
      <c r="R446" s="2">
        <f t="shared" si="73"/>
        <v>0.53464625408044997</v>
      </c>
      <c r="S446" s="12">
        <v>5736.3424471420267</v>
      </c>
      <c r="T446" s="2">
        <f t="shared" si="74"/>
        <v>43.793175349338483</v>
      </c>
      <c r="U446" s="2">
        <f t="shared" si="75"/>
        <v>0.3671256506615137</v>
      </c>
      <c r="V446" s="2">
        <f t="shared" si="76"/>
        <v>1.1258415197103129</v>
      </c>
    </row>
    <row r="447" spans="1:22" x14ac:dyDescent="0.25">
      <c r="A447" t="s">
        <v>467</v>
      </c>
      <c r="B447" s="2">
        <v>0.93</v>
      </c>
      <c r="C447" s="8">
        <v>1E-3</v>
      </c>
      <c r="D447" s="8">
        <v>24.876000000000001</v>
      </c>
      <c r="E447" s="8">
        <v>0.11899999999999999</v>
      </c>
      <c r="F447" s="8">
        <v>1.1659999999999999</v>
      </c>
      <c r="G447" s="8">
        <v>0.17199999999999999</v>
      </c>
      <c r="H447" s="8">
        <v>5.0999999999999997E-2</v>
      </c>
      <c r="I447" s="8">
        <v>7.9000000000000001E-2</v>
      </c>
      <c r="J447" s="8">
        <v>0.12</v>
      </c>
      <c r="K447" s="8">
        <f t="shared" si="66"/>
        <v>0.49</v>
      </c>
      <c r="L447" s="8">
        <f t="shared" si="67"/>
        <v>44.080771999999996</v>
      </c>
      <c r="M447" s="1">
        <f t="shared" si="68"/>
        <v>6548.6895113171604</v>
      </c>
      <c r="N447" s="1">
        <f t="shared" si="69"/>
        <v>1.87260403948966E+26</v>
      </c>
      <c r="O447" s="2">
        <f t="shared" si="70"/>
        <v>6068.6963914410662</v>
      </c>
      <c r="P447" s="2">
        <f t="shared" si="71"/>
        <v>43.91547705438262</v>
      </c>
      <c r="Q447" s="2">
        <f t="shared" si="72"/>
        <v>0.16529494561737579</v>
      </c>
      <c r="R447" s="2">
        <f t="shared" si="73"/>
        <v>0.11379599769534036</v>
      </c>
      <c r="S447" s="12">
        <v>5759.2853087515059</v>
      </c>
      <c r="T447" s="2">
        <f t="shared" si="74"/>
        <v>43.801842967703564</v>
      </c>
      <c r="U447" s="2">
        <f t="shared" si="75"/>
        <v>0.27892903229643196</v>
      </c>
      <c r="V447" s="2">
        <f t="shared" si="76"/>
        <v>0.32403750544699705</v>
      </c>
    </row>
    <row r="448" spans="1:22" x14ac:dyDescent="0.25">
      <c r="A448" t="s">
        <v>468</v>
      </c>
      <c r="B448" s="2">
        <v>0.93</v>
      </c>
      <c r="C448" s="8">
        <v>0.02</v>
      </c>
      <c r="D448" s="8">
        <v>24.765000000000001</v>
      </c>
      <c r="E448" s="8">
        <v>0.112</v>
      </c>
      <c r="F448" s="8">
        <v>1.022</v>
      </c>
      <c r="G448" s="8">
        <v>5.5E-2</v>
      </c>
      <c r="H448" s="8">
        <v>-7.5999999999999998E-2</v>
      </c>
      <c r="I448" s="8">
        <v>5.8000000000000003E-2</v>
      </c>
      <c r="J448" s="8">
        <v>0.12</v>
      </c>
      <c r="K448" s="8">
        <f t="shared" si="66"/>
        <v>0.34499999999999997</v>
      </c>
      <c r="L448" s="8">
        <f t="shared" si="67"/>
        <v>44.346114</v>
      </c>
      <c r="M448" s="1">
        <f t="shared" si="68"/>
        <v>7399.8480171078709</v>
      </c>
      <c r="N448" s="1">
        <f t="shared" si="69"/>
        <v>1.87260403948966E+26</v>
      </c>
      <c r="O448" s="2">
        <f t="shared" si="70"/>
        <v>6068.6963914410662</v>
      </c>
      <c r="P448" s="2">
        <f t="shared" si="71"/>
        <v>43.91547705438262</v>
      </c>
      <c r="Q448" s="2">
        <f t="shared" si="72"/>
        <v>0.43063694561737975</v>
      </c>
      <c r="R448" s="2">
        <f t="shared" si="73"/>
        <v>1.5580607345571613</v>
      </c>
      <c r="S448" s="12">
        <v>5759.2853087515059</v>
      </c>
      <c r="T448" s="2">
        <f t="shared" si="74"/>
        <v>43.801842967703564</v>
      </c>
      <c r="U448" s="2">
        <f t="shared" si="75"/>
        <v>0.54427103229643592</v>
      </c>
      <c r="V448" s="2">
        <f t="shared" si="76"/>
        <v>2.4888129098679102</v>
      </c>
    </row>
    <row r="449" spans="1:22" x14ac:dyDescent="0.25">
      <c r="A449" t="s">
        <v>469</v>
      </c>
      <c r="B449" s="2">
        <v>0.93400000000000005</v>
      </c>
      <c r="C449" s="8">
        <v>1E-3</v>
      </c>
      <c r="D449" s="8">
        <v>24.43</v>
      </c>
      <c r="E449" s="8">
        <v>7.4999999999999997E-2</v>
      </c>
      <c r="F449" s="8">
        <v>1.03</v>
      </c>
      <c r="G449" s="8">
        <v>3.6999999999999998E-2</v>
      </c>
      <c r="H449" s="8">
        <v>-0.16600000000000001</v>
      </c>
      <c r="I449" s="8">
        <v>4.3999999999999997E-2</v>
      </c>
      <c r="J449" s="8">
        <v>0.12</v>
      </c>
      <c r="K449" s="8">
        <f t="shared" si="66"/>
        <v>0.27599999999999997</v>
      </c>
      <c r="L449" s="8">
        <f t="shared" si="67"/>
        <v>44.293990000000001</v>
      </c>
      <c r="M449" s="1">
        <f t="shared" si="68"/>
        <v>7224.3370549853389</v>
      </c>
      <c r="N449" s="1">
        <f t="shared" si="69"/>
        <v>1.8819867225684858E+26</v>
      </c>
      <c r="O449" s="2">
        <f t="shared" si="70"/>
        <v>6099.103596457041</v>
      </c>
      <c r="P449" s="2">
        <f t="shared" si="71"/>
        <v>43.926330050693679</v>
      </c>
      <c r="Q449" s="2">
        <f t="shared" si="72"/>
        <v>0.36765994930632218</v>
      </c>
      <c r="R449" s="2">
        <f t="shared" si="73"/>
        <v>1.7744937818200934</v>
      </c>
      <c r="S449" s="12">
        <v>5789.9052238216927</v>
      </c>
      <c r="T449" s="2">
        <f t="shared" si="74"/>
        <v>43.813357273638786</v>
      </c>
      <c r="U449" s="2">
        <f t="shared" si="75"/>
        <v>0.48063272636121468</v>
      </c>
      <c r="V449" s="2">
        <f t="shared" si="76"/>
        <v>3.0325537918690184</v>
      </c>
    </row>
    <row r="450" spans="1:22" x14ac:dyDescent="0.25">
      <c r="A450" t="s">
        <v>470</v>
      </c>
      <c r="B450" s="2">
        <v>0.93500000000000005</v>
      </c>
      <c r="C450" s="8">
        <v>0.01</v>
      </c>
      <c r="D450" s="8">
        <v>24.472999999999999</v>
      </c>
      <c r="E450" s="8">
        <v>7.0000000000000007E-2</v>
      </c>
      <c r="F450" s="8">
        <v>1.036</v>
      </c>
      <c r="G450" s="8">
        <v>3.2000000000000001E-2</v>
      </c>
      <c r="H450" s="8">
        <v>-2.8000000000000001E-2</v>
      </c>
      <c r="I450" s="8">
        <v>0.05</v>
      </c>
      <c r="J450" s="8">
        <v>0.12</v>
      </c>
      <c r="K450" s="8">
        <f t="shared" si="66"/>
        <v>0.27200000000000002</v>
      </c>
      <c r="L450" s="8">
        <f t="shared" si="67"/>
        <v>43.905932</v>
      </c>
      <c r="M450" s="1">
        <f t="shared" si="68"/>
        <v>6042.0790088818667</v>
      </c>
      <c r="N450" s="1">
        <f t="shared" si="69"/>
        <v>1.8843336048774276E+26</v>
      </c>
      <c r="O450" s="2">
        <f t="shared" si="70"/>
        <v>6106.7093240422992</v>
      </c>
      <c r="P450" s="2">
        <f t="shared" si="71"/>
        <v>43.929036241563693</v>
      </c>
      <c r="Q450" s="2">
        <f t="shared" si="72"/>
        <v>-2.3104241563693506E-2</v>
      </c>
      <c r="R450" s="2">
        <f t="shared" si="73"/>
        <v>7.2151543338222117E-3</v>
      </c>
      <c r="S450" s="12">
        <v>5797.5654433038135</v>
      </c>
      <c r="T450" s="2">
        <f t="shared" si="74"/>
        <v>43.816228298413264</v>
      </c>
      <c r="U450" s="2">
        <f t="shared" si="75"/>
        <v>8.9703701586735463E-2</v>
      </c>
      <c r="V450" s="2">
        <f t="shared" si="76"/>
        <v>0.10876343639654634</v>
      </c>
    </row>
    <row r="451" spans="1:22" x14ac:dyDescent="0.25">
      <c r="A451" t="s">
        <v>471</v>
      </c>
      <c r="B451" s="2">
        <v>0.93600000000000005</v>
      </c>
      <c r="C451" s="8">
        <v>1.4E-2</v>
      </c>
      <c r="D451" s="8">
        <v>24.811</v>
      </c>
      <c r="E451" s="8">
        <v>9.9000000000000005E-2</v>
      </c>
      <c r="F451" s="8">
        <v>1.081</v>
      </c>
      <c r="G451" s="8">
        <v>6.6000000000000003E-2</v>
      </c>
      <c r="H451" s="8">
        <v>2.8000000000000001E-2</v>
      </c>
      <c r="I451" s="8">
        <v>6.5000000000000002E-2</v>
      </c>
      <c r="J451" s="8">
        <v>0.12</v>
      </c>
      <c r="K451" s="8">
        <f t="shared" si="66"/>
        <v>0.35</v>
      </c>
      <c r="L451" s="8">
        <f t="shared" si="67"/>
        <v>44.075266999999997</v>
      </c>
      <c r="M451" s="1">
        <f t="shared" si="68"/>
        <v>6532.1086524011771</v>
      </c>
      <c r="N451" s="1">
        <f t="shared" si="69"/>
        <v>1.8866809708117046E+26</v>
      </c>
      <c r="O451" s="2">
        <f t="shared" si="70"/>
        <v>6114.3166189505282</v>
      </c>
      <c r="P451" s="2">
        <f t="shared" si="71"/>
        <v>43.931739620676851</v>
      </c>
      <c r="Q451" s="2">
        <f t="shared" si="72"/>
        <v>0.14352737932314596</v>
      </c>
      <c r="R451" s="2">
        <f t="shared" si="73"/>
        <v>0.16816415196220597</v>
      </c>
      <c r="S451" s="12">
        <v>5805.2277545379493</v>
      </c>
      <c r="T451" s="2">
        <f t="shared" si="74"/>
        <v>43.819096314687116</v>
      </c>
      <c r="U451" s="2">
        <f t="shared" si="75"/>
        <v>0.25617068531288112</v>
      </c>
      <c r="V451" s="2">
        <f t="shared" si="76"/>
        <v>0.5357013878667034</v>
      </c>
    </row>
    <row r="452" spans="1:22" x14ac:dyDescent="0.25">
      <c r="A452" t="s">
        <v>472</v>
      </c>
      <c r="B452" s="2">
        <v>0.93600000000000005</v>
      </c>
      <c r="C452" s="8">
        <v>1E-3</v>
      </c>
      <c r="D452" s="8">
        <v>24.494</v>
      </c>
      <c r="E452" s="8">
        <v>7.0000000000000007E-2</v>
      </c>
      <c r="F452" s="8">
        <v>0.96699999999999997</v>
      </c>
      <c r="G452" s="8">
        <v>3.3000000000000002E-2</v>
      </c>
      <c r="H452" s="8">
        <v>-8.3000000000000004E-2</v>
      </c>
      <c r="I452" s="8">
        <v>4.3999999999999997E-2</v>
      </c>
      <c r="J452" s="8">
        <v>0.12</v>
      </c>
      <c r="K452" s="8">
        <f t="shared" si="66"/>
        <v>0.26700000000000002</v>
      </c>
      <c r="L452" s="8">
        <f t="shared" si="67"/>
        <v>44.088938999999996</v>
      </c>
      <c r="M452" s="1">
        <f t="shared" si="68"/>
        <v>6573.3657859996447</v>
      </c>
      <c r="N452" s="1">
        <f t="shared" si="69"/>
        <v>1.8866809708117046E+26</v>
      </c>
      <c r="O452" s="2">
        <f t="shared" si="70"/>
        <v>6114.3166189505282</v>
      </c>
      <c r="P452" s="2">
        <f t="shared" si="71"/>
        <v>43.931739620676851</v>
      </c>
      <c r="Q452" s="2">
        <f t="shared" si="72"/>
        <v>0.15719937932314565</v>
      </c>
      <c r="R452" s="2">
        <f t="shared" si="73"/>
        <v>0.34664036330404735</v>
      </c>
      <c r="S452" s="12">
        <v>5805.2277545379493</v>
      </c>
      <c r="T452" s="2">
        <f t="shared" si="74"/>
        <v>43.819096314687116</v>
      </c>
      <c r="U452" s="2">
        <f t="shared" si="75"/>
        <v>0.2698426853128808</v>
      </c>
      <c r="V452" s="2">
        <f t="shared" si="76"/>
        <v>1.0214068764727575</v>
      </c>
    </row>
    <row r="453" spans="1:22" x14ac:dyDescent="0.25">
      <c r="A453" t="s">
        <v>473</v>
      </c>
      <c r="B453" s="2">
        <v>0.94899999999999995</v>
      </c>
      <c r="C453" s="8">
        <v>1.4E-2</v>
      </c>
      <c r="D453" s="8">
        <v>24.463999999999999</v>
      </c>
      <c r="E453" s="8">
        <v>8.2000000000000003E-2</v>
      </c>
      <c r="F453" s="8">
        <v>0.94699999999999995</v>
      </c>
      <c r="G453" s="8">
        <v>7.3999999999999996E-2</v>
      </c>
      <c r="H453" s="8">
        <v>1.9E-2</v>
      </c>
      <c r="I453" s="8">
        <v>5.5E-2</v>
      </c>
      <c r="J453" s="8">
        <v>0.12</v>
      </c>
      <c r="K453" s="8">
        <f t="shared" si="66"/>
        <v>0.33099999999999996</v>
      </c>
      <c r="L453" s="8">
        <f t="shared" si="67"/>
        <v>43.736739</v>
      </c>
      <c r="M453" s="1">
        <f t="shared" si="68"/>
        <v>5589.1761863572274</v>
      </c>
      <c r="N453" s="1">
        <f t="shared" si="69"/>
        <v>1.9172405140077388E+26</v>
      </c>
      <c r="O453" s="2">
        <f t="shared" si="70"/>
        <v>6213.3533536829827</v>
      </c>
      <c r="P453" s="2">
        <f t="shared" si="71"/>
        <v>43.966630263310201</v>
      </c>
      <c r="Q453" s="2">
        <f t="shared" si="72"/>
        <v>-0.2298912633102006</v>
      </c>
      <c r="R453" s="2">
        <f t="shared" si="73"/>
        <v>0.48237961451940009</v>
      </c>
      <c r="S453" s="12">
        <v>5905.0271260194913</v>
      </c>
      <c r="T453" s="2">
        <f t="shared" si="74"/>
        <v>43.85610948489883</v>
      </c>
      <c r="U453" s="2">
        <f t="shared" si="75"/>
        <v>-0.1193704848988304</v>
      </c>
      <c r="V453" s="2">
        <f t="shared" si="76"/>
        <v>0.13005825672439919</v>
      </c>
    </row>
    <row r="454" spans="1:22" x14ac:dyDescent="0.25">
      <c r="A454" t="s">
        <v>474</v>
      </c>
      <c r="B454" s="2">
        <v>0.95</v>
      </c>
      <c r="C454" s="8">
        <v>0.02</v>
      </c>
      <c r="D454" s="8">
        <v>24.734000000000002</v>
      </c>
      <c r="E454" s="8">
        <v>7.8E-2</v>
      </c>
      <c r="F454" s="8">
        <v>1.0389999999999999</v>
      </c>
      <c r="G454" s="8">
        <v>0.05</v>
      </c>
      <c r="H454" s="8">
        <v>2.1999999999999999E-2</v>
      </c>
      <c r="I454" s="8">
        <v>0.05</v>
      </c>
      <c r="J454" s="8">
        <v>0.12</v>
      </c>
      <c r="K454" s="8">
        <f t="shared" si="66"/>
        <v>0.29799999999999999</v>
      </c>
      <c r="L454" s="8">
        <f t="shared" si="67"/>
        <v>44.010873000000004</v>
      </c>
      <c r="M454" s="1">
        <f t="shared" si="68"/>
        <v>6341.2459799005255</v>
      </c>
      <c r="N454" s="1">
        <f t="shared" si="69"/>
        <v>1.9195945991312415E+26</v>
      </c>
      <c r="O454" s="2">
        <f t="shared" si="70"/>
        <v>6220.9824240005064</v>
      </c>
      <c r="P454" s="2">
        <f t="shared" si="71"/>
        <v>43.96929487171063</v>
      </c>
      <c r="Q454" s="2">
        <f t="shared" si="72"/>
        <v>4.157812828937324E-2</v>
      </c>
      <c r="R454" s="2">
        <f t="shared" si="73"/>
        <v>1.9466924373311781E-2</v>
      </c>
      <c r="S454" s="12">
        <v>5912.7184859544232</v>
      </c>
      <c r="T454" s="2">
        <f t="shared" si="74"/>
        <v>43.858936010159553</v>
      </c>
      <c r="U454" s="2">
        <f t="shared" si="75"/>
        <v>0.15193698984045056</v>
      </c>
      <c r="V454" s="2">
        <f t="shared" si="76"/>
        <v>0.25995280484862371</v>
      </c>
    </row>
    <row r="455" spans="1:22" x14ac:dyDescent="0.25">
      <c r="A455" t="s">
        <v>475</v>
      </c>
      <c r="B455" s="2">
        <v>0.95</v>
      </c>
      <c r="C455" s="8">
        <v>0.02</v>
      </c>
      <c r="D455" s="8">
        <v>24.56</v>
      </c>
      <c r="E455" s="8">
        <v>7.9000000000000001E-2</v>
      </c>
      <c r="F455" s="8">
        <v>1.117</v>
      </c>
      <c r="G455" s="8">
        <v>4.4999999999999998E-2</v>
      </c>
      <c r="H455" s="8">
        <v>-7.6999999999999999E-2</v>
      </c>
      <c r="I455" s="8">
        <v>4.5999999999999999E-2</v>
      </c>
      <c r="J455" s="8">
        <v>0.12</v>
      </c>
      <c r="K455" s="8">
        <f t="shared" ref="K455:K481" si="77">PeakMagnitudeError+StretchError+ColorError+ScatterError</f>
        <v>0.28999999999999998</v>
      </c>
      <c r="L455" s="8">
        <f t="shared" ref="L455:L481" si="78">PeakMagnitude+α*(Stretch-1)-β*Color-Mb</f>
        <v>44.158208999999999</v>
      </c>
      <c r="M455" s="1">
        <f t="shared" ref="M455:M482" si="79">10^((ObservedDistanceModuli-25)/5)</f>
        <v>6786.4366594130261</v>
      </c>
      <c r="N455" s="1">
        <f t="shared" ref="N455:N482" si="80">(RedShift*Age*(2*InitialTangentVelocity-UniverseAcceleration*Age))/(2+RedShift)*(1+RedShift)</f>
        <v>1.9195945991312415E+26</v>
      </c>
      <c r="O455" s="2">
        <f t="shared" ref="O455:O482" si="81">N455/Mpc</f>
        <v>6220.9824240005064</v>
      </c>
      <c r="P455" s="2">
        <f t="shared" ref="P455:P482" si="82">(LOG10(T2LuminousDistance)*5+25)</f>
        <v>43.96929487171063</v>
      </c>
      <c r="Q455" s="2">
        <f t="shared" ref="Q455:Q482" si="83">ObservedDistanceModuli-T2DistanceModuli</f>
        <v>0.18891412828936893</v>
      </c>
      <c r="R455" s="2">
        <f t="shared" ref="R455:R482" si="84">(ObservedDistanceModuli-T2DistanceModuli)^2/TotalError^2</f>
        <v>0.4243584764248769</v>
      </c>
      <c r="S455" s="12">
        <v>5912.7184859544232</v>
      </c>
      <c r="T455" s="2">
        <f t="shared" ref="T455:T482" si="85">(LOG10(ΛCDMLuminousDistance)*5+25)</f>
        <v>43.858936010159553</v>
      </c>
      <c r="U455" s="2">
        <f t="shared" ref="U455:U482" si="86">ObservedDistanceModuli-ΛCDMDistanceModuli</f>
        <v>0.29927298984044626</v>
      </c>
      <c r="V455" s="2">
        <f t="shared" ref="V455:V482" si="87">(ObservedDistanceModuli-ΛCDMDistanceModuli)^2/TotalError^2</f>
        <v>1.0649741075866808</v>
      </c>
    </row>
    <row r="456" spans="1:22" x14ac:dyDescent="0.25">
      <c r="A456" t="s">
        <v>476</v>
      </c>
      <c r="B456" s="2">
        <v>0.96</v>
      </c>
      <c r="C456" s="8">
        <v>0.02</v>
      </c>
      <c r="D456" s="8">
        <v>24.587</v>
      </c>
      <c r="E456" s="8">
        <v>0.08</v>
      </c>
      <c r="F456" s="8">
        <v>0.99</v>
      </c>
      <c r="G456" s="8">
        <v>5.1999999999999998E-2</v>
      </c>
      <c r="H456" s="8">
        <v>5.0000000000000001E-3</v>
      </c>
      <c r="I456" s="8">
        <v>4.7E-2</v>
      </c>
      <c r="J456" s="8">
        <v>0.12</v>
      </c>
      <c r="K456" s="8">
        <f t="shared" si="77"/>
        <v>0.29899999999999999</v>
      </c>
      <c r="L456" s="8">
        <f t="shared" si="78"/>
        <v>43.909880000000001</v>
      </c>
      <c r="M456" s="1">
        <f t="shared" si="79"/>
        <v>6053.0742330523535</v>
      </c>
      <c r="N456" s="1">
        <f t="shared" si="80"/>
        <v>1.9431615664167789E+26</v>
      </c>
      <c r="O456" s="2">
        <f t="shared" si="81"/>
        <v>6297.3577635314023</v>
      </c>
      <c r="P456" s="2">
        <f t="shared" si="82"/>
        <v>43.995791835030147</v>
      </c>
      <c r="Q456" s="2">
        <f t="shared" si="83"/>
        <v>-8.5911835030145767E-2</v>
      </c>
      <c r="R456" s="2">
        <f t="shared" si="84"/>
        <v>8.2558846078309878E-2</v>
      </c>
      <c r="S456" s="12">
        <v>5989.7449227569041</v>
      </c>
      <c r="T456" s="2">
        <f t="shared" si="85"/>
        <v>43.887041640328945</v>
      </c>
      <c r="U456" s="2">
        <f t="shared" si="86"/>
        <v>2.2838359671055741E-2</v>
      </c>
      <c r="V456" s="2">
        <f t="shared" si="87"/>
        <v>5.834282306288581E-3</v>
      </c>
    </row>
    <row r="457" spans="1:22" x14ac:dyDescent="0.25">
      <c r="A457" t="s">
        <v>477</v>
      </c>
      <c r="B457" s="2">
        <v>0.96</v>
      </c>
      <c r="C457" s="8">
        <v>0.02</v>
      </c>
      <c r="D457" s="8">
        <v>24.773</v>
      </c>
      <c r="E457" s="8">
        <v>7.9000000000000001E-2</v>
      </c>
      <c r="F457" s="8">
        <v>1.022</v>
      </c>
      <c r="G457" s="8">
        <v>3.6999999999999998E-2</v>
      </c>
      <c r="H457" s="8">
        <v>-0.123</v>
      </c>
      <c r="I457" s="8">
        <v>4.3999999999999997E-2</v>
      </c>
      <c r="J457" s="8">
        <v>0.12</v>
      </c>
      <c r="K457" s="8">
        <f t="shared" si="77"/>
        <v>0.27999999999999997</v>
      </c>
      <c r="L457" s="8">
        <f t="shared" si="78"/>
        <v>44.501223999999993</v>
      </c>
      <c r="M457" s="1">
        <f t="shared" si="79"/>
        <v>7947.7610218240434</v>
      </c>
      <c r="N457" s="1">
        <f t="shared" si="80"/>
        <v>1.9431615664167789E+26</v>
      </c>
      <c r="O457" s="2">
        <f t="shared" si="81"/>
        <v>6297.3577635314023</v>
      </c>
      <c r="P457" s="2">
        <f t="shared" si="82"/>
        <v>43.995791835030147</v>
      </c>
      <c r="Q457" s="2">
        <f t="shared" si="83"/>
        <v>0.50543216496984655</v>
      </c>
      <c r="R457" s="2">
        <f t="shared" si="84"/>
        <v>3.2584397115574779</v>
      </c>
      <c r="S457" s="12">
        <v>5989.7449227569041</v>
      </c>
      <c r="T457" s="2">
        <f t="shared" si="85"/>
        <v>43.887041640328945</v>
      </c>
      <c r="U457" s="2">
        <f t="shared" si="86"/>
        <v>0.61418235967104806</v>
      </c>
      <c r="V457" s="2">
        <f t="shared" si="87"/>
        <v>4.8114792210599076</v>
      </c>
    </row>
    <row r="458" spans="1:22" x14ac:dyDescent="0.25">
      <c r="A458" t="s">
        <v>478</v>
      </c>
      <c r="B458" s="2">
        <v>0.96099999999999997</v>
      </c>
      <c r="C458" s="8">
        <v>1E-3</v>
      </c>
      <c r="D458" s="8">
        <v>24.847999999999999</v>
      </c>
      <c r="E458" s="8">
        <v>0.14299999999999999</v>
      </c>
      <c r="F458" s="8">
        <v>0.89200000000000002</v>
      </c>
      <c r="G458" s="8">
        <v>4.5999999999999999E-2</v>
      </c>
      <c r="H458" s="8">
        <v>-0.17299999999999999</v>
      </c>
      <c r="I458" s="8">
        <v>5.6000000000000001E-2</v>
      </c>
      <c r="J458" s="8">
        <v>0.12</v>
      </c>
      <c r="K458" s="8">
        <f t="shared" si="77"/>
        <v>0.36499999999999999</v>
      </c>
      <c r="L458" s="8">
        <f t="shared" si="78"/>
        <v>44.713614</v>
      </c>
      <c r="M458" s="1">
        <f t="shared" si="79"/>
        <v>8764.412306577884</v>
      </c>
      <c r="N458" s="1">
        <f t="shared" si="80"/>
        <v>1.9455208641663712E+26</v>
      </c>
      <c r="O458" s="2">
        <f t="shared" si="81"/>
        <v>6305.0037268196093</v>
      </c>
      <c r="P458" s="2">
        <f t="shared" si="82"/>
        <v>43.998426738079772</v>
      </c>
      <c r="Q458" s="2">
        <f t="shared" si="83"/>
        <v>0.71518726192022797</v>
      </c>
      <c r="R458" s="2">
        <f t="shared" si="84"/>
        <v>3.839315591014846</v>
      </c>
      <c r="S458" s="12">
        <v>5997.4588019015628</v>
      </c>
      <c r="T458" s="2">
        <f t="shared" si="85"/>
        <v>43.889836366843966</v>
      </c>
      <c r="U458" s="2">
        <f t="shared" si="86"/>
        <v>0.82377763315603403</v>
      </c>
      <c r="V458" s="2">
        <f t="shared" si="87"/>
        <v>5.093710556488328</v>
      </c>
    </row>
    <row r="459" spans="1:22" x14ac:dyDescent="0.25">
      <c r="A459" t="s">
        <v>479</v>
      </c>
      <c r="B459" s="2">
        <v>0.97</v>
      </c>
      <c r="C459" s="8">
        <v>0.01</v>
      </c>
      <c r="D459" s="8">
        <v>25.026</v>
      </c>
      <c r="E459" s="8">
        <v>6.2E-2</v>
      </c>
      <c r="F459" s="8">
        <v>0.96199999999999997</v>
      </c>
      <c r="G459" s="8">
        <v>7.6999999999999999E-2</v>
      </c>
      <c r="H459" s="8">
        <v>-0.129</v>
      </c>
      <c r="I459" s="8">
        <v>9.7000000000000003E-2</v>
      </c>
      <c r="J459" s="8">
        <v>0.12</v>
      </c>
      <c r="K459" s="8">
        <f t="shared" si="77"/>
        <v>0.35599999999999998</v>
      </c>
      <c r="L459" s="8">
        <f t="shared" si="78"/>
        <v>44.764184</v>
      </c>
      <c r="M459" s="1">
        <f t="shared" si="79"/>
        <v>8970.9162037067854</v>
      </c>
      <c r="N459" s="1">
        <f t="shared" si="80"/>
        <v>1.9667756816869869E+26</v>
      </c>
      <c r="O459" s="2">
        <f t="shared" si="81"/>
        <v>6373.8858992746318</v>
      </c>
      <c r="P459" s="2">
        <f t="shared" si="82"/>
        <v>44.022021423897748</v>
      </c>
      <c r="Q459" s="2">
        <f t="shared" si="83"/>
        <v>0.74216257610225256</v>
      </c>
      <c r="R459" s="2">
        <f t="shared" si="84"/>
        <v>4.3460839017069484</v>
      </c>
      <c r="S459" s="12">
        <v>6066.9749875990774</v>
      </c>
      <c r="T459" s="2">
        <f t="shared" si="85"/>
        <v>43.914861022379633</v>
      </c>
      <c r="U459" s="2">
        <f t="shared" si="86"/>
        <v>0.84932297762036768</v>
      </c>
      <c r="V459" s="2">
        <f t="shared" si="87"/>
        <v>5.6917491503118898</v>
      </c>
    </row>
    <row r="460" spans="1:22" x14ac:dyDescent="0.25">
      <c r="A460" t="s">
        <v>480</v>
      </c>
      <c r="B460" s="2">
        <v>0.97499999999999998</v>
      </c>
      <c r="C460" s="8">
        <v>1E-3</v>
      </c>
      <c r="D460" s="8">
        <v>24.890999999999998</v>
      </c>
      <c r="E460" s="8">
        <v>6.3E-2</v>
      </c>
      <c r="F460" s="8">
        <v>1.208</v>
      </c>
      <c r="G460" s="8">
        <v>4.3999999999999997E-2</v>
      </c>
      <c r="H460" s="8">
        <v>1.7999999999999999E-2</v>
      </c>
      <c r="I460" s="8">
        <v>4.3999999999999997E-2</v>
      </c>
      <c r="J460" s="8">
        <v>0.12</v>
      </c>
      <c r="K460" s="8">
        <f t="shared" si="77"/>
        <v>0.27100000000000002</v>
      </c>
      <c r="L460" s="8">
        <f t="shared" si="78"/>
        <v>44.205235999999999</v>
      </c>
      <c r="M460" s="1">
        <f t="shared" si="79"/>
        <v>6935.0117302682929</v>
      </c>
      <c r="N460" s="1">
        <f t="shared" si="80"/>
        <v>1.9786002712407604E+26</v>
      </c>
      <c r="O460" s="2">
        <f t="shared" si="81"/>
        <v>6412.2067842252027</v>
      </c>
      <c r="P460" s="2">
        <f t="shared" si="82"/>
        <v>44.035037596326859</v>
      </c>
      <c r="Q460" s="2">
        <f t="shared" si="83"/>
        <v>0.17019840367314032</v>
      </c>
      <c r="R460" s="2">
        <f t="shared" si="84"/>
        <v>0.39443221923564797</v>
      </c>
      <c r="S460" s="12">
        <v>6105.6657038013382</v>
      </c>
      <c r="T460" s="2">
        <f t="shared" si="85"/>
        <v>43.928665111040829</v>
      </c>
      <c r="U460" s="2">
        <f t="shared" si="86"/>
        <v>0.2765708889591707</v>
      </c>
      <c r="V460" s="2">
        <f t="shared" si="87"/>
        <v>1.0415361530979415</v>
      </c>
    </row>
    <row r="461" spans="1:22" x14ac:dyDescent="0.25">
      <c r="A461" t="s">
        <v>481</v>
      </c>
      <c r="B461" s="2">
        <v>0.98099999999999998</v>
      </c>
      <c r="C461" s="8">
        <v>1E-3</v>
      </c>
      <c r="D461" s="8">
        <v>24.687999999999999</v>
      </c>
      <c r="E461" s="8">
        <v>8.1000000000000003E-2</v>
      </c>
      <c r="F461" s="8">
        <v>1.1299999999999999</v>
      </c>
      <c r="G461" s="8">
        <v>5.3999999999999999E-2</v>
      </c>
      <c r="H461" s="8">
        <v>-2.5999999999999999E-2</v>
      </c>
      <c r="I461" s="8">
        <v>0.05</v>
      </c>
      <c r="J461" s="8">
        <v>0.12</v>
      </c>
      <c r="K461" s="8">
        <f t="shared" si="77"/>
        <v>0.30499999999999999</v>
      </c>
      <c r="L461" s="8">
        <f t="shared" si="78"/>
        <v>44.128489999999999</v>
      </c>
      <c r="M461" s="1">
        <f t="shared" si="79"/>
        <v>6694.1894651445637</v>
      </c>
      <c r="N461" s="1">
        <f t="shared" si="80"/>
        <v>1.9928050981087602E+26</v>
      </c>
      <c r="O461" s="2">
        <f t="shared" si="81"/>
        <v>6458.2414929714087</v>
      </c>
      <c r="P461" s="2">
        <f t="shared" si="82"/>
        <v>44.05057140277394</v>
      </c>
      <c r="Q461" s="2">
        <f t="shared" si="83"/>
        <v>7.7918597226059205E-2</v>
      </c>
      <c r="R461" s="2">
        <f t="shared" si="84"/>
        <v>6.5265335056993723E-2</v>
      </c>
      <c r="S461" s="12">
        <v>6152.1606706030661</v>
      </c>
      <c r="T461" s="2">
        <f t="shared" si="85"/>
        <v>43.945138345154405</v>
      </c>
      <c r="U461" s="2">
        <f t="shared" si="86"/>
        <v>0.18335165484559468</v>
      </c>
      <c r="V461" s="2">
        <f t="shared" si="87"/>
        <v>0.36138488938046853</v>
      </c>
    </row>
    <row r="462" spans="1:22" x14ac:dyDescent="0.25">
      <c r="A462" t="s">
        <v>482</v>
      </c>
      <c r="B462" s="2">
        <v>0.98299999999999998</v>
      </c>
      <c r="C462" s="8">
        <v>1E-3</v>
      </c>
      <c r="D462" s="8">
        <v>25.023</v>
      </c>
      <c r="E462" s="8">
        <v>0.13500000000000001</v>
      </c>
      <c r="F462" s="8">
        <v>0.81599999999999995</v>
      </c>
      <c r="G462" s="8">
        <v>5.8999999999999997E-2</v>
      </c>
      <c r="H462" s="8">
        <v>-4.3999999999999997E-2</v>
      </c>
      <c r="I462" s="8">
        <v>6.4000000000000001E-2</v>
      </c>
      <c r="J462" s="8">
        <v>0.12</v>
      </c>
      <c r="K462" s="8">
        <f t="shared" si="77"/>
        <v>0.378</v>
      </c>
      <c r="L462" s="8">
        <f t="shared" si="78"/>
        <v>44.473672000000001</v>
      </c>
      <c r="M462" s="1">
        <f t="shared" si="79"/>
        <v>7847.5555753678127</v>
      </c>
      <c r="N462" s="1">
        <f t="shared" si="80"/>
        <v>1.9975437380080502E+26</v>
      </c>
      <c r="O462" s="2">
        <f t="shared" si="81"/>
        <v>6473.5983790245846</v>
      </c>
      <c r="P462" s="2">
        <f t="shared" si="82"/>
        <v>44.055728761721497</v>
      </c>
      <c r="Q462" s="2">
        <f t="shared" si="83"/>
        <v>0.41794323827850377</v>
      </c>
      <c r="R462" s="2">
        <f t="shared" si="84"/>
        <v>1.2225060218269517</v>
      </c>
      <c r="S462" s="12">
        <v>6167.6749453527564</v>
      </c>
      <c r="T462" s="2">
        <f t="shared" si="85"/>
        <v>43.950607385234306</v>
      </c>
      <c r="U462" s="2">
        <f t="shared" si="86"/>
        <v>0.5230646147656941</v>
      </c>
      <c r="V462" s="2">
        <f t="shared" si="87"/>
        <v>1.9148161531031043</v>
      </c>
    </row>
    <row r="463" spans="1:22" x14ac:dyDescent="0.25">
      <c r="A463" t="s">
        <v>483</v>
      </c>
      <c r="B463" s="2">
        <v>0.98499999999999999</v>
      </c>
      <c r="C463" s="8">
        <v>1E-3</v>
      </c>
      <c r="D463" s="8">
        <v>24.77</v>
      </c>
      <c r="E463" s="8">
        <v>8.4000000000000005E-2</v>
      </c>
      <c r="F463" s="8">
        <v>1.081</v>
      </c>
      <c r="G463" s="8">
        <v>5.2999999999999999E-2</v>
      </c>
      <c r="H463" s="8">
        <v>-6.2E-2</v>
      </c>
      <c r="I463" s="8">
        <v>0.05</v>
      </c>
      <c r="J463" s="8">
        <v>0.12</v>
      </c>
      <c r="K463" s="8">
        <f t="shared" si="77"/>
        <v>0.307</v>
      </c>
      <c r="L463" s="8">
        <f t="shared" si="78"/>
        <v>44.315967000000001</v>
      </c>
      <c r="M463" s="1">
        <f t="shared" si="79"/>
        <v>7297.824245817068</v>
      </c>
      <c r="N463" s="1">
        <f t="shared" si="80"/>
        <v>2.0022842205186662E+26</v>
      </c>
      <c r="O463" s="2">
        <f t="shared" si="81"/>
        <v>6488.9612365743869</v>
      </c>
      <c r="P463" s="2">
        <f t="shared" si="82"/>
        <v>44.06087589900141</v>
      </c>
      <c r="Q463" s="2">
        <f t="shared" si="83"/>
        <v>0.255091100998591</v>
      </c>
      <c r="R463" s="2">
        <f t="shared" si="84"/>
        <v>0.69042079819067959</v>
      </c>
      <c r="S463" s="12">
        <v>6183.1971682184803</v>
      </c>
      <c r="T463" s="2">
        <f t="shared" si="85"/>
        <v>43.956065476958244</v>
      </c>
      <c r="U463" s="2">
        <f t="shared" si="86"/>
        <v>0.35990152304175638</v>
      </c>
      <c r="V463" s="2">
        <f t="shared" si="87"/>
        <v>1.3743287068061825</v>
      </c>
    </row>
    <row r="464" spans="1:22" x14ac:dyDescent="0.25">
      <c r="A464" t="s">
        <v>484</v>
      </c>
      <c r="B464" s="2">
        <v>0.998</v>
      </c>
      <c r="C464" s="8">
        <v>1E-3</v>
      </c>
      <c r="D464" s="8">
        <v>24.623999999999999</v>
      </c>
      <c r="E464" s="8">
        <v>0.08</v>
      </c>
      <c r="F464" s="8">
        <v>1.1519999999999999</v>
      </c>
      <c r="G464" s="8">
        <v>3.9E-2</v>
      </c>
      <c r="H464" s="8">
        <v>-7.3999999999999996E-2</v>
      </c>
      <c r="I464" s="8">
        <v>4.5999999999999999E-2</v>
      </c>
      <c r="J464" s="8">
        <v>0.12</v>
      </c>
      <c r="K464" s="8">
        <f t="shared" si="77"/>
        <v>0.28499999999999998</v>
      </c>
      <c r="L464" s="8">
        <f t="shared" si="78"/>
        <v>44.217963999999995</v>
      </c>
      <c r="M464" s="1">
        <f t="shared" si="79"/>
        <v>6975.7803936081655</v>
      </c>
      <c r="N464" s="1">
        <f t="shared" si="80"/>
        <v>2.0331420158082846E+26</v>
      </c>
      <c r="O464" s="2">
        <f t="shared" si="81"/>
        <v>6588.9645405152305</v>
      </c>
      <c r="P464" s="2">
        <f t="shared" si="82"/>
        <v>44.094085851669988</v>
      </c>
      <c r="Q464" s="2">
        <f t="shared" si="83"/>
        <v>0.12387814833000732</v>
      </c>
      <c r="R464" s="2">
        <f t="shared" si="84"/>
        <v>0.18892946301842162</v>
      </c>
      <c r="S464" s="12">
        <v>6284.284196870497</v>
      </c>
      <c r="T464" s="2">
        <f t="shared" si="85"/>
        <v>43.991279085485232</v>
      </c>
      <c r="U464" s="2">
        <f t="shared" si="86"/>
        <v>0.22668491451476314</v>
      </c>
      <c r="V464" s="2">
        <f t="shared" si="87"/>
        <v>0.63263835603035368</v>
      </c>
    </row>
    <row r="465" spans="1:22" x14ac:dyDescent="0.25">
      <c r="A465" t="s">
        <v>485</v>
      </c>
      <c r="B465" s="2">
        <v>1</v>
      </c>
      <c r="C465" s="8">
        <v>0.02</v>
      </c>
      <c r="D465" s="8">
        <v>24.577999999999999</v>
      </c>
      <c r="E465" s="8">
        <v>8.5999999999999993E-2</v>
      </c>
      <c r="F465" s="8">
        <v>1.1299999999999999</v>
      </c>
      <c r="G465" s="8">
        <v>4.2000000000000003E-2</v>
      </c>
      <c r="H465" s="8">
        <v>-6.5000000000000002E-2</v>
      </c>
      <c r="I465" s="8">
        <v>4.8000000000000001E-2</v>
      </c>
      <c r="J465" s="8">
        <v>0.12</v>
      </c>
      <c r="K465" s="8">
        <f t="shared" si="77"/>
        <v>0.29599999999999999</v>
      </c>
      <c r="L465" s="8">
        <f t="shared" si="78"/>
        <v>44.140560000000001</v>
      </c>
      <c r="M465" s="1">
        <f t="shared" si="79"/>
        <v>6731.5023229894441</v>
      </c>
      <c r="N465" s="1">
        <f t="shared" si="80"/>
        <v>2.0378962006071662E+26</v>
      </c>
      <c r="O465" s="2">
        <f t="shared" si="81"/>
        <v>6604.3718041570837</v>
      </c>
      <c r="P465" s="2">
        <f t="shared" si="82"/>
        <v>44.099157573066215</v>
      </c>
      <c r="Q465" s="2">
        <f t="shared" si="83"/>
        <v>4.1402426933785819E-2</v>
      </c>
      <c r="R465" s="2">
        <f t="shared" si="84"/>
        <v>1.9564474023094795E-2</v>
      </c>
      <c r="S465" s="12">
        <v>6299.8654986668644</v>
      </c>
      <c r="T465" s="2">
        <f t="shared" si="85"/>
        <v>43.99665638710097</v>
      </c>
      <c r="U465" s="2">
        <f t="shared" si="86"/>
        <v>0.14390361289903097</v>
      </c>
      <c r="V465" s="2">
        <f t="shared" si="87"/>
        <v>0.23635237633987125</v>
      </c>
    </row>
    <row r="466" spans="1:22" x14ac:dyDescent="0.25">
      <c r="A466" t="s">
        <v>486</v>
      </c>
      <c r="B466" s="2">
        <v>1.002</v>
      </c>
      <c r="C466" s="8">
        <v>1E-3</v>
      </c>
      <c r="D466" s="8">
        <v>25.234000000000002</v>
      </c>
      <c r="E466" s="8">
        <v>0.152</v>
      </c>
      <c r="F466" s="8">
        <v>1.1120000000000001</v>
      </c>
      <c r="G466" s="8">
        <v>7.6999999999999999E-2</v>
      </c>
      <c r="H466" s="8">
        <v>-1.6E-2</v>
      </c>
      <c r="I466" s="8">
        <v>6.3E-2</v>
      </c>
      <c r="J466" s="8">
        <v>0.12</v>
      </c>
      <c r="K466" s="8">
        <f t="shared" si="77"/>
        <v>0.41199999999999998</v>
      </c>
      <c r="L466" s="8">
        <f t="shared" si="78"/>
        <v>44.640544000000006</v>
      </c>
      <c r="M466" s="1">
        <f t="shared" si="79"/>
        <v>8474.3968920690095</v>
      </c>
      <c r="N466" s="1">
        <f t="shared" si="80"/>
        <v>2.0426521968701421E+26</v>
      </c>
      <c r="O466" s="2">
        <f t="shared" si="81"/>
        <v>6619.7849383542598</v>
      </c>
      <c r="P466" s="2">
        <f t="shared" si="82"/>
        <v>44.104219402180995</v>
      </c>
      <c r="Q466" s="2">
        <f t="shared" si="83"/>
        <v>0.53632459781901076</v>
      </c>
      <c r="R466" s="2">
        <f t="shared" si="84"/>
        <v>1.694575797823332</v>
      </c>
      <c r="S466" s="12">
        <v>6315.4546074076461</v>
      </c>
      <c r="T466" s="2">
        <f t="shared" si="85"/>
        <v>44.002023089882272</v>
      </c>
      <c r="U466" s="2">
        <f t="shared" si="86"/>
        <v>0.63852091011773382</v>
      </c>
      <c r="V466" s="2">
        <f t="shared" si="87"/>
        <v>2.4019049430765103</v>
      </c>
    </row>
    <row r="467" spans="1:22" x14ac:dyDescent="0.25">
      <c r="A467" t="s">
        <v>487</v>
      </c>
      <c r="B467" s="2">
        <v>1.01</v>
      </c>
      <c r="C467" s="8">
        <v>0.01</v>
      </c>
      <c r="D467" s="8">
        <v>24.99</v>
      </c>
      <c r="E467" s="8">
        <v>8.6999999999999994E-2</v>
      </c>
      <c r="F467" s="8">
        <v>1.1950000000000001</v>
      </c>
      <c r="G467" s="8">
        <v>0.129</v>
      </c>
      <c r="H467" s="8">
        <v>-7.6999999999999999E-2</v>
      </c>
      <c r="I467" s="8">
        <v>9.7000000000000003E-2</v>
      </c>
      <c r="J467" s="8">
        <v>0.12</v>
      </c>
      <c r="K467" s="8">
        <f t="shared" si="77"/>
        <v>0.433</v>
      </c>
      <c r="L467" s="8">
        <f t="shared" si="78"/>
        <v>44.599674999999998</v>
      </c>
      <c r="M467" s="1">
        <f t="shared" si="79"/>
        <v>8316.3929197226153</v>
      </c>
      <c r="N467" s="1">
        <f t="shared" si="80"/>
        <v>2.0616942243451536E+26</v>
      </c>
      <c r="O467" s="2">
        <f t="shared" si="81"/>
        <v>6681.4959466541341</v>
      </c>
      <c r="P467" s="2">
        <f t="shared" si="82"/>
        <v>44.124368546391061</v>
      </c>
      <c r="Q467" s="2">
        <f t="shared" si="83"/>
        <v>0.47530645360893686</v>
      </c>
      <c r="R467" s="2">
        <f t="shared" si="84"/>
        <v>1.2049572233160584</v>
      </c>
      <c r="S467" s="12">
        <v>6377.888785154295</v>
      </c>
      <c r="T467" s="2">
        <f t="shared" si="85"/>
        <v>44.023384709675099</v>
      </c>
      <c r="U467" s="2">
        <f t="shared" si="86"/>
        <v>0.57629029032489854</v>
      </c>
      <c r="V467" s="2">
        <f t="shared" si="87"/>
        <v>1.7713599129695921</v>
      </c>
    </row>
    <row r="468" spans="1:22" x14ac:dyDescent="0.25">
      <c r="A468" t="s">
        <v>488</v>
      </c>
      <c r="B468" s="2">
        <v>1.02</v>
      </c>
      <c r="C468" s="8">
        <v>0.01</v>
      </c>
      <c r="D468" s="8">
        <v>24.968</v>
      </c>
      <c r="E468" s="8">
        <v>7.0999999999999994E-2</v>
      </c>
      <c r="F468" s="8">
        <v>1.0169999999999999</v>
      </c>
      <c r="G468" s="8">
        <v>3.5999999999999997E-2</v>
      </c>
      <c r="H468" s="8">
        <v>-6.0999999999999999E-2</v>
      </c>
      <c r="I468" s="8">
        <v>6.2E-2</v>
      </c>
      <c r="J468" s="8">
        <v>0.12</v>
      </c>
      <c r="K468" s="8">
        <f t="shared" si="77"/>
        <v>0.28899999999999998</v>
      </c>
      <c r="L468" s="8">
        <f t="shared" si="78"/>
        <v>44.501429000000002</v>
      </c>
      <c r="M468" s="1">
        <f t="shared" si="79"/>
        <v>7948.5113734804745</v>
      </c>
      <c r="N468" s="1">
        <f t="shared" si="80"/>
        <v>2.0855370852968569E+26</v>
      </c>
      <c r="O468" s="2">
        <f t="shared" si="81"/>
        <v>6758.7653966648613</v>
      </c>
      <c r="P468" s="2">
        <f t="shared" si="82"/>
        <v>44.149336859601576</v>
      </c>
      <c r="Q468" s="2">
        <f t="shared" si="83"/>
        <v>0.35209214039842607</v>
      </c>
      <c r="R468" s="2">
        <f t="shared" si="84"/>
        <v>1.4842838966289318</v>
      </c>
      <c r="S468" s="12">
        <v>6456.1052137827091</v>
      </c>
      <c r="T468" s="2">
        <f t="shared" si="85"/>
        <v>44.049852996885527</v>
      </c>
      <c r="U468" s="2">
        <f t="shared" si="86"/>
        <v>0.4515760031144751</v>
      </c>
      <c r="V468" s="2">
        <f t="shared" si="87"/>
        <v>2.4415522633690263</v>
      </c>
    </row>
    <row r="469" spans="1:22" x14ac:dyDescent="0.25">
      <c r="A469" t="s">
        <v>489</v>
      </c>
      <c r="B469" s="2">
        <v>1.02</v>
      </c>
      <c r="C469" s="8">
        <v>0.01</v>
      </c>
      <c r="D469" s="8">
        <v>24.867000000000001</v>
      </c>
      <c r="E469" s="8">
        <v>9.4E-2</v>
      </c>
      <c r="F469" s="8">
        <v>1.0229999999999999</v>
      </c>
      <c r="G469" s="8">
        <v>0.05</v>
      </c>
      <c r="H469" s="8">
        <v>7.0000000000000001E-3</v>
      </c>
      <c r="I469" s="8">
        <v>6.5000000000000002E-2</v>
      </c>
      <c r="J469" s="8">
        <v>0.12</v>
      </c>
      <c r="K469" s="8">
        <f t="shared" si="77"/>
        <v>0.32900000000000001</v>
      </c>
      <c r="L469" s="8">
        <f t="shared" si="78"/>
        <v>44.188471000000007</v>
      </c>
      <c r="M469" s="1">
        <f t="shared" si="79"/>
        <v>6881.6756592053534</v>
      </c>
      <c r="N469" s="1">
        <f t="shared" si="80"/>
        <v>2.0855370852968569E+26</v>
      </c>
      <c r="O469" s="2">
        <f t="shared" si="81"/>
        <v>6758.7653966648613</v>
      </c>
      <c r="P469" s="2">
        <f t="shared" si="82"/>
        <v>44.149336859601576</v>
      </c>
      <c r="Q469" s="2">
        <f t="shared" si="83"/>
        <v>3.9134140398431327E-2</v>
      </c>
      <c r="R469" s="2">
        <f t="shared" si="84"/>
        <v>1.4148806318531193E-2</v>
      </c>
      <c r="S469" s="12">
        <v>6456.1052137827091</v>
      </c>
      <c r="T469" s="2">
        <f t="shared" si="85"/>
        <v>44.049852996885527</v>
      </c>
      <c r="U469" s="2">
        <f t="shared" si="86"/>
        <v>0.13861800311448036</v>
      </c>
      <c r="V469" s="2">
        <f t="shared" si="87"/>
        <v>0.17752007822771487</v>
      </c>
    </row>
    <row r="470" spans="1:22" x14ac:dyDescent="0.25">
      <c r="A470" t="s">
        <v>490</v>
      </c>
      <c r="B470" s="2">
        <v>1.0309999999999999</v>
      </c>
      <c r="C470" s="8">
        <v>1E-3</v>
      </c>
      <c r="D470" s="8">
        <v>24.545999999999999</v>
      </c>
      <c r="E470" s="8">
        <v>0.104</v>
      </c>
      <c r="F470" s="8">
        <v>1.127</v>
      </c>
      <c r="G470" s="8">
        <v>4.8000000000000001E-2</v>
      </c>
      <c r="H470" s="8">
        <v>-0.08</v>
      </c>
      <c r="I470" s="8">
        <v>5.3999999999999999E-2</v>
      </c>
      <c r="J470" s="8">
        <v>0.12</v>
      </c>
      <c r="K470" s="8">
        <f t="shared" si="77"/>
        <v>0.32599999999999996</v>
      </c>
      <c r="L470" s="8">
        <f t="shared" si="78"/>
        <v>44.155068999999997</v>
      </c>
      <c r="M470" s="1">
        <f t="shared" si="79"/>
        <v>6776.630404686106</v>
      </c>
      <c r="N470" s="1">
        <f t="shared" si="80"/>
        <v>2.1118154896665697E+26</v>
      </c>
      <c r="O470" s="2">
        <f t="shared" si="81"/>
        <v>6843.9279053470318</v>
      </c>
      <c r="P470" s="2">
        <f t="shared" si="82"/>
        <v>44.176527129948127</v>
      </c>
      <c r="Q470" s="2">
        <f t="shared" si="83"/>
        <v>-2.1458129948129567E-2</v>
      </c>
      <c r="R470" s="2">
        <f t="shared" si="84"/>
        <v>4.3325994662088826E-3</v>
      </c>
      <c r="S470" s="12">
        <v>6542.3639743223184</v>
      </c>
      <c r="T470" s="2">
        <f t="shared" si="85"/>
        <v>44.078673508821467</v>
      </c>
      <c r="U470" s="2">
        <f t="shared" si="86"/>
        <v>7.6395491178530506E-2</v>
      </c>
      <c r="V470" s="2">
        <f t="shared" si="87"/>
        <v>5.4916171782988958E-2</v>
      </c>
    </row>
    <row r="471" spans="1:22" x14ac:dyDescent="0.25">
      <c r="A471" t="s">
        <v>491</v>
      </c>
      <c r="B471" s="2">
        <v>1.06</v>
      </c>
      <c r="C471" s="8">
        <v>0.02</v>
      </c>
      <c r="D471" s="8">
        <v>24.756</v>
      </c>
      <c r="E471" s="8">
        <v>0.13300000000000001</v>
      </c>
      <c r="F471" s="8">
        <v>0.85799999999999998</v>
      </c>
      <c r="G471" s="8">
        <v>0.05</v>
      </c>
      <c r="H471" s="8">
        <v>-0.13900000000000001</v>
      </c>
      <c r="I471" s="8">
        <v>5.5E-2</v>
      </c>
      <c r="J471" s="8">
        <v>0.12</v>
      </c>
      <c r="K471" s="8">
        <f t="shared" si="77"/>
        <v>0.35799999999999998</v>
      </c>
      <c r="L471" s="8">
        <f t="shared" si="78"/>
        <v>44.510196000000001</v>
      </c>
      <c r="M471" s="1">
        <f t="shared" si="79"/>
        <v>7980.6671858506061</v>
      </c>
      <c r="N471" s="1">
        <f t="shared" si="80"/>
        <v>2.1813481096302981E+26</v>
      </c>
      <c r="O471" s="2">
        <f t="shared" si="81"/>
        <v>7069.2677801751997</v>
      </c>
      <c r="P471" s="2">
        <f t="shared" si="82"/>
        <v>44.246872164106335</v>
      </c>
      <c r="Q471" s="2">
        <f t="shared" si="83"/>
        <v>0.26332383589366515</v>
      </c>
      <c r="R471" s="2">
        <f t="shared" si="84"/>
        <v>0.54102121149272731</v>
      </c>
      <c r="S471" s="12">
        <v>6770.8627305337322</v>
      </c>
      <c r="T471" s="2">
        <f t="shared" si="85"/>
        <v>44.153220045965384</v>
      </c>
      <c r="U471" s="2">
        <f t="shared" si="86"/>
        <v>0.3569759540346169</v>
      </c>
      <c r="V471" s="2">
        <f t="shared" si="87"/>
        <v>0.9942872550710411</v>
      </c>
    </row>
    <row r="472" spans="1:22" x14ac:dyDescent="0.25">
      <c r="A472" t="s">
        <v>492</v>
      </c>
      <c r="B472" s="2">
        <v>1.1200000000000001</v>
      </c>
      <c r="C472" s="8">
        <v>0.01</v>
      </c>
      <c r="D472" s="8">
        <v>25.120999999999999</v>
      </c>
      <c r="E472" s="8">
        <v>6.8000000000000005E-2</v>
      </c>
      <c r="F472" s="8">
        <v>1.048</v>
      </c>
      <c r="G472" s="8">
        <v>3.6999999999999998E-2</v>
      </c>
      <c r="H472" s="8">
        <v>-3.6999999999999998E-2</v>
      </c>
      <c r="I472" s="8">
        <v>5.2999999999999999E-2</v>
      </c>
      <c r="J472" s="8">
        <v>0.12</v>
      </c>
      <c r="K472" s="8">
        <f t="shared" si="77"/>
        <v>0.27800000000000002</v>
      </c>
      <c r="L472" s="8">
        <f t="shared" si="78"/>
        <v>44.583866</v>
      </c>
      <c r="M472" s="1">
        <f t="shared" si="79"/>
        <v>8256.0668345491958</v>
      </c>
      <c r="N472" s="1">
        <f t="shared" si="80"/>
        <v>2.3263368936161806E+26</v>
      </c>
      <c r="O472" s="2">
        <f t="shared" si="81"/>
        <v>7539.1444287454706</v>
      </c>
      <c r="P472" s="2">
        <f t="shared" si="82"/>
        <v>44.386610316247072</v>
      </c>
      <c r="Q472" s="2">
        <f t="shared" si="83"/>
        <v>0.19725568375292823</v>
      </c>
      <c r="R472" s="2">
        <f t="shared" si="84"/>
        <v>0.50346520331291367</v>
      </c>
      <c r="S472" s="12">
        <v>7248.4660805541371</v>
      </c>
      <c r="T472" s="2">
        <f t="shared" si="85"/>
        <v>44.301230554762725</v>
      </c>
      <c r="U472" s="2">
        <f t="shared" si="86"/>
        <v>0.28263544523727546</v>
      </c>
      <c r="V472" s="2">
        <f t="shared" si="87"/>
        <v>1.0336265579482546</v>
      </c>
    </row>
    <row r="473" spans="1:22" x14ac:dyDescent="0.25">
      <c r="A473" t="s">
        <v>4</v>
      </c>
      <c r="B473" s="2">
        <v>1.1399999999999999</v>
      </c>
      <c r="C473" s="8">
        <v>0.01</v>
      </c>
      <c r="D473" s="8">
        <v>24.727</v>
      </c>
      <c r="E473" s="8">
        <v>7.8E-2</v>
      </c>
      <c r="F473" s="8">
        <v>1.0900000000000001</v>
      </c>
      <c r="G473" s="8">
        <v>6.4000000000000001E-2</v>
      </c>
      <c r="H473" s="8">
        <v>-5.5E-2</v>
      </c>
      <c r="I473" s="8">
        <v>6.3E-2</v>
      </c>
      <c r="J473" s="8">
        <v>0.12</v>
      </c>
      <c r="K473" s="8">
        <f t="shared" si="77"/>
        <v>0.32500000000000001</v>
      </c>
      <c r="L473" s="8">
        <f t="shared" si="78"/>
        <v>44.252380000000002</v>
      </c>
      <c r="M473" s="1">
        <f t="shared" si="79"/>
        <v>7087.2213993615496</v>
      </c>
      <c r="N473" s="1">
        <f t="shared" si="80"/>
        <v>2.3749927886948607E+26</v>
      </c>
      <c r="O473" s="2">
        <f t="shared" si="81"/>
        <v>7696.8274459020467</v>
      </c>
      <c r="P473" s="2">
        <f t="shared" si="82"/>
        <v>44.431558751406868</v>
      </c>
      <c r="Q473" s="2">
        <f t="shared" si="83"/>
        <v>-0.1791787514068659</v>
      </c>
      <c r="R473" s="2">
        <f t="shared" si="84"/>
        <v>0.30395289898909772</v>
      </c>
      <c r="S473" s="12">
        <v>7409.0673576022473</v>
      </c>
      <c r="T473" s="2">
        <f t="shared" si="85"/>
        <v>44.348817715376484</v>
      </c>
      <c r="U473" s="2">
        <f t="shared" si="86"/>
        <v>-9.6437715376481492E-2</v>
      </c>
      <c r="V473" s="2">
        <f t="shared" si="87"/>
        <v>8.8049542693824881E-2</v>
      </c>
    </row>
    <row r="474" spans="1:22" x14ac:dyDescent="0.25">
      <c r="A474" t="s">
        <v>5</v>
      </c>
      <c r="B474" s="2">
        <v>1.23</v>
      </c>
      <c r="C474" s="8">
        <v>0.01</v>
      </c>
      <c r="D474" s="8">
        <v>26.053999999999998</v>
      </c>
      <c r="E474" s="8">
        <v>8.4000000000000005E-2</v>
      </c>
      <c r="F474" s="8">
        <v>0.96899999999999997</v>
      </c>
      <c r="G474" s="8">
        <v>8.3000000000000004E-2</v>
      </c>
      <c r="H474" s="8">
        <v>7.2999999999999995E-2</v>
      </c>
      <c r="I474" s="8">
        <v>4.8000000000000001E-2</v>
      </c>
      <c r="J474" s="8">
        <v>0.12</v>
      </c>
      <c r="K474" s="8">
        <f t="shared" si="77"/>
        <v>0.33500000000000002</v>
      </c>
      <c r="L474" s="8">
        <f t="shared" si="78"/>
        <v>45.160952999999999</v>
      </c>
      <c r="M474" s="1">
        <f t="shared" si="79"/>
        <v>10769.377485285067</v>
      </c>
      <c r="N474" s="1">
        <f t="shared" si="80"/>
        <v>2.5958570380706172E+26</v>
      </c>
      <c r="O474" s="2">
        <f t="shared" si="81"/>
        <v>8412.5997314036213</v>
      </c>
      <c r="P474" s="2">
        <f t="shared" si="82"/>
        <v>44.624651129126903</v>
      </c>
      <c r="Q474" s="2">
        <f t="shared" si="83"/>
        <v>0.53630187087309622</v>
      </c>
      <c r="R474" s="2">
        <f t="shared" si="84"/>
        <v>2.5628843546623581</v>
      </c>
      <c r="S474" s="12">
        <v>8139.9684611991906</v>
      </c>
      <c r="T474" s="2">
        <f t="shared" si="85"/>
        <v>44.553113610960935</v>
      </c>
      <c r="U474" s="2">
        <f t="shared" si="86"/>
        <v>0.60783938903906432</v>
      </c>
      <c r="V474" s="2">
        <f t="shared" si="87"/>
        <v>3.292214059856386</v>
      </c>
    </row>
    <row r="475" spans="1:22" x14ac:dyDescent="0.25">
      <c r="A475" t="s">
        <v>14</v>
      </c>
      <c r="B475" s="2">
        <v>1.2649999999999999</v>
      </c>
      <c r="C475" s="8">
        <v>0.01</v>
      </c>
      <c r="D475" s="8">
        <v>25.757000000000001</v>
      </c>
      <c r="E475" s="8">
        <v>8.2000000000000003E-2</v>
      </c>
      <c r="F475" s="8">
        <v>1.04</v>
      </c>
      <c r="G475" s="8">
        <v>8.3000000000000004E-2</v>
      </c>
      <c r="H475" s="8">
        <v>2.8000000000000001E-2</v>
      </c>
      <c r="I475" s="8">
        <v>6.9000000000000006E-2</v>
      </c>
      <c r="J475" s="8">
        <v>0.12</v>
      </c>
      <c r="K475" s="8">
        <f t="shared" si="77"/>
        <v>0.35399999999999998</v>
      </c>
      <c r="L475" s="8">
        <f t="shared" si="78"/>
        <v>45.015240000000006</v>
      </c>
      <c r="M475" s="1">
        <f t="shared" si="79"/>
        <v>10070.42965202977</v>
      </c>
      <c r="N475" s="1">
        <f t="shared" si="80"/>
        <v>2.6825564202379787E+26</v>
      </c>
      <c r="O475" s="2">
        <f t="shared" si="81"/>
        <v>8693.5732936750283</v>
      </c>
      <c r="P475" s="2">
        <f t="shared" si="82"/>
        <v>44.695991599592588</v>
      </c>
      <c r="Q475" s="2">
        <f t="shared" si="83"/>
        <v>0.31924840040741742</v>
      </c>
      <c r="R475" s="2">
        <f t="shared" si="84"/>
        <v>0.81330030612766713</v>
      </c>
      <c r="S475" s="12">
        <v>8427.6658312788531</v>
      </c>
      <c r="T475" s="2">
        <f t="shared" si="85"/>
        <v>44.628536534473362</v>
      </c>
      <c r="U475" s="2">
        <f t="shared" si="86"/>
        <v>0.3867034655266437</v>
      </c>
      <c r="V475" s="2">
        <f t="shared" si="87"/>
        <v>1.1932998998556938</v>
      </c>
    </row>
    <row r="476" spans="1:22" x14ac:dyDescent="0.25">
      <c r="A476" t="s">
        <v>3</v>
      </c>
      <c r="B476" s="2">
        <v>1.3</v>
      </c>
      <c r="C476" s="8">
        <v>0.01</v>
      </c>
      <c r="D476" s="8">
        <v>25.690999999999999</v>
      </c>
      <c r="E476" s="8">
        <v>8.1000000000000003E-2</v>
      </c>
      <c r="F476" s="8">
        <v>1.0580000000000001</v>
      </c>
      <c r="G476" s="8">
        <v>4.4999999999999998E-2</v>
      </c>
      <c r="H476" s="8">
        <v>1.2999999999999999E-2</v>
      </c>
      <c r="I476" s="8">
        <v>3.7999999999999999E-2</v>
      </c>
      <c r="J476" s="8">
        <v>0.12</v>
      </c>
      <c r="K476" s="8">
        <f t="shared" si="77"/>
        <v>0.28400000000000003</v>
      </c>
      <c r="L476" s="8">
        <f t="shared" si="78"/>
        <v>44.998835999999997</v>
      </c>
      <c r="M476" s="1">
        <f t="shared" si="79"/>
        <v>9994.641018350947</v>
      </c>
      <c r="N476" s="1">
        <f t="shared" si="80"/>
        <v>2.7696861999161033E+26</v>
      </c>
      <c r="O476" s="2">
        <f t="shared" si="81"/>
        <v>8975.9416792862175</v>
      </c>
      <c r="P476" s="2">
        <f t="shared" si="82"/>
        <v>44.765400110577332</v>
      </c>
      <c r="Q476" s="2">
        <f t="shared" si="83"/>
        <v>0.23343588942266535</v>
      </c>
      <c r="R476" s="2">
        <f t="shared" si="84"/>
        <v>0.6756138969270834</v>
      </c>
      <c r="S476" s="12">
        <v>8717.2050034010863</v>
      </c>
      <c r="T476" s="2">
        <f t="shared" si="85"/>
        <v>44.701886297267421</v>
      </c>
      <c r="U476" s="2">
        <f t="shared" si="86"/>
        <v>0.29694970273257582</v>
      </c>
      <c r="V476" s="2">
        <f t="shared" si="87"/>
        <v>1.0932742257608252</v>
      </c>
    </row>
    <row r="477" spans="1:22" x14ac:dyDescent="0.25">
      <c r="A477" t="s">
        <v>493</v>
      </c>
      <c r="B477" s="2">
        <v>1.34</v>
      </c>
      <c r="C477" s="8">
        <v>0.01</v>
      </c>
      <c r="D477" s="8">
        <v>25.87</v>
      </c>
      <c r="E477" s="8">
        <v>0.106</v>
      </c>
      <c r="F477" s="8">
        <v>1.1919999999999999</v>
      </c>
      <c r="G477" s="8">
        <v>9.8000000000000004E-2</v>
      </c>
      <c r="H477" s="8">
        <v>0.09</v>
      </c>
      <c r="I477" s="8">
        <v>6.5000000000000002E-2</v>
      </c>
      <c r="J477" s="8">
        <v>0.12</v>
      </c>
      <c r="K477" s="8">
        <f t="shared" si="77"/>
        <v>0.38900000000000001</v>
      </c>
      <c r="L477" s="8">
        <f t="shared" si="78"/>
        <v>44.956524000000002</v>
      </c>
      <c r="M477" s="1">
        <f t="shared" si="79"/>
        <v>9801.7766013026867</v>
      </c>
      <c r="N477" s="1">
        <f t="shared" si="80"/>
        <v>2.8697727514777685E+26</v>
      </c>
      <c r="O477" s="2">
        <f t="shared" si="81"/>
        <v>9300.300102895937</v>
      </c>
      <c r="P477" s="2">
        <f t="shared" si="82"/>
        <v>44.842484813161548</v>
      </c>
      <c r="Q477" s="2">
        <f t="shared" si="83"/>
        <v>0.11403918683845404</v>
      </c>
      <c r="R477" s="2">
        <f t="shared" si="84"/>
        <v>8.5942705472312683E-2</v>
      </c>
      <c r="S477" s="12">
        <v>9050.2880114257769</v>
      </c>
      <c r="T477" s="2">
        <f t="shared" si="85"/>
        <v>44.783312000878311</v>
      </c>
      <c r="U477" s="2">
        <f t="shared" si="86"/>
        <v>0.1732119991216905</v>
      </c>
      <c r="V477" s="2">
        <f t="shared" si="87"/>
        <v>0.19826988084755262</v>
      </c>
    </row>
    <row r="478" spans="1:22" x14ac:dyDescent="0.25">
      <c r="A478" t="s">
        <v>6</v>
      </c>
      <c r="B478" s="2">
        <v>1.39</v>
      </c>
      <c r="C478" s="8">
        <v>0.01</v>
      </c>
      <c r="D478" s="8">
        <v>25.956</v>
      </c>
      <c r="E478" s="8">
        <v>0.14899999999999999</v>
      </c>
      <c r="F478" s="8">
        <v>1.1930000000000001</v>
      </c>
      <c r="G478" s="8">
        <v>0.189</v>
      </c>
      <c r="H478" s="8">
        <v>0.112</v>
      </c>
      <c r="I478" s="8">
        <v>7.6999999999999999E-2</v>
      </c>
      <c r="J478" s="8">
        <v>0.12</v>
      </c>
      <c r="K478" s="8">
        <f t="shared" si="77"/>
        <v>0.53499999999999992</v>
      </c>
      <c r="L478" s="8">
        <f t="shared" si="78"/>
        <v>44.973810999999998</v>
      </c>
      <c r="M478" s="1">
        <f t="shared" si="79"/>
        <v>9880.1195589411327</v>
      </c>
      <c r="N478" s="1">
        <f t="shared" si="80"/>
        <v>2.9956172424942766E+26</v>
      </c>
      <c r="O478" s="2">
        <f t="shared" si="81"/>
        <v>9708.1343232700183</v>
      </c>
      <c r="P478" s="2">
        <f t="shared" si="82"/>
        <v>44.935678883340373</v>
      </c>
      <c r="Q478" s="2">
        <f t="shared" si="83"/>
        <v>3.8132116659625126E-2</v>
      </c>
      <c r="R478" s="2">
        <f t="shared" si="84"/>
        <v>5.0801234027190514E-3</v>
      </c>
      <c r="S478" s="12">
        <v>9469.7939418974202</v>
      </c>
      <c r="T478" s="2">
        <f t="shared" si="85"/>
        <v>44.881702645348724</v>
      </c>
      <c r="U478" s="2">
        <f t="shared" si="86"/>
        <v>9.2108354651273316E-2</v>
      </c>
      <c r="V478" s="2">
        <f t="shared" si="87"/>
        <v>2.9640838489177205E-2</v>
      </c>
    </row>
    <row r="479" spans="1:22" x14ac:dyDescent="0.25">
      <c r="A479" t="s">
        <v>500</v>
      </c>
      <c r="B479" s="2">
        <v>1.54992</v>
      </c>
      <c r="C479" s="8">
        <v>6.9999999999999994E-5</v>
      </c>
      <c r="D479" s="8">
        <v>25.7576</v>
      </c>
      <c r="E479" s="8">
        <v>7.8972200000000006E-2</v>
      </c>
      <c r="F479" s="8">
        <f>-0.831631+1</f>
        <v>0.16836899999999999</v>
      </c>
      <c r="G479" s="8">
        <v>0.36499999999999999</v>
      </c>
      <c r="H479" s="8">
        <v>-0.197134</v>
      </c>
      <c r="I479" s="8">
        <v>6.8996000000000002E-2</v>
      </c>
      <c r="J479" s="8">
        <v>0.12</v>
      </c>
      <c r="K479" s="8">
        <f t="shared" si="77"/>
        <v>0.63296819999999998</v>
      </c>
      <c r="L479" s="8">
        <f t="shared" si="78"/>
        <v>45.592379663000003</v>
      </c>
      <c r="M479" s="1">
        <f t="shared" si="79"/>
        <v>13136.386947167128</v>
      </c>
      <c r="N479" s="1">
        <f t="shared" si="80"/>
        <v>3.4032244315316514E+26</v>
      </c>
      <c r="O479" s="2">
        <f t="shared" si="81"/>
        <v>11029.099260369425</v>
      </c>
      <c r="P479" s="2">
        <f t="shared" si="82"/>
        <v>45.212700226650306</v>
      </c>
      <c r="Q479" s="2">
        <f t="shared" si="83"/>
        <v>0.37967943634969714</v>
      </c>
      <c r="R479" s="2">
        <f t="shared" si="84"/>
        <v>0.35980762997333449</v>
      </c>
      <c r="S479" s="12">
        <v>10833.440950930488</v>
      </c>
      <c r="T479" s="2">
        <f t="shared" si="85"/>
        <v>45.173832102448273</v>
      </c>
      <c r="U479" s="2">
        <f t="shared" si="86"/>
        <v>0.4185475605517297</v>
      </c>
      <c r="V479" s="2">
        <f t="shared" si="87"/>
        <v>0.43724600126521806</v>
      </c>
    </row>
    <row r="480" spans="1:22" x14ac:dyDescent="0.25">
      <c r="A480" t="s">
        <v>25</v>
      </c>
      <c r="B480" s="2">
        <v>1.8</v>
      </c>
      <c r="C480" s="8">
        <v>0.01</v>
      </c>
      <c r="D480" s="8">
        <v>26.136900000000001</v>
      </c>
      <c r="E480" s="8">
        <v>7.3994099999999993E-2</v>
      </c>
      <c r="F480" s="8">
        <f>-0.472842+1</f>
        <v>0.52715800000000002</v>
      </c>
      <c r="G480" s="8">
        <v>0.6804</v>
      </c>
      <c r="H480" s="8">
        <v>-1.5653799999999999E-2</v>
      </c>
      <c r="I480" s="8">
        <v>7.1185600000000002E-2</v>
      </c>
      <c r="J480" s="8">
        <v>0.12</v>
      </c>
      <c r="K480" s="8">
        <f t="shared" si="77"/>
        <v>0.94557969999999991</v>
      </c>
      <c r="L480" s="8">
        <f t="shared" si="78"/>
        <v>45.456388619999998</v>
      </c>
      <c r="M480" s="1">
        <f t="shared" si="79"/>
        <v>12338.93635168419</v>
      </c>
      <c r="N480" s="1">
        <f t="shared" si="80"/>
        <v>4.054340862260572E+26</v>
      </c>
      <c r="O480" s="2">
        <f t="shared" si="81"/>
        <v>13139.223905112511</v>
      </c>
      <c r="P480" s="2">
        <f t="shared" si="82"/>
        <v>45.59284856748819</v>
      </c>
      <c r="Q480" s="2">
        <f t="shared" si="83"/>
        <v>-0.13645994748819135</v>
      </c>
      <c r="R480" s="2">
        <f t="shared" si="84"/>
        <v>2.0826395882675132E-2</v>
      </c>
      <c r="S480" s="12">
        <v>13025.059409166108</v>
      </c>
      <c r="T480" s="2">
        <f t="shared" si="85"/>
        <v>45.57389856427784</v>
      </c>
      <c r="U480" s="2">
        <f t="shared" si="86"/>
        <v>-0.11750994427784178</v>
      </c>
      <c r="V480" s="2">
        <f t="shared" si="87"/>
        <v>1.5443757033034104E-2</v>
      </c>
    </row>
    <row r="481" spans="1:22" x14ac:dyDescent="0.25">
      <c r="A481" t="s">
        <v>15</v>
      </c>
      <c r="B481" s="2">
        <v>1.9139999999999999</v>
      </c>
      <c r="C481" s="8">
        <v>0</v>
      </c>
      <c r="D481" s="8">
        <v>26.2</v>
      </c>
      <c r="E481" s="8">
        <v>0.11</v>
      </c>
      <c r="F481" s="8">
        <f>-1.5+1</f>
        <v>-0.5</v>
      </c>
      <c r="G481" s="8">
        <v>0.51</v>
      </c>
      <c r="H481" s="8">
        <v>-7.0999999999999994E-2</v>
      </c>
      <c r="I481" s="8">
        <v>0.11</v>
      </c>
      <c r="J481" s="8">
        <v>0.12</v>
      </c>
      <c r="K481" s="8">
        <f t="shared" si="77"/>
        <v>0.85</v>
      </c>
      <c r="L481" s="8">
        <f t="shared" si="78"/>
        <v>45.541730000000001</v>
      </c>
      <c r="M481" s="1">
        <f t="shared" si="79"/>
        <v>12833.526153740904</v>
      </c>
      <c r="N481" s="1">
        <f t="shared" si="80"/>
        <v>4.3559609546557E+26</v>
      </c>
      <c r="O481" s="2">
        <f t="shared" si="81"/>
        <v>14116.708054299375</v>
      </c>
      <c r="P481" s="2">
        <f t="shared" si="82"/>
        <v>45.748667166108689</v>
      </c>
      <c r="Q481" s="2">
        <f t="shared" si="83"/>
        <v>-0.20693716610868762</v>
      </c>
      <c r="R481" s="2">
        <f t="shared" si="84"/>
        <v>5.9270575386982112E-2</v>
      </c>
      <c r="S481" s="12">
        <v>14045.107539661623</v>
      </c>
      <c r="T481" s="2">
        <f t="shared" si="85"/>
        <v>45.737625344139687</v>
      </c>
      <c r="U481" s="2">
        <f t="shared" si="86"/>
        <v>-0.19589534413968579</v>
      </c>
      <c r="V481" s="2">
        <f t="shared" si="87"/>
        <v>5.3114167274195059E-2</v>
      </c>
    </row>
    <row r="482" spans="1:22" x14ac:dyDescent="0.25">
      <c r="A482" t="s">
        <v>24</v>
      </c>
      <c r="B482" s="2">
        <v>2.25</v>
      </c>
      <c r="C482" s="8">
        <v>0.12</v>
      </c>
      <c r="D482" s="8">
        <v>26.791</v>
      </c>
      <c r="E482" s="8">
        <v>7.2377999999999998E-2</v>
      </c>
      <c r="F482" s="8">
        <f>0.1517+1</f>
        <v>1.1516999999999999</v>
      </c>
      <c r="G482" s="8">
        <v>1.0577000000000001</v>
      </c>
      <c r="H482" s="8">
        <v>4.2164699999999999E-2</v>
      </c>
      <c r="I482" s="8">
        <v>0.13100000000000001</v>
      </c>
      <c r="J482" s="8">
        <v>0.12</v>
      </c>
      <c r="K482" s="8">
        <f>PeakMagnitudeError+StretchError+ColorError+ScatterError</f>
        <v>1.381078</v>
      </c>
      <c r="L482" s="8">
        <f>PeakMagnitude+α*(Stretch-1)-β*Color-Mb</f>
        <v>46.021324389</v>
      </c>
      <c r="M482" s="1">
        <f t="shared" si="79"/>
        <v>16005.339024969737</v>
      </c>
      <c r="N482" s="1">
        <f t="shared" si="80"/>
        <v>5.2595703412729066E+26</v>
      </c>
      <c r="O482" s="2">
        <f t="shared" si="81"/>
        <v>17045.106641611295</v>
      </c>
      <c r="P482" s="2">
        <f t="shared" si="82"/>
        <v>46.157998613544251</v>
      </c>
      <c r="Q482" s="2">
        <f t="shared" si="83"/>
        <v>-0.13667422454425093</v>
      </c>
      <c r="R482" s="2">
        <f t="shared" si="84"/>
        <v>9.793475080547143E-3</v>
      </c>
      <c r="S482" s="12">
        <v>17116.864254064749</v>
      </c>
      <c r="T482" s="2">
        <f t="shared" si="85"/>
        <v>46.167121032461964</v>
      </c>
      <c r="U482" s="2">
        <f t="shared" si="86"/>
        <v>-0.14579664346196353</v>
      </c>
      <c r="V482" s="2">
        <f t="shared" si="87"/>
        <v>1.1144449923870235E-2</v>
      </c>
    </row>
    <row r="483" spans="1:22" ht="18.75" x14ac:dyDescent="0.3">
      <c r="C483" s="8"/>
      <c r="D483" s="8"/>
      <c r="E483" s="8"/>
      <c r="F483" s="8"/>
      <c r="G483" s="8"/>
      <c r="H483" s="8"/>
      <c r="I483" s="8"/>
      <c r="J483" s="8"/>
      <c r="K483" s="8"/>
      <c r="L483" s="8">
        <f>AVERAGE(L7:L482)</f>
        <v>40.510829272420203</v>
      </c>
      <c r="M483" s="1">
        <f>AVERAGE(M7:M482)</f>
        <v>2760.2572495500931</v>
      </c>
      <c r="P483" s="2">
        <f>AVERAGE(P7:P482)</f>
        <v>40.483673258313573</v>
      </c>
      <c r="R483" s="2">
        <f>SUM(R7:R482)</f>
        <v>398.45375736590631</v>
      </c>
      <c r="V483" s="21">
        <f>SUM(V7:V482)/(COUNT(V7:V482)-4)</f>
        <v>2.3085535705988023</v>
      </c>
    </row>
    <row r="484" spans="1:22" ht="18.75" x14ac:dyDescent="0.3">
      <c r="R484" s="21">
        <f>SUM(R7:R482)/(COUNT(R7:R482)-2)</f>
        <v>0.84061974127828332</v>
      </c>
      <c r="V484" s="18"/>
    </row>
    <row r="487" spans="1:22" x14ac:dyDescent="0.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1"/>
    </row>
  </sheetData>
  <sortState xmlns:xlrd2="http://schemas.microsoft.com/office/spreadsheetml/2017/richdata2" ref="A2:P478">
    <sortCondition ref="B2:B478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"/>
  <sheetViews>
    <sheetView zoomScale="130" zoomScaleNormal="13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5C69-41A1-4B4E-B3AC-50943BEA87E1}">
  <dimension ref="A1:H103"/>
  <sheetViews>
    <sheetView workbookViewId="0"/>
  </sheetViews>
  <sheetFormatPr defaultRowHeight="15" x14ac:dyDescent="0.25"/>
  <cols>
    <col min="1" max="7" width="9.140625" style="12"/>
    <col min="8" max="8" width="11" style="2" bestFit="1" customWidth="1"/>
  </cols>
  <sheetData>
    <row r="1" spans="1:8" ht="20.25" x14ac:dyDescent="0.35">
      <c r="A1" s="37" t="s">
        <v>607</v>
      </c>
      <c r="B1" s="37">
        <v>0.1</v>
      </c>
      <c r="C1" s="37"/>
      <c r="D1" s="37"/>
      <c r="E1" s="37"/>
    </row>
    <row r="2" spans="1:8" ht="20.25" x14ac:dyDescent="0.35">
      <c r="A2" s="37" t="s">
        <v>608</v>
      </c>
      <c r="B2" s="37">
        <v>0.2</v>
      </c>
      <c r="C2" s="37"/>
      <c r="D2" s="37"/>
      <c r="E2" s="37"/>
    </row>
    <row r="3" spans="1:8" ht="18.75" x14ac:dyDescent="0.3">
      <c r="A3" s="37"/>
    </row>
    <row r="4" spans="1:8" s="35" customFormat="1" ht="21.75" x14ac:dyDescent="0.35">
      <c r="A4" s="38" t="s">
        <v>609</v>
      </c>
      <c r="B4" s="38" t="s">
        <v>612</v>
      </c>
      <c r="C4" s="38"/>
      <c r="D4" s="38" t="s">
        <v>606</v>
      </c>
      <c r="E4" s="38" t="s">
        <v>634</v>
      </c>
      <c r="F4" s="38" t="s">
        <v>610</v>
      </c>
      <c r="G4" s="38" t="s">
        <v>611</v>
      </c>
      <c r="H4" s="36"/>
    </row>
    <row r="5" spans="1:8" x14ac:dyDescent="0.25">
      <c r="A5" s="12">
        <v>0</v>
      </c>
      <c r="B5" s="12">
        <f t="shared" ref="B5:B36" si="0">(_xlfn.SINGLE(veloc)+accel*_xlfn.SINGLE(time))</f>
        <v>0.2</v>
      </c>
      <c r="D5" s="12">
        <f>time</f>
        <v>0</v>
      </c>
      <c r="E5" s="12">
        <f t="shared" ref="E5:E36" si="1">time+time*veloc+accel/2*time^2</f>
        <v>0</v>
      </c>
    </row>
    <row r="6" spans="1:8" x14ac:dyDescent="0.25">
      <c r="A6" s="12">
        <f>A5+1</f>
        <v>1</v>
      </c>
      <c r="B6" s="12">
        <f t="shared" si="0"/>
        <v>0.30000000000000004</v>
      </c>
      <c r="C6" s="12">
        <f>(A6-A5)+B6</f>
        <v>1.3</v>
      </c>
      <c r="D6" s="12">
        <f t="shared" ref="D6:D37" si="2">D5+(A6-A5)+(_xlfn.SINGLE(veloc)+accel*_xlfn.SINGLE(time))</f>
        <v>1.3</v>
      </c>
      <c r="E6" s="12">
        <f t="shared" si="1"/>
        <v>1.25</v>
      </c>
      <c r="F6" s="12">
        <f t="shared" ref="F6:F37" si="3">(D6-D5)/(A6-A5)</f>
        <v>1.3</v>
      </c>
    </row>
    <row r="7" spans="1:8" x14ac:dyDescent="0.25">
      <c r="A7" s="12">
        <f t="shared" ref="A7:A70" si="4">A6+1</f>
        <v>2</v>
      </c>
      <c r="B7" s="12">
        <f t="shared" si="0"/>
        <v>0.4</v>
      </c>
      <c r="C7" s="12">
        <f t="shared" ref="C7:C70" si="5">(A7-A6)+B7</f>
        <v>1.4</v>
      </c>
      <c r="D7" s="12">
        <f t="shared" si="2"/>
        <v>2.6999999999999997</v>
      </c>
      <c r="E7" s="12">
        <f t="shared" si="1"/>
        <v>2.6</v>
      </c>
      <c r="F7" s="12">
        <f t="shared" si="3"/>
        <v>1.3999999999999997</v>
      </c>
      <c r="G7" s="12">
        <f t="shared" ref="G7:G38" si="6">(F7-F6)/(A7-A6)</f>
        <v>9.9999999999999645E-2</v>
      </c>
    </row>
    <row r="8" spans="1:8" x14ac:dyDescent="0.25">
      <c r="A8" s="12">
        <f t="shared" si="4"/>
        <v>3</v>
      </c>
      <c r="B8" s="12">
        <f t="shared" si="0"/>
        <v>0.5</v>
      </c>
      <c r="C8" s="12">
        <f t="shared" si="5"/>
        <v>1.5</v>
      </c>
      <c r="D8" s="12">
        <f t="shared" si="2"/>
        <v>4.1999999999999993</v>
      </c>
      <c r="E8" s="12">
        <f t="shared" si="1"/>
        <v>4.05</v>
      </c>
      <c r="F8" s="12">
        <f t="shared" si="3"/>
        <v>1.4999999999999996</v>
      </c>
      <c r="G8" s="12">
        <f t="shared" si="6"/>
        <v>9.9999999999999867E-2</v>
      </c>
    </row>
    <row r="9" spans="1:8" x14ac:dyDescent="0.25">
      <c r="A9" s="12">
        <f t="shared" si="4"/>
        <v>4</v>
      </c>
      <c r="B9" s="12">
        <f t="shared" si="0"/>
        <v>0.60000000000000009</v>
      </c>
      <c r="C9" s="12">
        <f t="shared" si="5"/>
        <v>1.6</v>
      </c>
      <c r="D9" s="12">
        <f t="shared" si="2"/>
        <v>5.7999999999999989</v>
      </c>
      <c r="E9" s="12">
        <f t="shared" si="1"/>
        <v>5.6</v>
      </c>
      <c r="F9" s="12">
        <f t="shared" si="3"/>
        <v>1.5999999999999996</v>
      </c>
      <c r="G9" s="12">
        <f t="shared" si="6"/>
        <v>0.10000000000000009</v>
      </c>
    </row>
    <row r="10" spans="1:8" x14ac:dyDescent="0.25">
      <c r="A10" s="12">
        <f t="shared" si="4"/>
        <v>5</v>
      </c>
      <c r="B10" s="12">
        <f t="shared" si="0"/>
        <v>0.7</v>
      </c>
      <c r="C10" s="12">
        <f t="shared" si="5"/>
        <v>1.7</v>
      </c>
      <c r="D10" s="12">
        <f t="shared" si="2"/>
        <v>7.4999999999999991</v>
      </c>
      <c r="E10" s="12">
        <f t="shared" si="1"/>
        <v>7.25</v>
      </c>
      <c r="F10" s="12">
        <f t="shared" si="3"/>
        <v>1.7000000000000002</v>
      </c>
      <c r="G10" s="12">
        <f t="shared" si="6"/>
        <v>0.10000000000000053</v>
      </c>
    </row>
    <row r="11" spans="1:8" x14ac:dyDescent="0.25">
      <c r="A11" s="12">
        <f t="shared" si="4"/>
        <v>6</v>
      </c>
      <c r="B11" s="12">
        <f t="shared" si="0"/>
        <v>0.8</v>
      </c>
      <c r="C11" s="12">
        <f t="shared" si="5"/>
        <v>1.8</v>
      </c>
      <c r="D11" s="12">
        <f t="shared" si="2"/>
        <v>9.3000000000000007</v>
      </c>
      <c r="E11" s="12">
        <f t="shared" si="1"/>
        <v>9</v>
      </c>
      <c r="F11" s="12">
        <f t="shared" si="3"/>
        <v>1.8000000000000016</v>
      </c>
      <c r="G11" s="12">
        <f t="shared" si="6"/>
        <v>0.10000000000000142</v>
      </c>
    </row>
    <row r="12" spans="1:8" x14ac:dyDescent="0.25">
      <c r="A12" s="12">
        <f t="shared" si="4"/>
        <v>7</v>
      </c>
      <c r="B12" s="12">
        <f t="shared" si="0"/>
        <v>0.90000000000000013</v>
      </c>
      <c r="C12" s="12">
        <f t="shared" si="5"/>
        <v>1.9000000000000001</v>
      </c>
      <c r="D12" s="12">
        <f t="shared" si="2"/>
        <v>11.200000000000001</v>
      </c>
      <c r="E12" s="12">
        <f t="shared" si="1"/>
        <v>10.850000000000001</v>
      </c>
      <c r="F12" s="12">
        <f t="shared" si="3"/>
        <v>1.9000000000000004</v>
      </c>
      <c r="G12" s="12">
        <f t="shared" si="6"/>
        <v>9.9999999999998757E-2</v>
      </c>
    </row>
    <row r="13" spans="1:8" x14ac:dyDescent="0.25">
      <c r="A13" s="12">
        <f t="shared" si="4"/>
        <v>8</v>
      </c>
      <c r="B13" s="12">
        <f t="shared" si="0"/>
        <v>1</v>
      </c>
      <c r="C13" s="12">
        <f t="shared" si="5"/>
        <v>2</v>
      </c>
      <c r="D13" s="12">
        <f t="shared" si="2"/>
        <v>13.200000000000001</v>
      </c>
      <c r="E13" s="12">
        <f t="shared" si="1"/>
        <v>12.8</v>
      </c>
      <c r="F13" s="12">
        <f t="shared" si="3"/>
        <v>2</v>
      </c>
      <c r="G13" s="12">
        <f t="shared" si="6"/>
        <v>9.9999999999999645E-2</v>
      </c>
    </row>
    <row r="14" spans="1:8" x14ac:dyDescent="0.25">
      <c r="A14" s="12">
        <f t="shared" si="4"/>
        <v>9</v>
      </c>
      <c r="B14" s="12">
        <f t="shared" si="0"/>
        <v>1.1000000000000001</v>
      </c>
      <c r="C14" s="12">
        <f t="shared" si="5"/>
        <v>2.1</v>
      </c>
      <c r="D14" s="12">
        <f t="shared" si="2"/>
        <v>15.3</v>
      </c>
      <c r="E14" s="12">
        <f t="shared" si="1"/>
        <v>14.850000000000001</v>
      </c>
      <c r="F14" s="12">
        <f t="shared" si="3"/>
        <v>2.0999999999999996</v>
      </c>
      <c r="G14" s="12">
        <f t="shared" si="6"/>
        <v>9.9999999999999645E-2</v>
      </c>
    </row>
    <row r="15" spans="1:8" x14ac:dyDescent="0.25">
      <c r="A15" s="12">
        <f t="shared" si="4"/>
        <v>10</v>
      </c>
      <c r="B15" s="12">
        <f t="shared" si="0"/>
        <v>1.2</v>
      </c>
      <c r="C15" s="12">
        <f t="shared" si="5"/>
        <v>2.2000000000000002</v>
      </c>
      <c r="D15" s="12">
        <f t="shared" si="2"/>
        <v>17.5</v>
      </c>
      <c r="E15" s="12">
        <f t="shared" si="1"/>
        <v>17</v>
      </c>
      <c r="F15" s="12">
        <f t="shared" si="3"/>
        <v>2.1999999999999993</v>
      </c>
      <c r="G15" s="12">
        <f t="shared" si="6"/>
        <v>9.9999999999999645E-2</v>
      </c>
    </row>
    <row r="16" spans="1:8" x14ac:dyDescent="0.25">
      <c r="A16" s="12">
        <f t="shared" si="4"/>
        <v>11</v>
      </c>
      <c r="B16" s="12">
        <f t="shared" si="0"/>
        <v>1.3</v>
      </c>
      <c r="C16" s="12">
        <f t="shared" si="5"/>
        <v>2.2999999999999998</v>
      </c>
      <c r="D16" s="12">
        <f t="shared" si="2"/>
        <v>19.8</v>
      </c>
      <c r="E16" s="12">
        <f t="shared" si="1"/>
        <v>19.25</v>
      </c>
      <c r="F16" s="12">
        <f t="shared" si="3"/>
        <v>2.3000000000000007</v>
      </c>
      <c r="G16" s="12">
        <f t="shared" si="6"/>
        <v>0.10000000000000142</v>
      </c>
    </row>
    <row r="17" spans="1:7" x14ac:dyDescent="0.25">
      <c r="A17" s="12">
        <f t="shared" si="4"/>
        <v>12</v>
      </c>
      <c r="B17" s="12">
        <f t="shared" si="0"/>
        <v>1.4000000000000001</v>
      </c>
      <c r="C17" s="12">
        <f t="shared" si="5"/>
        <v>2.4000000000000004</v>
      </c>
      <c r="D17" s="12">
        <f t="shared" si="2"/>
        <v>22.2</v>
      </c>
      <c r="E17" s="12">
        <f t="shared" si="1"/>
        <v>21.6</v>
      </c>
      <c r="F17" s="12">
        <f t="shared" si="3"/>
        <v>2.3999999999999986</v>
      </c>
      <c r="G17" s="12">
        <f t="shared" si="6"/>
        <v>9.9999999999997868E-2</v>
      </c>
    </row>
    <row r="18" spans="1:7" x14ac:dyDescent="0.25">
      <c r="A18" s="12">
        <f t="shared" si="4"/>
        <v>13</v>
      </c>
      <c r="B18" s="12">
        <f t="shared" si="0"/>
        <v>1.5</v>
      </c>
      <c r="C18" s="12">
        <f t="shared" si="5"/>
        <v>2.5</v>
      </c>
      <c r="D18" s="12">
        <f t="shared" si="2"/>
        <v>24.7</v>
      </c>
      <c r="E18" s="12">
        <f t="shared" si="1"/>
        <v>24.05</v>
      </c>
      <c r="F18" s="12">
        <f t="shared" si="3"/>
        <v>2.5</v>
      </c>
      <c r="G18" s="12">
        <f t="shared" si="6"/>
        <v>0.10000000000000142</v>
      </c>
    </row>
    <row r="19" spans="1:7" x14ac:dyDescent="0.25">
      <c r="A19" s="12">
        <f t="shared" si="4"/>
        <v>14</v>
      </c>
      <c r="B19" s="12">
        <f t="shared" si="0"/>
        <v>1.6</v>
      </c>
      <c r="C19" s="12">
        <f t="shared" si="5"/>
        <v>2.6</v>
      </c>
      <c r="D19" s="12">
        <f t="shared" si="2"/>
        <v>27.3</v>
      </c>
      <c r="E19" s="12">
        <f t="shared" si="1"/>
        <v>26.6</v>
      </c>
      <c r="F19" s="12">
        <f t="shared" si="3"/>
        <v>2.6000000000000014</v>
      </c>
      <c r="G19" s="12">
        <f t="shared" si="6"/>
        <v>0.10000000000000142</v>
      </c>
    </row>
    <row r="20" spans="1:7" x14ac:dyDescent="0.25">
      <c r="A20" s="12">
        <f t="shared" si="4"/>
        <v>15</v>
      </c>
      <c r="B20" s="12">
        <f t="shared" si="0"/>
        <v>1.7</v>
      </c>
      <c r="C20" s="12">
        <f t="shared" si="5"/>
        <v>2.7</v>
      </c>
      <c r="D20" s="12">
        <f t="shared" si="2"/>
        <v>30</v>
      </c>
      <c r="E20" s="12">
        <f t="shared" si="1"/>
        <v>29.25</v>
      </c>
      <c r="F20" s="12">
        <f t="shared" si="3"/>
        <v>2.6999999999999993</v>
      </c>
      <c r="G20" s="12">
        <f t="shared" si="6"/>
        <v>9.9999999999997868E-2</v>
      </c>
    </row>
    <row r="21" spans="1:7" x14ac:dyDescent="0.25">
      <c r="A21" s="12">
        <f t="shared" si="4"/>
        <v>16</v>
      </c>
      <c r="B21" s="12">
        <f t="shared" si="0"/>
        <v>1.8</v>
      </c>
      <c r="C21" s="12">
        <f t="shared" si="5"/>
        <v>2.8</v>
      </c>
      <c r="D21" s="12">
        <f t="shared" si="2"/>
        <v>32.799999999999997</v>
      </c>
      <c r="E21" s="12">
        <f t="shared" si="1"/>
        <v>32</v>
      </c>
      <c r="F21" s="12">
        <f t="shared" si="3"/>
        <v>2.7999999999999972</v>
      </c>
      <c r="G21" s="12">
        <f t="shared" si="6"/>
        <v>9.9999999999997868E-2</v>
      </c>
    </row>
    <row r="22" spans="1:7" x14ac:dyDescent="0.25">
      <c r="A22" s="12">
        <f t="shared" si="4"/>
        <v>17</v>
      </c>
      <c r="B22" s="12">
        <f t="shared" si="0"/>
        <v>1.9000000000000001</v>
      </c>
      <c r="C22" s="12">
        <f t="shared" si="5"/>
        <v>2.9000000000000004</v>
      </c>
      <c r="D22" s="12">
        <f t="shared" si="2"/>
        <v>35.699999999999996</v>
      </c>
      <c r="E22" s="12">
        <f t="shared" si="1"/>
        <v>34.85</v>
      </c>
      <c r="F22" s="12">
        <f t="shared" si="3"/>
        <v>2.8999999999999986</v>
      </c>
      <c r="G22" s="12">
        <f t="shared" si="6"/>
        <v>0.10000000000000142</v>
      </c>
    </row>
    <row r="23" spans="1:7" x14ac:dyDescent="0.25">
      <c r="A23" s="12">
        <f t="shared" si="4"/>
        <v>18</v>
      </c>
      <c r="B23" s="12">
        <f t="shared" si="0"/>
        <v>2</v>
      </c>
      <c r="C23" s="12">
        <f t="shared" si="5"/>
        <v>3</v>
      </c>
      <c r="D23" s="12">
        <f t="shared" si="2"/>
        <v>38.699999999999996</v>
      </c>
      <c r="E23" s="12">
        <f t="shared" si="1"/>
        <v>37.799999999999997</v>
      </c>
      <c r="F23" s="12">
        <f t="shared" si="3"/>
        <v>3</v>
      </c>
      <c r="G23" s="12">
        <f t="shared" si="6"/>
        <v>0.10000000000000142</v>
      </c>
    </row>
    <row r="24" spans="1:7" x14ac:dyDescent="0.25">
      <c r="A24" s="12">
        <f t="shared" si="4"/>
        <v>19</v>
      </c>
      <c r="B24" s="12">
        <f t="shared" si="0"/>
        <v>2.1</v>
      </c>
      <c r="C24" s="12">
        <f t="shared" si="5"/>
        <v>3.1</v>
      </c>
      <c r="D24" s="12">
        <f t="shared" si="2"/>
        <v>41.8</v>
      </c>
      <c r="E24" s="12">
        <f t="shared" si="1"/>
        <v>40.85</v>
      </c>
      <c r="F24" s="12">
        <f t="shared" si="3"/>
        <v>3.1000000000000014</v>
      </c>
      <c r="G24" s="12">
        <f t="shared" si="6"/>
        <v>0.10000000000000142</v>
      </c>
    </row>
    <row r="25" spans="1:7" x14ac:dyDescent="0.25">
      <c r="A25" s="12">
        <f t="shared" si="4"/>
        <v>20</v>
      </c>
      <c r="B25" s="12">
        <f t="shared" si="0"/>
        <v>2.2000000000000002</v>
      </c>
      <c r="C25" s="12">
        <f t="shared" si="5"/>
        <v>3.2</v>
      </c>
      <c r="D25" s="12">
        <f t="shared" si="2"/>
        <v>45</v>
      </c>
      <c r="E25" s="12">
        <f t="shared" si="1"/>
        <v>44</v>
      </c>
      <c r="F25" s="12">
        <f t="shared" si="3"/>
        <v>3.2000000000000028</v>
      </c>
      <c r="G25" s="12">
        <f t="shared" si="6"/>
        <v>0.10000000000000142</v>
      </c>
    </row>
    <row r="26" spans="1:7" x14ac:dyDescent="0.25">
      <c r="A26" s="12">
        <f t="shared" si="4"/>
        <v>21</v>
      </c>
      <c r="B26" s="12">
        <f t="shared" si="0"/>
        <v>2.3000000000000003</v>
      </c>
      <c r="C26" s="12">
        <f t="shared" si="5"/>
        <v>3.3000000000000003</v>
      </c>
      <c r="D26" s="12">
        <f t="shared" si="2"/>
        <v>48.3</v>
      </c>
      <c r="E26" s="12">
        <f t="shared" si="1"/>
        <v>47.25</v>
      </c>
      <c r="F26" s="12">
        <f t="shared" si="3"/>
        <v>3.2999999999999972</v>
      </c>
      <c r="G26" s="12">
        <f t="shared" si="6"/>
        <v>9.9999999999994316E-2</v>
      </c>
    </row>
    <row r="27" spans="1:7" x14ac:dyDescent="0.25">
      <c r="A27" s="12">
        <f t="shared" si="4"/>
        <v>22</v>
      </c>
      <c r="B27" s="12">
        <f t="shared" si="0"/>
        <v>2.4000000000000004</v>
      </c>
      <c r="C27" s="12">
        <f t="shared" si="5"/>
        <v>3.4000000000000004</v>
      </c>
      <c r="D27" s="12">
        <f t="shared" si="2"/>
        <v>51.699999999999996</v>
      </c>
      <c r="E27" s="12">
        <f t="shared" si="1"/>
        <v>50.6</v>
      </c>
      <c r="F27" s="12">
        <f t="shared" si="3"/>
        <v>3.3999999999999986</v>
      </c>
      <c r="G27" s="12">
        <f t="shared" si="6"/>
        <v>0.10000000000000142</v>
      </c>
    </row>
    <row r="28" spans="1:7" x14ac:dyDescent="0.25">
      <c r="A28" s="12">
        <f t="shared" si="4"/>
        <v>23</v>
      </c>
      <c r="B28" s="12">
        <f t="shared" si="0"/>
        <v>2.5000000000000004</v>
      </c>
      <c r="C28" s="12">
        <f t="shared" si="5"/>
        <v>3.5000000000000004</v>
      </c>
      <c r="D28" s="12">
        <f t="shared" si="2"/>
        <v>55.199999999999996</v>
      </c>
      <c r="E28" s="12">
        <f t="shared" si="1"/>
        <v>54.050000000000004</v>
      </c>
      <c r="F28" s="12">
        <f t="shared" si="3"/>
        <v>3.5</v>
      </c>
      <c r="G28" s="12">
        <f t="shared" si="6"/>
        <v>0.10000000000000142</v>
      </c>
    </row>
    <row r="29" spans="1:7" x14ac:dyDescent="0.25">
      <c r="A29" s="12">
        <f t="shared" si="4"/>
        <v>24</v>
      </c>
      <c r="B29" s="12">
        <f t="shared" si="0"/>
        <v>2.6000000000000005</v>
      </c>
      <c r="C29" s="12">
        <f t="shared" si="5"/>
        <v>3.6000000000000005</v>
      </c>
      <c r="D29" s="12">
        <f t="shared" si="2"/>
        <v>58.8</v>
      </c>
      <c r="E29" s="12">
        <f t="shared" si="1"/>
        <v>57.6</v>
      </c>
      <c r="F29" s="12">
        <f t="shared" si="3"/>
        <v>3.6000000000000014</v>
      </c>
      <c r="G29" s="12">
        <f t="shared" si="6"/>
        <v>0.10000000000000142</v>
      </c>
    </row>
    <row r="30" spans="1:7" x14ac:dyDescent="0.25">
      <c r="A30" s="12">
        <f t="shared" si="4"/>
        <v>25</v>
      </c>
      <c r="B30" s="12">
        <f t="shared" si="0"/>
        <v>2.7</v>
      </c>
      <c r="C30" s="12">
        <f t="shared" si="5"/>
        <v>3.7</v>
      </c>
      <c r="D30" s="12">
        <f t="shared" si="2"/>
        <v>62.5</v>
      </c>
      <c r="E30" s="12">
        <f t="shared" si="1"/>
        <v>61.25</v>
      </c>
      <c r="F30" s="12">
        <f t="shared" si="3"/>
        <v>3.7000000000000028</v>
      </c>
      <c r="G30" s="12">
        <f t="shared" si="6"/>
        <v>0.10000000000000142</v>
      </c>
    </row>
    <row r="31" spans="1:7" x14ac:dyDescent="0.25">
      <c r="A31" s="12">
        <f t="shared" si="4"/>
        <v>26</v>
      </c>
      <c r="B31" s="12">
        <f t="shared" si="0"/>
        <v>2.8000000000000003</v>
      </c>
      <c r="C31" s="12">
        <f t="shared" si="5"/>
        <v>3.8000000000000003</v>
      </c>
      <c r="D31" s="12">
        <f t="shared" si="2"/>
        <v>66.3</v>
      </c>
      <c r="E31" s="12">
        <f t="shared" si="1"/>
        <v>65</v>
      </c>
      <c r="F31" s="12">
        <f t="shared" si="3"/>
        <v>3.7999999999999972</v>
      </c>
      <c r="G31" s="12">
        <f t="shared" si="6"/>
        <v>9.9999999999994316E-2</v>
      </c>
    </row>
    <row r="32" spans="1:7" x14ac:dyDescent="0.25">
      <c r="A32" s="12">
        <f t="shared" si="4"/>
        <v>27</v>
      </c>
      <c r="B32" s="12">
        <f t="shared" si="0"/>
        <v>2.9000000000000004</v>
      </c>
      <c r="C32" s="12">
        <f t="shared" si="5"/>
        <v>3.9000000000000004</v>
      </c>
      <c r="D32" s="12">
        <f t="shared" si="2"/>
        <v>70.2</v>
      </c>
      <c r="E32" s="12">
        <f t="shared" si="1"/>
        <v>68.849999999999994</v>
      </c>
      <c r="F32" s="12">
        <f t="shared" si="3"/>
        <v>3.9000000000000057</v>
      </c>
      <c r="G32" s="12">
        <f t="shared" si="6"/>
        <v>0.10000000000000853</v>
      </c>
    </row>
    <row r="33" spans="1:7" x14ac:dyDescent="0.25">
      <c r="A33" s="12">
        <f t="shared" si="4"/>
        <v>28</v>
      </c>
      <c r="B33" s="12">
        <f t="shared" si="0"/>
        <v>3.0000000000000004</v>
      </c>
      <c r="C33" s="12">
        <f t="shared" si="5"/>
        <v>4</v>
      </c>
      <c r="D33" s="12">
        <f t="shared" si="2"/>
        <v>74.2</v>
      </c>
      <c r="E33" s="12">
        <f t="shared" si="1"/>
        <v>72.800000000000011</v>
      </c>
      <c r="F33" s="12">
        <f t="shared" si="3"/>
        <v>4</v>
      </c>
      <c r="G33" s="12">
        <f t="shared" si="6"/>
        <v>9.9999999999994316E-2</v>
      </c>
    </row>
    <row r="34" spans="1:7" x14ac:dyDescent="0.25">
      <c r="A34" s="12">
        <f t="shared" si="4"/>
        <v>29</v>
      </c>
      <c r="B34" s="12">
        <f t="shared" si="0"/>
        <v>3.1000000000000005</v>
      </c>
      <c r="C34" s="12">
        <f t="shared" si="5"/>
        <v>4.1000000000000005</v>
      </c>
      <c r="D34" s="12">
        <f t="shared" si="2"/>
        <v>78.3</v>
      </c>
      <c r="E34" s="12">
        <f t="shared" si="1"/>
        <v>76.849999999999994</v>
      </c>
      <c r="F34" s="12">
        <f t="shared" si="3"/>
        <v>4.0999999999999943</v>
      </c>
      <c r="G34" s="12">
        <f t="shared" si="6"/>
        <v>9.9999999999994316E-2</v>
      </c>
    </row>
    <row r="35" spans="1:7" x14ac:dyDescent="0.25">
      <c r="A35" s="12">
        <f t="shared" si="4"/>
        <v>30</v>
      </c>
      <c r="B35" s="12">
        <f t="shared" si="0"/>
        <v>3.2</v>
      </c>
      <c r="C35" s="12">
        <f t="shared" si="5"/>
        <v>4.2</v>
      </c>
      <c r="D35" s="12">
        <f t="shared" si="2"/>
        <v>82.5</v>
      </c>
      <c r="E35" s="12">
        <f t="shared" si="1"/>
        <v>81</v>
      </c>
      <c r="F35" s="12">
        <f t="shared" si="3"/>
        <v>4.2000000000000028</v>
      </c>
      <c r="G35" s="12">
        <f t="shared" si="6"/>
        <v>0.10000000000000853</v>
      </c>
    </row>
    <row r="36" spans="1:7" x14ac:dyDescent="0.25">
      <c r="A36" s="12">
        <f t="shared" si="4"/>
        <v>31</v>
      </c>
      <c r="B36" s="12">
        <f t="shared" si="0"/>
        <v>3.3000000000000003</v>
      </c>
      <c r="C36" s="12">
        <f t="shared" si="5"/>
        <v>4.3000000000000007</v>
      </c>
      <c r="D36" s="12">
        <f t="shared" si="2"/>
        <v>86.8</v>
      </c>
      <c r="E36" s="12">
        <f t="shared" si="1"/>
        <v>85.25</v>
      </c>
      <c r="F36" s="12">
        <f t="shared" si="3"/>
        <v>4.2999999999999972</v>
      </c>
      <c r="G36" s="12">
        <f t="shared" si="6"/>
        <v>9.9999999999994316E-2</v>
      </c>
    </row>
    <row r="37" spans="1:7" x14ac:dyDescent="0.25">
      <c r="A37" s="12">
        <f t="shared" si="4"/>
        <v>32</v>
      </c>
      <c r="B37" s="12">
        <f t="shared" ref="B37:B68" si="7">(_xlfn.SINGLE(veloc)+accel*_xlfn.SINGLE(time))</f>
        <v>3.4000000000000004</v>
      </c>
      <c r="C37" s="12">
        <f t="shared" si="5"/>
        <v>4.4000000000000004</v>
      </c>
      <c r="D37" s="12">
        <f t="shared" si="2"/>
        <v>91.2</v>
      </c>
      <c r="E37" s="12">
        <f t="shared" ref="E37:E68" si="8">time+time*veloc+accel/2*time^2</f>
        <v>89.6</v>
      </c>
      <c r="F37" s="12">
        <f t="shared" si="3"/>
        <v>4.4000000000000057</v>
      </c>
      <c r="G37" s="12">
        <f t="shared" si="6"/>
        <v>0.10000000000000853</v>
      </c>
    </row>
    <row r="38" spans="1:7" x14ac:dyDescent="0.25">
      <c r="A38" s="12">
        <f t="shared" si="4"/>
        <v>33</v>
      </c>
      <c r="B38" s="12">
        <f t="shared" si="7"/>
        <v>3.5000000000000004</v>
      </c>
      <c r="C38" s="12">
        <f t="shared" si="5"/>
        <v>4.5</v>
      </c>
      <c r="D38" s="12">
        <f t="shared" ref="D38:D69" si="9">D37+(A38-A37)+(_xlfn.SINGLE(veloc)+accel*_xlfn.SINGLE(time))</f>
        <v>95.7</v>
      </c>
      <c r="E38" s="12">
        <f t="shared" si="8"/>
        <v>94.050000000000011</v>
      </c>
      <c r="F38" s="12">
        <f t="shared" ref="F38:F69" si="10">(D38-D37)/(A38-A37)</f>
        <v>4.5</v>
      </c>
      <c r="G38" s="12">
        <f t="shared" si="6"/>
        <v>9.9999999999994316E-2</v>
      </c>
    </row>
    <row r="39" spans="1:7" x14ac:dyDescent="0.25">
      <c r="A39" s="12">
        <f t="shared" si="4"/>
        <v>34</v>
      </c>
      <c r="B39" s="12">
        <f t="shared" si="7"/>
        <v>3.6000000000000005</v>
      </c>
      <c r="C39" s="12">
        <f t="shared" si="5"/>
        <v>4.6000000000000005</v>
      </c>
      <c r="D39" s="12">
        <f t="shared" si="9"/>
        <v>100.3</v>
      </c>
      <c r="E39" s="12">
        <f t="shared" si="8"/>
        <v>98.6</v>
      </c>
      <c r="F39" s="12">
        <f t="shared" si="10"/>
        <v>4.5999999999999943</v>
      </c>
      <c r="G39" s="12">
        <f t="shared" ref="G39:G70" si="11">(F39-F38)/(A39-A38)</f>
        <v>9.9999999999994316E-2</v>
      </c>
    </row>
    <row r="40" spans="1:7" x14ac:dyDescent="0.25">
      <c r="A40" s="12">
        <f t="shared" si="4"/>
        <v>35</v>
      </c>
      <c r="B40" s="12">
        <f t="shared" si="7"/>
        <v>3.7</v>
      </c>
      <c r="C40" s="12">
        <f t="shared" si="5"/>
        <v>4.7</v>
      </c>
      <c r="D40" s="12">
        <f t="shared" si="9"/>
        <v>105</v>
      </c>
      <c r="E40" s="12">
        <f t="shared" si="8"/>
        <v>103.25</v>
      </c>
      <c r="F40" s="12">
        <f t="shared" si="10"/>
        <v>4.7000000000000028</v>
      </c>
      <c r="G40" s="12">
        <f t="shared" si="11"/>
        <v>0.10000000000000853</v>
      </c>
    </row>
    <row r="41" spans="1:7" x14ac:dyDescent="0.25">
      <c r="A41" s="12">
        <f t="shared" si="4"/>
        <v>36</v>
      </c>
      <c r="B41" s="12">
        <f t="shared" si="7"/>
        <v>3.8000000000000003</v>
      </c>
      <c r="C41" s="12">
        <f t="shared" si="5"/>
        <v>4.8000000000000007</v>
      </c>
      <c r="D41" s="12">
        <f t="shared" si="9"/>
        <v>109.8</v>
      </c>
      <c r="E41" s="12">
        <f t="shared" si="8"/>
        <v>108</v>
      </c>
      <c r="F41" s="12">
        <f t="shared" si="10"/>
        <v>4.7999999999999972</v>
      </c>
      <c r="G41" s="12">
        <f t="shared" si="11"/>
        <v>9.9999999999994316E-2</v>
      </c>
    </row>
    <row r="42" spans="1:7" x14ac:dyDescent="0.25">
      <c r="A42" s="12">
        <f t="shared" si="4"/>
        <v>37</v>
      </c>
      <c r="B42" s="12">
        <f t="shared" si="7"/>
        <v>3.9000000000000004</v>
      </c>
      <c r="C42" s="12">
        <f t="shared" si="5"/>
        <v>4.9000000000000004</v>
      </c>
      <c r="D42" s="12">
        <f t="shared" si="9"/>
        <v>114.7</v>
      </c>
      <c r="E42" s="12">
        <f t="shared" si="8"/>
        <v>112.85</v>
      </c>
      <c r="F42" s="12">
        <f t="shared" si="10"/>
        <v>4.9000000000000057</v>
      </c>
      <c r="G42" s="12">
        <f t="shared" si="11"/>
        <v>0.10000000000000853</v>
      </c>
    </row>
    <row r="43" spans="1:7" x14ac:dyDescent="0.25">
      <c r="A43" s="12">
        <f t="shared" si="4"/>
        <v>38</v>
      </c>
      <c r="B43" s="12">
        <f t="shared" si="7"/>
        <v>4</v>
      </c>
      <c r="C43" s="12">
        <f t="shared" si="5"/>
        <v>5</v>
      </c>
      <c r="D43" s="12">
        <f t="shared" si="9"/>
        <v>119.7</v>
      </c>
      <c r="E43" s="12">
        <f t="shared" si="8"/>
        <v>117.80000000000001</v>
      </c>
      <c r="F43" s="12">
        <f t="shared" si="10"/>
        <v>5</v>
      </c>
      <c r="G43" s="12">
        <f t="shared" si="11"/>
        <v>9.9999999999994316E-2</v>
      </c>
    </row>
    <row r="44" spans="1:7" x14ac:dyDescent="0.25">
      <c r="A44" s="12">
        <f t="shared" si="4"/>
        <v>39</v>
      </c>
      <c r="B44" s="12">
        <f t="shared" si="7"/>
        <v>4.1000000000000005</v>
      </c>
      <c r="C44" s="12">
        <f t="shared" si="5"/>
        <v>5.1000000000000005</v>
      </c>
      <c r="D44" s="12">
        <f t="shared" si="9"/>
        <v>124.8</v>
      </c>
      <c r="E44" s="12">
        <f t="shared" si="8"/>
        <v>122.85</v>
      </c>
      <c r="F44" s="12">
        <f t="shared" si="10"/>
        <v>5.0999999999999943</v>
      </c>
      <c r="G44" s="12">
        <f t="shared" si="11"/>
        <v>9.9999999999994316E-2</v>
      </c>
    </row>
    <row r="45" spans="1:7" x14ac:dyDescent="0.25">
      <c r="A45" s="12">
        <f t="shared" si="4"/>
        <v>40</v>
      </c>
      <c r="B45" s="12">
        <f t="shared" si="7"/>
        <v>4.2</v>
      </c>
      <c r="C45" s="12">
        <f t="shared" si="5"/>
        <v>5.2</v>
      </c>
      <c r="D45" s="12">
        <f t="shared" si="9"/>
        <v>130</v>
      </c>
      <c r="E45" s="12">
        <f t="shared" si="8"/>
        <v>128</v>
      </c>
      <c r="F45" s="12">
        <f t="shared" si="10"/>
        <v>5.2000000000000028</v>
      </c>
      <c r="G45" s="12">
        <f t="shared" si="11"/>
        <v>0.10000000000000853</v>
      </c>
    </row>
    <row r="46" spans="1:7" x14ac:dyDescent="0.25">
      <c r="A46" s="12">
        <f t="shared" si="4"/>
        <v>41</v>
      </c>
      <c r="B46" s="12">
        <f t="shared" si="7"/>
        <v>4.3000000000000007</v>
      </c>
      <c r="C46" s="12">
        <f t="shared" si="5"/>
        <v>5.3000000000000007</v>
      </c>
      <c r="D46" s="12">
        <f t="shared" si="9"/>
        <v>135.30000000000001</v>
      </c>
      <c r="E46" s="12">
        <f t="shared" si="8"/>
        <v>133.25</v>
      </c>
      <c r="F46" s="12">
        <f t="shared" si="10"/>
        <v>5.3000000000000114</v>
      </c>
      <c r="G46" s="12">
        <f t="shared" si="11"/>
        <v>0.10000000000000853</v>
      </c>
    </row>
    <row r="47" spans="1:7" x14ac:dyDescent="0.25">
      <c r="A47" s="12">
        <f t="shared" si="4"/>
        <v>42</v>
      </c>
      <c r="B47" s="12">
        <f t="shared" si="7"/>
        <v>4.4000000000000004</v>
      </c>
      <c r="C47" s="12">
        <f t="shared" si="5"/>
        <v>5.4</v>
      </c>
      <c r="D47" s="12">
        <f t="shared" si="9"/>
        <v>140.70000000000002</v>
      </c>
      <c r="E47" s="12">
        <f t="shared" si="8"/>
        <v>138.6</v>
      </c>
      <c r="F47" s="12">
        <f t="shared" si="10"/>
        <v>5.4000000000000057</v>
      </c>
      <c r="G47" s="12">
        <f t="shared" si="11"/>
        <v>9.9999999999994316E-2</v>
      </c>
    </row>
    <row r="48" spans="1:7" x14ac:dyDescent="0.25">
      <c r="A48" s="12">
        <f t="shared" si="4"/>
        <v>43</v>
      </c>
      <c r="B48" s="12">
        <f t="shared" si="7"/>
        <v>4.5</v>
      </c>
      <c r="C48" s="12">
        <f t="shared" si="5"/>
        <v>5.5</v>
      </c>
      <c r="D48" s="12">
        <f t="shared" si="9"/>
        <v>146.20000000000002</v>
      </c>
      <c r="E48" s="12">
        <f t="shared" si="8"/>
        <v>144.05000000000001</v>
      </c>
      <c r="F48" s="12">
        <f t="shared" si="10"/>
        <v>5.5</v>
      </c>
      <c r="G48" s="12">
        <f t="shared" si="11"/>
        <v>9.9999999999994316E-2</v>
      </c>
    </row>
    <row r="49" spans="1:7" x14ac:dyDescent="0.25">
      <c r="A49" s="12">
        <f t="shared" si="4"/>
        <v>44</v>
      </c>
      <c r="B49" s="12">
        <f t="shared" si="7"/>
        <v>4.6000000000000005</v>
      </c>
      <c r="C49" s="12">
        <f t="shared" si="5"/>
        <v>5.6000000000000005</v>
      </c>
      <c r="D49" s="12">
        <f t="shared" si="9"/>
        <v>151.80000000000001</v>
      </c>
      <c r="E49" s="12">
        <f t="shared" si="8"/>
        <v>149.60000000000002</v>
      </c>
      <c r="F49" s="12">
        <f t="shared" si="10"/>
        <v>5.5999999999999943</v>
      </c>
      <c r="G49" s="12">
        <f t="shared" si="11"/>
        <v>9.9999999999994316E-2</v>
      </c>
    </row>
    <row r="50" spans="1:7" x14ac:dyDescent="0.25">
      <c r="A50" s="12">
        <f t="shared" si="4"/>
        <v>45</v>
      </c>
      <c r="B50" s="12">
        <f t="shared" si="7"/>
        <v>4.7</v>
      </c>
      <c r="C50" s="12">
        <f t="shared" si="5"/>
        <v>5.7</v>
      </c>
      <c r="D50" s="12">
        <f t="shared" si="9"/>
        <v>157.5</v>
      </c>
      <c r="E50" s="12">
        <f t="shared" si="8"/>
        <v>155.25</v>
      </c>
      <c r="F50" s="12">
        <f t="shared" si="10"/>
        <v>5.6999999999999886</v>
      </c>
      <c r="G50" s="12">
        <f t="shared" si="11"/>
        <v>9.9999999999994316E-2</v>
      </c>
    </row>
    <row r="51" spans="1:7" x14ac:dyDescent="0.25">
      <c r="A51" s="12">
        <f t="shared" si="4"/>
        <v>46</v>
      </c>
      <c r="B51" s="12">
        <f t="shared" si="7"/>
        <v>4.8000000000000007</v>
      </c>
      <c r="C51" s="12">
        <f t="shared" si="5"/>
        <v>5.8000000000000007</v>
      </c>
      <c r="D51" s="12">
        <f t="shared" si="9"/>
        <v>163.30000000000001</v>
      </c>
      <c r="E51" s="12">
        <f t="shared" si="8"/>
        <v>161</v>
      </c>
      <c r="F51" s="12">
        <f t="shared" si="10"/>
        <v>5.8000000000000114</v>
      </c>
      <c r="G51" s="12">
        <f t="shared" si="11"/>
        <v>0.10000000000002274</v>
      </c>
    </row>
    <row r="52" spans="1:7" x14ac:dyDescent="0.25">
      <c r="A52" s="12">
        <f t="shared" si="4"/>
        <v>47</v>
      </c>
      <c r="B52" s="12">
        <f t="shared" si="7"/>
        <v>4.9000000000000004</v>
      </c>
      <c r="C52" s="12">
        <f t="shared" si="5"/>
        <v>5.9</v>
      </c>
      <c r="D52" s="12">
        <f t="shared" si="9"/>
        <v>169.20000000000002</v>
      </c>
      <c r="E52" s="12">
        <f t="shared" si="8"/>
        <v>166.85</v>
      </c>
      <c r="F52" s="12">
        <f t="shared" si="10"/>
        <v>5.9000000000000057</v>
      </c>
      <c r="G52" s="12">
        <f t="shared" si="11"/>
        <v>9.9999999999994316E-2</v>
      </c>
    </row>
    <row r="53" spans="1:7" x14ac:dyDescent="0.25">
      <c r="A53" s="12">
        <f t="shared" si="4"/>
        <v>48</v>
      </c>
      <c r="B53" s="12">
        <f t="shared" si="7"/>
        <v>5.0000000000000009</v>
      </c>
      <c r="C53" s="12">
        <f t="shared" si="5"/>
        <v>6.0000000000000009</v>
      </c>
      <c r="D53" s="12">
        <f t="shared" si="9"/>
        <v>175.20000000000002</v>
      </c>
      <c r="E53" s="12">
        <f t="shared" si="8"/>
        <v>172.8</v>
      </c>
      <c r="F53" s="12">
        <f t="shared" si="10"/>
        <v>6</v>
      </c>
      <c r="G53" s="12">
        <f t="shared" si="11"/>
        <v>9.9999999999994316E-2</v>
      </c>
    </row>
    <row r="54" spans="1:7" x14ac:dyDescent="0.25">
      <c r="A54" s="12">
        <f t="shared" si="4"/>
        <v>49</v>
      </c>
      <c r="B54" s="12">
        <f t="shared" si="7"/>
        <v>5.1000000000000005</v>
      </c>
      <c r="C54" s="12">
        <f t="shared" si="5"/>
        <v>6.1000000000000005</v>
      </c>
      <c r="D54" s="12">
        <f t="shared" si="9"/>
        <v>181.3</v>
      </c>
      <c r="E54" s="12">
        <f t="shared" si="8"/>
        <v>178.85000000000002</v>
      </c>
      <c r="F54" s="12">
        <f t="shared" si="10"/>
        <v>6.0999999999999943</v>
      </c>
      <c r="G54" s="12">
        <f t="shared" si="11"/>
        <v>9.9999999999994316E-2</v>
      </c>
    </row>
    <row r="55" spans="1:7" x14ac:dyDescent="0.25">
      <c r="A55" s="12">
        <f t="shared" si="4"/>
        <v>50</v>
      </c>
      <c r="B55" s="12">
        <f t="shared" si="7"/>
        <v>5.2</v>
      </c>
      <c r="C55" s="12">
        <f t="shared" si="5"/>
        <v>6.2</v>
      </c>
      <c r="D55" s="12">
        <f t="shared" si="9"/>
        <v>187.5</v>
      </c>
      <c r="E55" s="12">
        <f t="shared" si="8"/>
        <v>185</v>
      </c>
      <c r="F55" s="12">
        <f t="shared" si="10"/>
        <v>6.1999999999999886</v>
      </c>
      <c r="G55" s="12">
        <f t="shared" si="11"/>
        <v>9.9999999999994316E-2</v>
      </c>
    </row>
    <row r="56" spans="1:7" x14ac:dyDescent="0.25">
      <c r="A56" s="12">
        <f t="shared" si="4"/>
        <v>51</v>
      </c>
      <c r="B56" s="12">
        <f t="shared" si="7"/>
        <v>5.3000000000000007</v>
      </c>
      <c r="C56" s="12">
        <f t="shared" si="5"/>
        <v>6.3000000000000007</v>
      </c>
      <c r="D56" s="12">
        <f t="shared" si="9"/>
        <v>193.8</v>
      </c>
      <c r="E56" s="12">
        <f t="shared" si="8"/>
        <v>191.25</v>
      </c>
      <c r="F56" s="12">
        <f t="shared" si="10"/>
        <v>6.3000000000000114</v>
      </c>
      <c r="G56" s="12">
        <f t="shared" si="11"/>
        <v>0.10000000000002274</v>
      </c>
    </row>
    <row r="57" spans="1:7" x14ac:dyDescent="0.25">
      <c r="A57" s="12">
        <f t="shared" si="4"/>
        <v>52</v>
      </c>
      <c r="B57" s="12">
        <f t="shared" si="7"/>
        <v>5.4</v>
      </c>
      <c r="C57" s="12">
        <f t="shared" si="5"/>
        <v>6.4</v>
      </c>
      <c r="D57" s="12">
        <f t="shared" si="9"/>
        <v>200.20000000000002</v>
      </c>
      <c r="E57" s="12">
        <f t="shared" si="8"/>
        <v>197.60000000000002</v>
      </c>
      <c r="F57" s="12">
        <f t="shared" si="10"/>
        <v>6.4000000000000057</v>
      </c>
      <c r="G57" s="12">
        <f t="shared" si="11"/>
        <v>9.9999999999994316E-2</v>
      </c>
    </row>
    <row r="58" spans="1:7" x14ac:dyDescent="0.25">
      <c r="A58" s="12">
        <f t="shared" si="4"/>
        <v>53</v>
      </c>
      <c r="B58" s="12">
        <f t="shared" si="7"/>
        <v>5.5000000000000009</v>
      </c>
      <c r="C58" s="12">
        <f t="shared" si="5"/>
        <v>6.5000000000000009</v>
      </c>
      <c r="D58" s="12">
        <f t="shared" si="9"/>
        <v>206.70000000000002</v>
      </c>
      <c r="E58" s="12">
        <f t="shared" si="8"/>
        <v>204.05</v>
      </c>
      <c r="F58" s="12">
        <f t="shared" si="10"/>
        <v>6.5</v>
      </c>
      <c r="G58" s="12">
        <f t="shared" si="11"/>
        <v>9.9999999999994316E-2</v>
      </c>
    </row>
    <row r="59" spans="1:7" x14ac:dyDescent="0.25">
      <c r="A59" s="12">
        <f t="shared" si="4"/>
        <v>54</v>
      </c>
      <c r="B59" s="12">
        <f t="shared" si="7"/>
        <v>5.6000000000000005</v>
      </c>
      <c r="C59" s="12">
        <f t="shared" si="5"/>
        <v>6.6000000000000005</v>
      </c>
      <c r="D59" s="12">
        <f t="shared" si="9"/>
        <v>213.3</v>
      </c>
      <c r="E59" s="12">
        <f t="shared" si="8"/>
        <v>210.60000000000002</v>
      </c>
      <c r="F59" s="12">
        <f t="shared" si="10"/>
        <v>6.5999999999999943</v>
      </c>
      <c r="G59" s="12">
        <f t="shared" si="11"/>
        <v>9.9999999999994316E-2</v>
      </c>
    </row>
    <row r="60" spans="1:7" x14ac:dyDescent="0.25">
      <c r="A60" s="12">
        <f t="shared" si="4"/>
        <v>55</v>
      </c>
      <c r="B60" s="12">
        <f t="shared" si="7"/>
        <v>5.7</v>
      </c>
      <c r="C60" s="12">
        <f t="shared" si="5"/>
        <v>6.7</v>
      </c>
      <c r="D60" s="12">
        <f t="shared" si="9"/>
        <v>220</v>
      </c>
      <c r="E60" s="12">
        <f t="shared" si="8"/>
        <v>217.25</v>
      </c>
      <c r="F60" s="12">
        <f t="shared" si="10"/>
        <v>6.6999999999999886</v>
      </c>
      <c r="G60" s="12">
        <f t="shared" si="11"/>
        <v>9.9999999999994316E-2</v>
      </c>
    </row>
    <row r="61" spans="1:7" x14ac:dyDescent="0.25">
      <c r="A61" s="12">
        <f t="shared" si="4"/>
        <v>56</v>
      </c>
      <c r="B61" s="12">
        <f t="shared" si="7"/>
        <v>5.8000000000000007</v>
      </c>
      <c r="C61" s="12">
        <f t="shared" si="5"/>
        <v>6.8000000000000007</v>
      </c>
      <c r="D61" s="12">
        <f t="shared" si="9"/>
        <v>226.8</v>
      </c>
      <c r="E61" s="12">
        <f t="shared" si="8"/>
        <v>224</v>
      </c>
      <c r="F61" s="12">
        <f t="shared" si="10"/>
        <v>6.8000000000000114</v>
      </c>
      <c r="G61" s="12">
        <f t="shared" si="11"/>
        <v>0.10000000000002274</v>
      </c>
    </row>
    <row r="62" spans="1:7" x14ac:dyDescent="0.25">
      <c r="A62" s="12">
        <f t="shared" si="4"/>
        <v>57</v>
      </c>
      <c r="B62" s="12">
        <f t="shared" si="7"/>
        <v>5.9</v>
      </c>
      <c r="C62" s="12">
        <f t="shared" si="5"/>
        <v>6.9</v>
      </c>
      <c r="D62" s="12">
        <f t="shared" si="9"/>
        <v>233.70000000000002</v>
      </c>
      <c r="E62" s="12">
        <f t="shared" si="8"/>
        <v>230.85000000000002</v>
      </c>
      <c r="F62" s="12">
        <f t="shared" si="10"/>
        <v>6.9000000000000057</v>
      </c>
      <c r="G62" s="12">
        <f t="shared" si="11"/>
        <v>9.9999999999994316E-2</v>
      </c>
    </row>
    <row r="63" spans="1:7" x14ac:dyDescent="0.25">
      <c r="A63" s="12">
        <f t="shared" si="4"/>
        <v>58</v>
      </c>
      <c r="B63" s="12">
        <f t="shared" si="7"/>
        <v>6.0000000000000009</v>
      </c>
      <c r="C63" s="12">
        <f t="shared" si="5"/>
        <v>7.0000000000000009</v>
      </c>
      <c r="D63" s="12">
        <f t="shared" si="9"/>
        <v>240.70000000000002</v>
      </c>
      <c r="E63" s="12">
        <f t="shared" si="8"/>
        <v>237.8</v>
      </c>
      <c r="F63" s="12">
        <f t="shared" si="10"/>
        <v>7</v>
      </c>
      <c r="G63" s="12">
        <f t="shared" si="11"/>
        <v>9.9999999999994316E-2</v>
      </c>
    </row>
    <row r="64" spans="1:7" x14ac:dyDescent="0.25">
      <c r="A64" s="12">
        <f t="shared" si="4"/>
        <v>59</v>
      </c>
      <c r="B64" s="12">
        <f t="shared" si="7"/>
        <v>6.1000000000000005</v>
      </c>
      <c r="C64" s="12">
        <f t="shared" si="5"/>
        <v>7.1000000000000005</v>
      </c>
      <c r="D64" s="12">
        <f t="shared" si="9"/>
        <v>247.8</v>
      </c>
      <c r="E64" s="12">
        <f t="shared" si="8"/>
        <v>244.85000000000002</v>
      </c>
      <c r="F64" s="12">
        <f t="shared" si="10"/>
        <v>7.0999999999999943</v>
      </c>
      <c r="G64" s="12">
        <f t="shared" si="11"/>
        <v>9.9999999999994316E-2</v>
      </c>
    </row>
    <row r="65" spans="1:7" x14ac:dyDescent="0.25">
      <c r="A65" s="12">
        <f t="shared" si="4"/>
        <v>60</v>
      </c>
      <c r="B65" s="12">
        <f t="shared" si="7"/>
        <v>6.2</v>
      </c>
      <c r="C65" s="12">
        <f t="shared" si="5"/>
        <v>7.2</v>
      </c>
      <c r="D65" s="12">
        <f t="shared" si="9"/>
        <v>255</v>
      </c>
      <c r="E65" s="12">
        <f t="shared" si="8"/>
        <v>252</v>
      </c>
      <c r="F65" s="12">
        <f t="shared" si="10"/>
        <v>7.1999999999999886</v>
      </c>
      <c r="G65" s="12">
        <f t="shared" si="11"/>
        <v>9.9999999999994316E-2</v>
      </c>
    </row>
    <row r="66" spans="1:7" x14ac:dyDescent="0.25">
      <c r="A66" s="12">
        <f t="shared" si="4"/>
        <v>61</v>
      </c>
      <c r="B66" s="12">
        <f t="shared" si="7"/>
        <v>6.3000000000000007</v>
      </c>
      <c r="C66" s="12">
        <f t="shared" si="5"/>
        <v>7.3000000000000007</v>
      </c>
      <c r="D66" s="12">
        <f t="shared" si="9"/>
        <v>262.3</v>
      </c>
      <c r="E66" s="12">
        <f t="shared" si="8"/>
        <v>259.25</v>
      </c>
      <c r="F66" s="12">
        <f t="shared" si="10"/>
        <v>7.3000000000000114</v>
      </c>
      <c r="G66" s="12">
        <f t="shared" si="11"/>
        <v>0.10000000000002274</v>
      </c>
    </row>
    <row r="67" spans="1:7" x14ac:dyDescent="0.25">
      <c r="A67" s="12">
        <f t="shared" si="4"/>
        <v>62</v>
      </c>
      <c r="B67" s="12">
        <f t="shared" si="7"/>
        <v>6.4</v>
      </c>
      <c r="C67" s="12">
        <f t="shared" si="5"/>
        <v>7.4</v>
      </c>
      <c r="D67" s="12">
        <f t="shared" si="9"/>
        <v>269.7</v>
      </c>
      <c r="E67" s="12">
        <f t="shared" si="8"/>
        <v>266.60000000000002</v>
      </c>
      <c r="F67" s="12">
        <f t="shared" si="10"/>
        <v>7.3999999999999773</v>
      </c>
      <c r="G67" s="12">
        <f t="shared" si="11"/>
        <v>9.9999999999965894E-2</v>
      </c>
    </row>
    <row r="68" spans="1:7" x14ac:dyDescent="0.25">
      <c r="A68" s="12">
        <f t="shared" si="4"/>
        <v>63</v>
      </c>
      <c r="B68" s="12">
        <f t="shared" si="7"/>
        <v>6.5000000000000009</v>
      </c>
      <c r="C68" s="12">
        <f t="shared" si="5"/>
        <v>7.5000000000000009</v>
      </c>
      <c r="D68" s="12">
        <f t="shared" si="9"/>
        <v>277.2</v>
      </c>
      <c r="E68" s="12">
        <f t="shared" si="8"/>
        <v>274.05</v>
      </c>
      <c r="F68" s="12">
        <f t="shared" si="10"/>
        <v>7.5</v>
      </c>
      <c r="G68" s="12">
        <f t="shared" si="11"/>
        <v>0.10000000000002274</v>
      </c>
    </row>
    <row r="69" spans="1:7" x14ac:dyDescent="0.25">
      <c r="A69" s="12">
        <f t="shared" si="4"/>
        <v>64</v>
      </c>
      <c r="B69" s="12">
        <f t="shared" ref="B69:B101" si="12">(_xlfn.SINGLE(veloc)+accel*_xlfn.SINGLE(time))</f>
        <v>6.6000000000000005</v>
      </c>
      <c r="C69" s="12">
        <f t="shared" si="5"/>
        <v>7.6000000000000005</v>
      </c>
      <c r="D69" s="12">
        <f t="shared" si="9"/>
        <v>284.8</v>
      </c>
      <c r="E69" s="12">
        <f t="shared" ref="E69:E101" si="13">time+time*veloc+accel/2*time^2</f>
        <v>281.60000000000002</v>
      </c>
      <c r="F69" s="12">
        <f t="shared" si="10"/>
        <v>7.6000000000000227</v>
      </c>
      <c r="G69" s="12">
        <f t="shared" si="11"/>
        <v>0.10000000000002274</v>
      </c>
    </row>
    <row r="70" spans="1:7" x14ac:dyDescent="0.25">
      <c r="A70" s="12">
        <f t="shared" si="4"/>
        <v>65</v>
      </c>
      <c r="B70" s="12">
        <f t="shared" si="12"/>
        <v>6.7</v>
      </c>
      <c r="C70" s="12">
        <f t="shared" si="5"/>
        <v>7.7</v>
      </c>
      <c r="D70" s="12">
        <f t="shared" ref="D70:D101" si="14">D69+(A70-A69)+(_xlfn.SINGLE(veloc)+accel*_xlfn.SINGLE(time))</f>
        <v>292.5</v>
      </c>
      <c r="E70" s="12">
        <f t="shared" si="13"/>
        <v>289.25</v>
      </c>
      <c r="F70" s="12">
        <f t="shared" ref="F70:F101" si="15">(D70-D69)/(A70-A69)</f>
        <v>7.6999999999999886</v>
      </c>
      <c r="G70" s="12">
        <f t="shared" si="11"/>
        <v>9.9999999999965894E-2</v>
      </c>
    </row>
    <row r="71" spans="1:7" x14ac:dyDescent="0.25">
      <c r="A71" s="12">
        <f t="shared" ref="A71:A101" si="16">A70+1</f>
        <v>66</v>
      </c>
      <c r="B71" s="12">
        <f t="shared" si="12"/>
        <v>6.8000000000000007</v>
      </c>
      <c r="C71" s="12">
        <f t="shared" ref="C71:C101" si="17">(A71-A70)+B71</f>
        <v>7.8000000000000007</v>
      </c>
      <c r="D71" s="12">
        <f t="shared" si="14"/>
        <v>300.3</v>
      </c>
      <c r="E71" s="12">
        <f t="shared" si="13"/>
        <v>297</v>
      </c>
      <c r="F71" s="12">
        <f t="shared" si="15"/>
        <v>7.8000000000000114</v>
      </c>
      <c r="G71" s="12">
        <f t="shared" ref="G71:G101" si="18">(F71-F70)/(A71-A70)</f>
        <v>0.10000000000002274</v>
      </c>
    </row>
    <row r="72" spans="1:7" x14ac:dyDescent="0.25">
      <c r="A72" s="12">
        <f t="shared" si="16"/>
        <v>67</v>
      </c>
      <c r="B72" s="12">
        <f t="shared" si="12"/>
        <v>6.9</v>
      </c>
      <c r="C72" s="12">
        <f t="shared" si="17"/>
        <v>7.9</v>
      </c>
      <c r="D72" s="12">
        <f t="shared" si="14"/>
        <v>308.2</v>
      </c>
      <c r="E72" s="12">
        <f t="shared" si="13"/>
        <v>304.85000000000002</v>
      </c>
      <c r="F72" s="12">
        <f t="shared" si="15"/>
        <v>7.8999999999999773</v>
      </c>
      <c r="G72" s="12">
        <f t="shared" si="18"/>
        <v>9.9999999999965894E-2</v>
      </c>
    </row>
    <row r="73" spans="1:7" x14ac:dyDescent="0.25">
      <c r="A73" s="12">
        <f t="shared" si="16"/>
        <v>68</v>
      </c>
      <c r="B73" s="12">
        <f t="shared" si="12"/>
        <v>7.0000000000000009</v>
      </c>
      <c r="C73" s="12">
        <f t="shared" si="17"/>
        <v>8</v>
      </c>
      <c r="D73" s="12">
        <f t="shared" si="14"/>
        <v>316.2</v>
      </c>
      <c r="E73" s="12">
        <f t="shared" si="13"/>
        <v>312.8</v>
      </c>
      <c r="F73" s="12">
        <f t="shared" si="15"/>
        <v>8</v>
      </c>
      <c r="G73" s="12">
        <f t="shared" si="18"/>
        <v>0.10000000000002274</v>
      </c>
    </row>
    <row r="74" spans="1:7" x14ac:dyDescent="0.25">
      <c r="A74" s="12">
        <f t="shared" si="16"/>
        <v>69</v>
      </c>
      <c r="B74" s="12">
        <f t="shared" si="12"/>
        <v>7.1000000000000005</v>
      </c>
      <c r="C74" s="12">
        <f t="shared" si="17"/>
        <v>8.1000000000000014</v>
      </c>
      <c r="D74" s="12">
        <f t="shared" si="14"/>
        <v>324.3</v>
      </c>
      <c r="E74" s="12">
        <f t="shared" si="13"/>
        <v>320.85000000000002</v>
      </c>
      <c r="F74" s="12">
        <f t="shared" si="15"/>
        <v>8.1000000000000227</v>
      </c>
      <c r="G74" s="12">
        <f t="shared" si="18"/>
        <v>0.10000000000002274</v>
      </c>
    </row>
    <row r="75" spans="1:7" x14ac:dyDescent="0.25">
      <c r="A75" s="12">
        <f t="shared" si="16"/>
        <v>70</v>
      </c>
      <c r="B75" s="12">
        <f t="shared" si="12"/>
        <v>7.2</v>
      </c>
      <c r="C75" s="12">
        <f t="shared" si="17"/>
        <v>8.1999999999999993</v>
      </c>
      <c r="D75" s="12">
        <f t="shared" si="14"/>
        <v>332.5</v>
      </c>
      <c r="E75" s="12">
        <f t="shared" si="13"/>
        <v>329</v>
      </c>
      <c r="F75" s="12">
        <f t="shared" si="15"/>
        <v>8.1999999999999886</v>
      </c>
      <c r="G75" s="12">
        <f t="shared" si="18"/>
        <v>9.9999999999965894E-2</v>
      </c>
    </row>
    <row r="76" spans="1:7" x14ac:dyDescent="0.25">
      <c r="A76" s="12">
        <f t="shared" si="16"/>
        <v>71</v>
      </c>
      <c r="B76" s="12">
        <f t="shared" si="12"/>
        <v>7.3000000000000007</v>
      </c>
      <c r="C76" s="12">
        <f t="shared" si="17"/>
        <v>8.3000000000000007</v>
      </c>
      <c r="D76" s="12">
        <f t="shared" si="14"/>
        <v>340.8</v>
      </c>
      <c r="E76" s="12">
        <f t="shared" si="13"/>
        <v>337.25</v>
      </c>
      <c r="F76" s="12">
        <f t="shared" si="15"/>
        <v>8.3000000000000114</v>
      </c>
      <c r="G76" s="12">
        <f t="shared" si="18"/>
        <v>0.10000000000002274</v>
      </c>
    </row>
    <row r="77" spans="1:7" x14ac:dyDescent="0.25">
      <c r="A77" s="12">
        <f t="shared" si="16"/>
        <v>72</v>
      </c>
      <c r="B77" s="12">
        <f t="shared" si="12"/>
        <v>7.4</v>
      </c>
      <c r="C77" s="12">
        <f t="shared" si="17"/>
        <v>8.4</v>
      </c>
      <c r="D77" s="12">
        <f t="shared" si="14"/>
        <v>349.2</v>
      </c>
      <c r="E77" s="12">
        <f t="shared" si="13"/>
        <v>345.6</v>
      </c>
      <c r="F77" s="12">
        <f t="shared" si="15"/>
        <v>8.3999999999999773</v>
      </c>
      <c r="G77" s="12">
        <f t="shared" si="18"/>
        <v>9.9999999999965894E-2</v>
      </c>
    </row>
    <row r="78" spans="1:7" x14ac:dyDescent="0.25">
      <c r="A78" s="12">
        <f t="shared" si="16"/>
        <v>73</v>
      </c>
      <c r="B78" s="12">
        <f t="shared" si="12"/>
        <v>7.5000000000000009</v>
      </c>
      <c r="C78" s="12">
        <f t="shared" si="17"/>
        <v>8.5</v>
      </c>
      <c r="D78" s="12">
        <f t="shared" si="14"/>
        <v>357.7</v>
      </c>
      <c r="E78" s="12">
        <f t="shared" si="13"/>
        <v>354.04999999999995</v>
      </c>
      <c r="F78" s="12">
        <f t="shared" si="15"/>
        <v>8.5</v>
      </c>
      <c r="G78" s="12">
        <f t="shared" si="18"/>
        <v>0.10000000000002274</v>
      </c>
    </row>
    <row r="79" spans="1:7" x14ac:dyDescent="0.25">
      <c r="A79" s="12">
        <f t="shared" si="16"/>
        <v>74</v>
      </c>
      <c r="B79" s="12">
        <f t="shared" si="12"/>
        <v>7.6000000000000005</v>
      </c>
      <c r="C79" s="12">
        <f t="shared" si="17"/>
        <v>8.6000000000000014</v>
      </c>
      <c r="D79" s="12">
        <f t="shared" si="14"/>
        <v>366.3</v>
      </c>
      <c r="E79" s="12">
        <f t="shared" si="13"/>
        <v>362.6</v>
      </c>
      <c r="F79" s="12">
        <f t="shared" si="15"/>
        <v>8.6000000000000227</v>
      </c>
      <c r="G79" s="12">
        <f t="shared" si="18"/>
        <v>0.10000000000002274</v>
      </c>
    </row>
    <row r="80" spans="1:7" x14ac:dyDescent="0.25">
      <c r="A80" s="12">
        <f t="shared" si="16"/>
        <v>75</v>
      </c>
      <c r="B80" s="12">
        <f t="shared" si="12"/>
        <v>7.7</v>
      </c>
      <c r="C80" s="12">
        <f t="shared" si="17"/>
        <v>8.6999999999999993</v>
      </c>
      <c r="D80" s="12">
        <f t="shared" si="14"/>
        <v>375</v>
      </c>
      <c r="E80" s="12">
        <f t="shared" si="13"/>
        <v>371.25</v>
      </c>
      <c r="F80" s="12">
        <f t="shared" si="15"/>
        <v>8.6999999999999886</v>
      </c>
      <c r="G80" s="12">
        <f t="shared" si="18"/>
        <v>9.9999999999965894E-2</v>
      </c>
    </row>
    <row r="81" spans="1:7" x14ac:dyDescent="0.25">
      <c r="A81" s="12">
        <f t="shared" si="16"/>
        <v>76</v>
      </c>
      <c r="B81" s="12">
        <f t="shared" si="12"/>
        <v>7.8000000000000007</v>
      </c>
      <c r="C81" s="12">
        <f t="shared" si="17"/>
        <v>8.8000000000000007</v>
      </c>
      <c r="D81" s="12">
        <f t="shared" si="14"/>
        <v>383.8</v>
      </c>
      <c r="E81" s="12">
        <f t="shared" si="13"/>
        <v>380</v>
      </c>
      <c r="F81" s="12">
        <f t="shared" si="15"/>
        <v>8.8000000000000114</v>
      </c>
      <c r="G81" s="12">
        <f t="shared" si="18"/>
        <v>0.10000000000002274</v>
      </c>
    </row>
    <row r="82" spans="1:7" x14ac:dyDescent="0.25">
      <c r="A82" s="12">
        <f t="shared" si="16"/>
        <v>77</v>
      </c>
      <c r="B82" s="12">
        <f t="shared" si="12"/>
        <v>7.9</v>
      </c>
      <c r="C82" s="12">
        <f t="shared" si="17"/>
        <v>8.9</v>
      </c>
      <c r="D82" s="12">
        <f t="shared" si="14"/>
        <v>392.7</v>
      </c>
      <c r="E82" s="12">
        <f t="shared" si="13"/>
        <v>388.85</v>
      </c>
      <c r="F82" s="12">
        <f t="shared" si="15"/>
        <v>8.8999999999999773</v>
      </c>
      <c r="G82" s="12">
        <f t="shared" si="18"/>
        <v>9.9999999999965894E-2</v>
      </c>
    </row>
    <row r="83" spans="1:7" x14ac:dyDescent="0.25">
      <c r="A83" s="12">
        <f t="shared" si="16"/>
        <v>78</v>
      </c>
      <c r="B83" s="12">
        <f t="shared" si="12"/>
        <v>8</v>
      </c>
      <c r="C83" s="12">
        <f t="shared" si="17"/>
        <v>9</v>
      </c>
      <c r="D83" s="12">
        <f t="shared" si="14"/>
        <v>401.7</v>
      </c>
      <c r="E83" s="12">
        <f t="shared" si="13"/>
        <v>397.79999999999995</v>
      </c>
      <c r="F83" s="12">
        <f t="shared" si="15"/>
        <v>9</v>
      </c>
      <c r="G83" s="12">
        <f t="shared" si="18"/>
        <v>0.10000000000002274</v>
      </c>
    </row>
    <row r="84" spans="1:7" x14ac:dyDescent="0.25">
      <c r="A84" s="12">
        <f t="shared" si="16"/>
        <v>79</v>
      </c>
      <c r="B84" s="12">
        <f t="shared" si="12"/>
        <v>8.1</v>
      </c>
      <c r="C84" s="12">
        <f t="shared" si="17"/>
        <v>9.1</v>
      </c>
      <c r="D84" s="12">
        <f t="shared" si="14"/>
        <v>410.8</v>
      </c>
      <c r="E84" s="12">
        <f t="shared" si="13"/>
        <v>406.85</v>
      </c>
      <c r="F84" s="12">
        <f t="shared" si="15"/>
        <v>9.1000000000000227</v>
      </c>
      <c r="G84" s="12">
        <f t="shared" si="18"/>
        <v>0.10000000000002274</v>
      </c>
    </row>
    <row r="85" spans="1:7" x14ac:dyDescent="0.25">
      <c r="A85" s="12">
        <f t="shared" si="16"/>
        <v>80</v>
      </c>
      <c r="B85" s="12">
        <f t="shared" si="12"/>
        <v>8.1999999999999993</v>
      </c>
      <c r="C85" s="12">
        <f t="shared" si="17"/>
        <v>9.1999999999999993</v>
      </c>
      <c r="D85" s="12">
        <f t="shared" si="14"/>
        <v>420</v>
      </c>
      <c r="E85" s="12">
        <f t="shared" si="13"/>
        <v>416</v>
      </c>
      <c r="F85" s="12">
        <f t="shared" si="15"/>
        <v>9.1999999999999886</v>
      </c>
      <c r="G85" s="12">
        <f t="shared" si="18"/>
        <v>9.9999999999965894E-2</v>
      </c>
    </row>
    <row r="86" spans="1:7" x14ac:dyDescent="0.25">
      <c r="A86" s="12">
        <f t="shared" si="16"/>
        <v>81</v>
      </c>
      <c r="B86" s="12">
        <f t="shared" si="12"/>
        <v>8.2999999999999989</v>
      </c>
      <c r="C86" s="12">
        <f t="shared" si="17"/>
        <v>9.2999999999999989</v>
      </c>
      <c r="D86" s="12">
        <f t="shared" si="14"/>
        <v>429.3</v>
      </c>
      <c r="E86" s="12">
        <f t="shared" si="13"/>
        <v>425.25</v>
      </c>
      <c r="F86" s="12">
        <f t="shared" si="15"/>
        <v>9.3000000000000114</v>
      </c>
      <c r="G86" s="12">
        <f t="shared" si="18"/>
        <v>0.10000000000002274</v>
      </c>
    </row>
    <row r="87" spans="1:7" x14ac:dyDescent="0.25">
      <c r="A87" s="12">
        <f t="shared" si="16"/>
        <v>82</v>
      </c>
      <c r="B87" s="12">
        <f t="shared" si="12"/>
        <v>8.4</v>
      </c>
      <c r="C87" s="12">
        <f t="shared" si="17"/>
        <v>9.4</v>
      </c>
      <c r="D87" s="12">
        <f t="shared" si="14"/>
        <v>438.7</v>
      </c>
      <c r="E87" s="12">
        <f t="shared" si="13"/>
        <v>434.6</v>
      </c>
      <c r="F87" s="12">
        <f t="shared" si="15"/>
        <v>9.3999999999999773</v>
      </c>
      <c r="G87" s="12">
        <f t="shared" si="18"/>
        <v>9.9999999999965894E-2</v>
      </c>
    </row>
    <row r="88" spans="1:7" x14ac:dyDescent="0.25">
      <c r="A88" s="12">
        <f t="shared" si="16"/>
        <v>83</v>
      </c>
      <c r="B88" s="12">
        <f t="shared" si="12"/>
        <v>8.5</v>
      </c>
      <c r="C88" s="12">
        <f t="shared" si="17"/>
        <v>9.5</v>
      </c>
      <c r="D88" s="12">
        <f t="shared" si="14"/>
        <v>448.2</v>
      </c>
      <c r="E88" s="12">
        <f t="shared" si="13"/>
        <v>444.05000000000007</v>
      </c>
      <c r="F88" s="12">
        <f t="shared" si="15"/>
        <v>9.5</v>
      </c>
      <c r="G88" s="12">
        <f t="shared" si="18"/>
        <v>0.10000000000002274</v>
      </c>
    </row>
    <row r="89" spans="1:7" x14ac:dyDescent="0.25">
      <c r="A89" s="12">
        <f t="shared" si="16"/>
        <v>84</v>
      </c>
      <c r="B89" s="12">
        <f t="shared" si="12"/>
        <v>8.6</v>
      </c>
      <c r="C89" s="12">
        <f t="shared" si="17"/>
        <v>9.6</v>
      </c>
      <c r="D89" s="12">
        <f t="shared" si="14"/>
        <v>457.8</v>
      </c>
      <c r="E89" s="12">
        <f t="shared" si="13"/>
        <v>453.6</v>
      </c>
      <c r="F89" s="12">
        <f t="shared" si="15"/>
        <v>9.6000000000000227</v>
      </c>
      <c r="G89" s="12">
        <f t="shared" si="18"/>
        <v>0.10000000000002274</v>
      </c>
    </row>
    <row r="90" spans="1:7" x14ac:dyDescent="0.25">
      <c r="A90" s="12">
        <f t="shared" si="16"/>
        <v>85</v>
      </c>
      <c r="B90" s="12">
        <f t="shared" si="12"/>
        <v>8.6999999999999993</v>
      </c>
      <c r="C90" s="12">
        <f t="shared" si="17"/>
        <v>9.6999999999999993</v>
      </c>
      <c r="D90" s="12">
        <f t="shared" si="14"/>
        <v>467.5</v>
      </c>
      <c r="E90" s="12">
        <f t="shared" si="13"/>
        <v>463.25</v>
      </c>
      <c r="F90" s="12">
        <f t="shared" si="15"/>
        <v>9.6999999999999886</v>
      </c>
      <c r="G90" s="12">
        <f t="shared" si="18"/>
        <v>9.9999999999965894E-2</v>
      </c>
    </row>
    <row r="91" spans="1:7" x14ac:dyDescent="0.25">
      <c r="A91" s="12">
        <f t="shared" si="16"/>
        <v>86</v>
      </c>
      <c r="B91" s="12">
        <f t="shared" si="12"/>
        <v>8.7999999999999989</v>
      </c>
      <c r="C91" s="12">
        <f t="shared" si="17"/>
        <v>9.7999999999999989</v>
      </c>
      <c r="D91" s="12">
        <f t="shared" si="14"/>
        <v>477.3</v>
      </c>
      <c r="E91" s="12">
        <f t="shared" si="13"/>
        <v>473</v>
      </c>
      <c r="F91" s="12">
        <f t="shared" si="15"/>
        <v>9.8000000000000114</v>
      </c>
      <c r="G91" s="12">
        <f t="shared" si="18"/>
        <v>0.10000000000002274</v>
      </c>
    </row>
    <row r="92" spans="1:7" x14ac:dyDescent="0.25">
      <c r="A92" s="12">
        <f t="shared" si="16"/>
        <v>87</v>
      </c>
      <c r="B92" s="12">
        <f t="shared" si="12"/>
        <v>8.9</v>
      </c>
      <c r="C92" s="12">
        <f t="shared" si="17"/>
        <v>9.9</v>
      </c>
      <c r="D92" s="12">
        <f t="shared" si="14"/>
        <v>487.2</v>
      </c>
      <c r="E92" s="12">
        <f t="shared" si="13"/>
        <v>482.85</v>
      </c>
      <c r="F92" s="12">
        <f t="shared" si="15"/>
        <v>9.8999999999999773</v>
      </c>
      <c r="G92" s="12">
        <f t="shared" si="18"/>
        <v>9.9999999999965894E-2</v>
      </c>
    </row>
    <row r="93" spans="1:7" x14ac:dyDescent="0.25">
      <c r="A93" s="12">
        <f t="shared" si="16"/>
        <v>88</v>
      </c>
      <c r="B93" s="12">
        <f t="shared" si="12"/>
        <v>9</v>
      </c>
      <c r="C93" s="12">
        <f t="shared" si="17"/>
        <v>10</v>
      </c>
      <c r="D93" s="12">
        <f t="shared" si="14"/>
        <v>497.2</v>
      </c>
      <c r="E93" s="12">
        <f t="shared" si="13"/>
        <v>492.80000000000007</v>
      </c>
      <c r="F93" s="12">
        <f t="shared" si="15"/>
        <v>10</v>
      </c>
      <c r="G93" s="12">
        <f t="shared" si="18"/>
        <v>0.10000000000002274</v>
      </c>
    </row>
    <row r="94" spans="1:7" x14ac:dyDescent="0.25">
      <c r="A94" s="12">
        <f t="shared" si="16"/>
        <v>89</v>
      </c>
      <c r="B94" s="12">
        <f t="shared" si="12"/>
        <v>9.1</v>
      </c>
      <c r="C94" s="12">
        <f t="shared" si="17"/>
        <v>10.1</v>
      </c>
      <c r="D94" s="12">
        <f t="shared" si="14"/>
        <v>507.3</v>
      </c>
      <c r="E94" s="12">
        <f t="shared" si="13"/>
        <v>502.85</v>
      </c>
      <c r="F94" s="12">
        <f t="shared" si="15"/>
        <v>10.100000000000023</v>
      </c>
      <c r="G94" s="12">
        <f t="shared" si="18"/>
        <v>0.10000000000002274</v>
      </c>
    </row>
    <row r="95" spans="1:7" x14ac:dyDescent="0.25">
      <c r="A95" s="12">
        <f t="shared" si="16"/>
        <v>90</v>
      </c>
      <c r="B95" s="12">
        <f t="shared" si="12"/>
        <v>9.1999999999999993</v>
      </c>
      <c r="C95" s="12">
        <f t="shared" si="17"/>
        <v>10.199999999999999</v>
      </c>
      <c r="D95" s="12">
        <f t="shared" si="14"/>
        <v>517.5</v>
      </c>
      <c r="E95" s="12">
        <f t="shared" si="13"/>
        <v>513</v>
      </c>
      <c r="F95" s="12">
        <f t="shared" si="15"/>
        <v>10.199999999999989</v>
      </c>
      <c r="G95" s="12">
        <f t="shared" si="18"/>
        <v>9.9999999999965894E-2</v>
      </c>
    </row>
    <row r="96" spans="1:7" x14ac:dyDescent="0.25">
      <c r="A96" s="12">
        <f t="shared" si="16"/>
        <v>91</v>
      </c>
      <c r="B96" s="12">
        <f t="shared" si="12"/>
        <v>9.2999999999999989</v>
      </c>
      <c r="C96" s="12">
        <f t="shared" si="17"/>
        <v>10.299999999999999</v>
      </c>
      <c r="D96" s="12">
        <f t="shared" si="14"/>
        <v>527.79999999999995</v>
      </c>
      <c r="E96" s="12">
        <f t="shared" si="13"/>
        <v>523.25</v>
      </c>
      <c r="F96" s="12">
        <f t="shared" si="15"/>
        <v>10.299999999999955</v>
      </c>
      <c r="G96" s="12">
        <f t="shared" si="18"/>
        <v>9.9999999999965894E-2</v>
      </c>
    </row>
    <row r="97" spans="1:8" x14ac:dyDescent="0.25">
      <c r="A97" s="12">
        <f t="shared" si="16"/>
        <v>92</v>
      </c>
      <c r="B97" s="12">
        <f t="shared" si="12"/>
        <v>9.4</v>
      </c>
      <c r="C97" s="12">
        <f t="shared" si="17"/>
        <v>10.4</v>
      </c>
      <c r="D97" s="12">
        <f t="shared" si="14"/>
        <v>538.19999999999993</v>
      </c>
      <c r="E97" s="12">
        <f t="shared" si="13"/>
        <v>533.6</v>
      </c>
      <c r="F97" s="12">
        <f t="shared" si="15"/>
        <v>10.399999999999977</v>
      </c>
      <c r="G97" s="12">
        <f t="shared" si="18"/>
        <v>0.10000000000002274</v>
      </c>
    </row>
    <row r="98" spans="1:8" x14ac:dyDescent="0.25">
      <c r="A98" s="12">
        <f t="shared" si="16"/>
        <v>93</v>
      </c>
      <c r="B98" s="12">
        <f t="shared" si="12"/>
        <v>9.5</v>
      </c>
      <c r="C98" s="12">
        <f t="shared" si="17"/>
        <v>10.5</v>
      </c>
      <c r="D98" s="12">
        <f t="shared" si="14"/>
        <v>548.69999999999993</v>
      </c>
      <c r="E98" s="12">
        <f t="shared" si="13"/>
        <v>544.05000000000007</v>
      </c>
      <c r="F98" s="12">
        <f t="shared" si="15"/>
        <v>10.5</v>
      </c>
      <c r="G98" s="12">
        <f t="shared" si="18"/>
        <v>0.10000000000002274</v>
      </c>
    </row>
    <row r="99" spans="1:8" x14ac:dyDescent="0.25">
      <c r="A99" s="12">
        <f t="shared" si="16"/>
        <v>94</v>
      </c>
      <c r="B99" s="12">
        <f t="shared" si="12"/>
        <v>9.6</v>
      </c>
      <c r="C99" s="12">
        <f t="shared" si="17"/>
        <v>10.6</v>
      </c>
      <c r="D99" s="12">
        <f t="shared" si="14"/>
        <v>559.29999999999995</v>
      </c>
      <c r="E99" s="12">
        <f t="shared" si="13"/>
        <v>554.6</v>
      </c>
      <c r="F99" s="12">
        <f t="shared" si="15"/>
        <v>10.600000000000023</v>
      </c>
      <c r="G99" s="12">
        <f t="shared" si="18"/>
        <v>0.10000000000002274</v>
      </c>
    </row>
    <row r="100" spans="1:8" x14ac:dyDescent="0.25">
      <c r="A100" s="12">
        <f t="shared" si="16"/>
        <v>95</v>
      </c>
      <c r="B100" s="12">
        <f t="shared" si="12"/>
        <v>9.6999999999999993</v>
      </c>
      <c r="C100" s="12">
        <f t="shared" si="17"/>
        <v>10.7</v>
      </c>
      <c r="D100" s="12">
        <f t="shared" si="14"/>
        <v>570</v>
      </c>
      <c r="E100" s="12">
        <f t="shared" si="13"/>
        <v>565.25</v>
      </c>
      <c r="F100" s="12">
        <f t="shared" si="15"/>
        <v>10.700000000000045</v>
      </c>
      <c r="G100" s="12">
        <f t="shared" si="18"/>
        <v>0.10000000000002274</v>
      </c>
    </row>
    <row r="101" spans="1:8" x14ac:dyDescent="0.25">
      <c r="A101" s="12">
        <f t="shared" si="16"/>
        <v>96</v>
      </c>
      <c r="B101" s="12">
        <f t="shared" si="12"/>
        <v>9.8000000000000007</v>
      </c>
      <c r="C101" s="12">
        <f t="shared" si="17"/>
        <v>10.8</v>
      </c>
      <c r="D101" s="12">
        <f t="shared" si="14"/>
        <v>580.79999999999995</v>
      </c>
      <c r="E101" s="12">
        <f t="shared" si="13"/>
        <v>576</v>
      </c>
      <c r="F101" s="12">
        <f t="shared" si="15"/>
        <v>10.799999999999955</v>
      </c>
      <c r="G101" s="12">
        <f t="shared" si="18"/>
        <v>9.9999999999909051E-2</v>
      </c>
    </row>
    <row r="102" spans="1:8" x14ac:dyDescent="0.25">
      <c r="H102" s="2">
        <f>SUM(H6:H101)</f>
        <v>0</v>
      </c>
    </row>
    <row r="103" spans="1:8" x14ac:dyDescent="0.25">
      <c r="H103" s="2">
        <f>H102-1</f>
        <v>-1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F459-316D-412B-98F8-527418E8C421}">
  <dimension ref="A1:G250"/>
  <sheetViews>
    <sheetView topLeftCell="A111" workbookViewId="0">
      <selection activeCell="B142" sqref="B142"/>
    </sheetView>
  </sheetViews>
  <sheetFormatPr defaultRowHeight="15" x14ac:dyDescent="0.25"/>
  <cols>
    <col min="1" max="1" width="9.140625" style="6"/>
    <col min="2" max="2" width="10.85546875" style="2" customWidth="1"/>
    <col min="5" max="5" width="9.140625" style="2"/>
  </cols>
  <sheetData>
    <row r="1" spans="1:7" x14ac:dyDescent="0.25">
      <c r="A1" s="6">
        <v>3000</v>
      </c>
      <c r="B1" s="2">
        <v>1.0829044000000001</v>
      </c>
      <c r="C1">
        <f>LOG10(B1)</f>
        <v>3.4590118319625177E-2</v>
      </c>
      <c r="E1" s="2">
        <v>3000</v>
      </c>
      <c r="F1" s="1">
        <v>1.0829044000000001</v>
      </c>
      <c r="G1">
        <f t="shared" ref="G1:G64" si="0">LOG10(F1)</f>
        <v>3.4590118319625177E-2</v>
      </c>
    </row>
    <row r="2" spans="1:7" x14ac:dyDescent="0.25">
      <c r="A2" s="6">
        <v>2987.9517999999998</v>
      </c>
      <c r="B2" s="2">
        <v>1.0823506000000001</v>
      </c>
      <c r="C2">
        <f t="shared" ref="C2:C65" si="1">LOG10(B2)</f>
        <v>3.4367962232399851E-2</v>
      </c>
      <c r="E2" s="2">
        <v>2987.9517999999998</v>
      </c>
      <c r="F2" s="1">
        <v>1.0828009000000001</v>
      </c>
      <c r="G2">
        <f t="shared" si="0"/>
        <v>3.4548608074522834E-2</v>
      </c>
    </row>
    <row r="3" spans="1:7" x14ac:dyDescent="0.25">
      <c r="A3" s="6">
        <v>2975.9036000000001</v>
      </c>
      <c r="B3" s="2">
        <v>1.0822722</v>
      </c>
      <c r="C3">
        <f t="shared" si="1"/>
        <v>3.4336502998582194E-2</v>
      </c>
      <c r="E3" s="2">
        <v>2975.9036000000001</v>
      </c>
      <c r="F3" s="1">
        <v>1.082786</v>
      </c>
      <c r="G3">
        <f t="shared" si="0"/>
        <v>3.4542631876772027E-2</v>
      </c>
    </row>
    <row r="4" spans="1:7" x14ac:dyDescent="0.25">
      <c r="A4" s="6">
        <v>2963.8553999999999</v>
      </c>
      <c r="B4" s="2">
        <v>1.0821822000000001</v>
      </c>
      <c r="C4">
        <f t="shared" si="1"/>
        <v>3.4300386272451314E-2</v>
      </c>
      <c r="E4" s="2">
        <v>2963.8553999999999</v>
      </c>
      <c r="F4" s="1">
        <v>1.0827688</v>
      </c>
      <c r="G4">
        <f t="shared" si="0"/>
        <v>3.453573307643789E-2</v>
      </c>
    </row>
    <row r="5" spans="1:7" x14ac:dyDescent="0.25">
      <c r="A5" s="6">
        <v>2951.8072000000002</v>
      </c>
      <c r="B5" s="2">
        <v>1.082079</v>
      </c>
      <c r="C5">
        <f t="shared" si="1"/>
        <v>3.4258968729535128E-2</v>
      </c>
      <c r="E5" s="2">
        <v>2951.8072000000002</v>
      </c>
      <c r="F5" s="1">
        <v>1.0827488999999999</v>
      </c>
      <c r="G5">
        <f t="shared" si="0"/>
        <v>3.4527751188143795E-2</v>
      </c>
    </row>
    <row r="6" spans="1:7" x14ac:dyDescent="0.25">
      <c r="A6" s="6">
        <v>2939.759</v>
      </c>
      <c r="B6" s="2">
        <v>1.0819604</v>
      </c>
      <c r="C6">
        <f t="shared" si="1"/>
        <v>3.4211365783299232E-2</v>
      </c>
      <c r="E6" s="2">
        <v>2939.759</v>
      </c>
      <c r="F6" s="1">
        <v>1.0827259</v>
      </c>
      <c r="G6">
        <f t="shared" si="0"/>
        <v>3.4518525707353989E-2</v>
      </c>
    </row>
    <row r="7" spans="1:7" x14ac:dyDescent="0.25">
      <c r="A7" s="6">
        <v>2927.7107999999998</v>
      </c>
      <c r="B7" s="2">
        <v>1.0818243000000001</v>
      </c>
      <c r="C7">
        <f t="shared" si="1"/>
        <v>3.4156732363379988E-2</v>
      </c>
      <c r="E7" s="2">
        <v>2927.7107999999998</v>
      </c>
      <c r="F7" s="1">
        <v>1.0826994000000001</v>
      </c>
      <c r="G7">
        <f t="shared" si="0"/>
        <v>3.4507896106073375E-2</v>
      </c>
    </row>
    <row r="8" spans="1:7" x14ac:dyDescent="0.25">
      <c r="A8" s="6">
        <v>2915.6626999999999</v>
      </c>
      <c r="B8" s="2">
        <v>1.0816680000000001</v>
      </c>
      <c r="C8">
        <f t="shared" si="1"/>
        <v>3.4093981756280922E-2</v>
      </c>
      <c r="E8" s="2">
        <v>2915.6626999999999</v>
      </c>
      <c r="F8" s="1">
        <v>1.0826688</v>
      </c>
      <c r="G8">
        <f t="shared" si="0"/>
        <v>3.4495621601305849E-2</v>
      </c>
    </row>
    <row r="9" spans="1:7" x14ac:dyDescent="0.25">
      <c r="A9" s="6">
        <v>2903.6145000000001</v>
      </c>
      <c r="B9" s="2">
        <v>1.0814885999999999</v>
      </c>
      <c r="C9">
        <f t="shared" si="1"/>
        <v>3.4021945889592266E-2</v>
      </c>
      <c r="E9" s="2">
        <v>2903.6145000000001</v>
      </c>
      <c r="F9" s="1">
        <v>1.0826334</v>
      </c>
      <c r="G9">
        <f t="shared" si="0"/>
        <v>3.4481421251201599E-2</v>
      </c>
    </row>
    <row r="10" spans="1:7" x14ac:dyDescent="0.25">
      <c r="A10" s="6">
        <v>2891.5663</v>
      </c>
      <c r="B10" s="2">
        <v>1.0812828000000001</v>
      </c>
      <c r="C10">
        <f t="shared" si="1"/>
        <v>3.3939294709125052E-2</v>
      </c>
      <c r="E10" s="2">
        <v>2891.5663</v>
      </c>
      <c r="F10" s="1">
        <v>1.0825925999999999</v>
      </c>
      <c r="G10">
        <f t="shared" si="0"/>
        <v>3.4465054170015823E-2</v>
      </c>
    </row>
    <row r="11" spans="1:7" x14ac:dyDescent="0.25">
      <c r="A11" s="6">
        <v>2879.5180999999998</v>
      </c>
      <c r="B11" s="2">
        <v>1.0810468</v>
      </c>
      <c r="C11">
        <f t="shared" si="1"/>
        <v>3.3844495564594831E-2</v>
      </c>
      <c r="E11" s="2">
        <v>2879.5180999999998</v>
      </c>
      <c r="F11" s="1">
        <v>1.0825456</v>
      </c>
      <c r="G11">
        <f t="shared" si="0"/>
        <v>3.4446199169764463E-2</v>
      </c>
    </row>
    <row r="12" spans="1:7" x14ac:dyDescent="0.25">
      <c r="A12" s="6">
        <v>2867.4699000000001</v>
      </c>
      <c r="B12" s="2">
        <v>1.0807762999999999</v>
      </c>
      <c r="C12">
        <f t="shared" si="1"/>
        <v>3.373581261272153E-2</v>
      </c>
      <c r="E12" s="2">
        <v>2867.4699000000001</v>
      </c>
      <c r="F12" s="1">
        <v>1.0824914999999999</v>
      </c>
      <c r="G12">
        <f t="shared" si="0"/>
        <v>3.4424494847491292E-2</v>
      </c>
    </row>
    <row r="13" spans="1:7" x14ac:dyDescent="0.25">
      <c r="A13" s="6">
        <v>2855.4216999999999</v>
      </c>
      <c r="B13" s="2">
        <v>1.0804667999999999</v>
      </c>
      <c r="C13">
        <f t="shared" si="1"/>
        <v>3.3611426658112467E-2</v>
      </c>
      <c r="E13" s="2">
        <v>2855.4216999999999</v>
      </c>
      <c r="F13" s="1">
        <v>1.0824293</v>
      </c>
      <c r="G13">
        <f t="shared" si="0"/>
        <v>3.4399539554178231E-2</v>
      </c>
    </row>
    <row r="14" spans="1:7" x14ac:dyDescent="0.25">
      <c r="A14" s="6">
        <v>2843.3735000000001</v>
      </c>
      <c r="B14" s="2">
        <v>1.0801129</v>
      </c>
      <c r="C14">
        <f t="shared" si="1"/>
        <v>3.3469152972471446E-2</v>
      </c>
      <c r="E14" s="2">
        <v>2843.3735000000001</v>
      </c>
      <c r="F14" s="1">
        <v>1.0823579999999999</v>
      </c>
      <c r="G14">
        <f t="shared" si="0"/>
        <v>3.437093148116252E-2</v>
      </c>
    </row>
    <row r="15" spans="1:7" x14ac:dyDescent="0.25">
      <c r="A15" s="6">
        <v>2831.3253</v>
      </c>
      <c r="B15" s="2">
        <v>1.0797087999999999</v>
      </c>
      <c r="C15">
        <f t="shared" si="1"/>
        <v>3.3306641037171431E-2</v>
      </c>
      <c r="E15" s="2">
        <v>2831.3253</v>
      </c>
      <c r="F15" s="1">
        <v>1.0822765999999999</v>
      </c>
      <c r="G15">
        <f t="shared" si="0"/>
        <v>3.433826862818623E-2</v>
      </c>
    </row>
    <row r="16" spans="1:7" x14ac:dyDescent="0.25">
      <c r="A16" s="6">
        <v>2819.2770999999998</v>
      </c>
      <c r="B16" s="2">
        <v>1.0792484</v>
      </c>
      <c r="C16">
        <f t="shared" si="1"/>
        <v>3.3121413481480018E-2</v>
      </c>
      <c r="E16" s="2">
        <v>2819.2770999999998</v>
      </c>
      <c r="F16" s="1">
        <v>1.0821841000000001</v>
      </c>
      <c r="G16">
        <f t="shared" si="0"/>
        <v>3.4301148767705111E-2</v>
      </c>
    </row>
    <row r="17" spans="1:7" x14ac:dyDescent="0.25">
      <c r="A17" s="6">
        <v>2807.2289000000001</v>
      </c>
      <c r="B17" s="2">
        <v>1.0787247</v>
      </c>
      <c r="C17">
        <f t="shared" si="1"/>
        <v>3.2910623064641445E-2</v>
      </c>
      <c r="E17" s="2">
        <v>2807.2289000000001</v>
      </c>
      <c r="F17" s="1">
        <v>1.0820795000000001</v>
      </c>
      <c r="G17">
        <f t="shared" si="0"/>
        <v>3.4259169405447709E-2</v>
      </c>
    </row>
    <row r="18" spans="1:7" x14ac:dyDescent="0.25">
      <c r="A18" s="6">
        <v>2795.1806999999999</v>
      </c>
      <c r="B18" s="2">
        <v>1.0781305000000001</v>
      </c>
      <c r="C18">
        <f t="shared" si="1"/>
        <v>3.2671332278986998E-2</v>
      </c>
      <c r="E18" s="2">
        <v>2795.1806999999999</v>
      </c>
      <c r="F18" s="1">
        <v>1.0819618</v>
      </c>
      <c r="G18">
        <f t="shared" si="0"/>
        <v>3.4211927737212947E-2</v>
      </c>
    </row>
    <row r="19" spans="1:7" x14ac:dyDescent="0.25">
      <c r="A19" s="6">
        <v>2783.1325000000002</v>
      </c>
      <c r="B19" s="2">
        <v>1.077458</v>
      </c>
      <c r="C19">
        <f t="shared" si="1"/>
        <v>3.2400350086833341E-2</v>
      </c>
      <c r="E19" s="2">
        <v>2783.1325000000002</v>
      </c>
      <c r="F19" s="1">
        <v>1.0818302</v>
      </c>
      <c r="G19">
        <f t="shared" si="0"/>
        <v>3.4159100890742547E-2</v>
      </c>
    </row>
    <row r="20" spans="1:7" x14ac:dyDescent="0.25">
      <c r="A20" s="6">
        <v>2771.0843</v>
      </c>
      <c r="B20" s="2">
        <v>1.0766994000000001</v>
      </c>
      <c r="C20">
        <f t="shared" si="1"/>
        <v>3.2094471038634886E-2</v>
      </c>
      <c r="E20" s="2">
        <v>2771.0843</v>
      </c>
      <c r="F20" s="1">
        <v>1.0816840999999999</v>
      </c>
      <c r="G20">
        <f t="shared" si="0"/>
        <v>3.4100445929319337E-2</v>
      </c>
    </row>
    <row r="21" spans="1:7" x14ac:dyDescent="0.25">
      <c r="A21" s="6">
        <v>2759.0360999999998</v>
      </c>
      <c r="B21" s="2">
        <v>1.0758463</v>
      </c>
      <c r="C21">
        <f t="shared" si="1"/>
        <v>3.1750230596343937E-2</v>
      </c>
      <c r="E21" s="2">
        <v>2759.0360999999998</v>
      </c>
      <c r="F21" s="1">
        <v>1.0815231999999999</v>
      </c>
      <c r="G21">
        <f t="shared" si="0"/>
        <v>3.4035840024682178E-2</v>
      </c>
    </row>
    <row r="22" spans="1:7" x14ac:dyDescent="0.25">
      <c r="A22" s="6">
        <v>2746.9879999999998</v>
      </c>
      <c r="B22" s="2">
        <v>1.0748905</v>
      </c>
      <c r="C22">
        <f t="shared" si="1"/>
        <v>3.1364224560524019E-2</v>
      </c>
      <c r="E22" s="2">
        <v>2746.9879999999998</v>
      </c>
      <c r="F22" s="1">
        <v>1.0813470999999999</v>
      </c>
      <c r="G22">
        <f t="shared" si="0"/>
        <v>3.396511987245468E-2</v>
      </c>
    </row>
    <row r="23" spans="1:7" x14ac:dyDescent="0.25">
      <c r="A23" s="6">
        <v>2734.9398000000001</v>
      </c>
      <c r="B23" s="2">
        <v>1.0738240999999999</v>
      </c>
      <c r="C23">
        <f t="shared" si="1"/>
        <v>3.0933146674678814E-2</v>
      </c>
      <c r="E23" s="2">
        <v>2734.9398000000001</v>
      </c>
      <c r="F23" s="1">
        <v>1.0811557999999999</v>
      </c>
      <c r="G23">
        <f t="shared" si="0"/>
        <v>3.3888282486844869E-2</v>
      </c>
    </row>
    <row r="24" spans="1:7" x14ac:dyDescent="0.25">
      <c r="A24" s="6">
        <v>2722.8915999999999</v>
      </c>
      <c r="B24" s="2">
        <v>1.0726393000000001</v>
      </c>
      <c r="C24">
        <f t="shared" si="1"/>
        <v>3.0453704859442886E-2</v>
      </c>
      <c r="E24" s="2">
        <v>2722.8915999999999</v>
      </c>
      <c r="F24" s="1">
        <v>1.0809496000000001</v>
      </c>
      <c r="G24">
        <f t="shared" si="0"/>
        <v>3.3805445153900902E-2</v>
      </c>
    </row>
    <row r="25" spans="1:7" x14ac:dyDescent="0.25">
      <c r="A25" s="6">
        <v>2710.8434000000002</v>
      </c>
      <c r="B25" s="2">
        <v>1.0713291</v>
      </c>
      <c r="C25">
        <f t="shared" si="1"/>
        <v>2.9922901605977738E-2</v>
      </c>
      <c r="E25" s="2">
        <v>2710.8434000000002</v>
      </c>
      <c r="F25" s="1">
        <v>1.0807287999999999</v>
      </c>
      <c r="G25">
        <f t="shared" si="0"/>
        <v>3.3716724998360856E-2</v>
      </c>
    </row>
    <row r="26" spans="1:7" x14ac:dyDescent="0.25">
      <c r="A26" s="6">
        <v>2698.7952</v>
      </c>
      <c r="B26" s="2">
        <v>1.0698878000000001</v>
      </c>
      <c r="C26">
        <f t="shared" si="1"/>
        <v>2.9338235259186954E-2</v>
      </c>
      <c r="E26" s="2">
        <v>2698.7952</v>
      </c>
      <c r="F26" s="1">
        <v>1.0804940000000001</v>
      </c>
      <c r="G26">
        <f t="shared" si="0"/>
        <v>3.3622359581938238E-2</v>
      </c>
    </row>
    <row r="27" spans="1:7" x14ac:dyDescent="0.25">
      <c r="A27" s="6">
        <v>2686.7469999999998</v>
      </c>
      <c r="B27" s="2">
        <v>1.0683106</v>
      </c>
      <c r="C27">
        <f t="shared" si="1"/>
        <v>2.869753757548452E-2</v>
      </c>
      <c r="E27" s="2">
        <v>2686.7469999999998</v>
      </c>
      <c r="F27" s="1">
        <v>1.0802457999999999</v>
      </c>
      <c r="G27">
        <f t="shared" si="0"/>
        <v>3.3522586447863933E-2</v>
      </c>
    </row>
    <row r="28" spans="1:7" x14ac:dyDescent="0.25">
      <c r="A28" s="6">
        <v>2674.6988000000001</v>
      </c>
      <c r="B28" s="2">
        <v>1.0665943</v>
      </c>
      <c r="C28">
        <f t="shared" si="1"/>
        <v>2.7999258434461941E-2</v>
      </c>
      <c r="E28" s="2">
        <v>2674.6988000000001</v>
      </c>
      <c r="F28" s="1">
        <v>1.0799851</v>
      </c>
      <c r="G28">
        <f t="shared" si="0"/>
        <v>3.3417763790265828E-2</v>
      </c>
    </row>
    <row r="29" spans="1:7" x14ac:dyDescent="0.25">
      <c r="A29" s="6">
        <v>2662.6505999999999</v>
      </c>
      <c r="B29" s="2">
        <v>1.0647378999999999</v>
      </c>
      <c r="C29">
        <f t="shared" si="1"/>
        <v>2.7242713321423518E-2</v>
      </c>
      <c r="E29" s="2">
        <v>2662.6505999999999</v>
      </c>
      <c r="F29" s="1">
        <v>1.0797125999999999</v>
      </c>
      <c r="G29">
        <f t="shared" si="0"/>
        <v>3.3308169519783701E-2</v>
      </c>
    </row>
    <row r="30" spans="1:7" x14ac:dyDescent="0.25">
      <c r="A30" s="6">
        <v>2650.6024000000002</v>
      </c>
      <c r="B30" s="2">
        <v>1.0627423</v>
      </c>
      <c r="C30">
        <f t="shared" si="1"/>
        <v>2.6427967010484679E-2</v>
      </c>
      <c r="E30" s="2">
        <v>2650.6024000000002</v>
      </c>
      <c r="F30" s="1">
        <v>1.0794291</v>
      </c>
      <c r="G30">
        <f t="shared" si="0"/>
        <v>3.3194121899539901E-2</v>
      </c>
    </row>
    <row r="31" spans="1:7" x14ac:dyDescent="0.25">
      <c r="A31" s="6">
        <v>2638.5542</v>
      </c>
      <c r="B31" s="2">
        <v>1.0606108000000001</v>
      </c>
      <c r="C31">
        <f t="shared" si="1"/>
        <v>2.5556045143965596E-2</v>
      </c>
      <c r="E31" s="2">
        <v>2638.5542</v>
      </c>
      <c r="F31" s="1">
        <v>1.0791356000000001</v>
      </c>
      <c r="G31">
        <f t="shared" si="0"/>
        <v>3.3076019874408016E-2</v>
      </c>
    </row>
    <row r="32" spans="1:7" x14ac:dyDescent="0.25">
      <c r="A32" s="6">
        <v>2626.5059999999999</v>
      </c>
      <c r="B32" s="2">
        <v>1.0583492999999999</v>
      </c>
      <c r="C32">
        <f t="shared" si="1"/>
        <v>2.4629026892194546E-2</v>
      </c>
      <c r="E32" s="2">
        <v>2626.5059999999999</v>
      </c>
      <c r="F32" s="1">
        <v>1.0788329000000001</v>
      </c>
      <c r="G32">
        <f t="shared" si="0"/>
        <v>3.2954182191852116E-2</v>
      </c>
    </row>
    <row r="33" spans="1:7" x14ac:dyDescent="0.25">
      <c r="A33" s="6">
        <v>2614.4578000000001</v>
      </c>
      <c r="B33" s="2">
        <v>1.0559662000000001</v>
      </c>
      <c r="C33">
        <f t="shared" si="1"/>
        <v>2.3650017261794054E-2</v>
      </c>
      <c r="E33" s="2">
        <v>2614.4578000000001</v>
      </c>
      <c r="F33" s="1">
        <v>1.0785217</v>
      </c>
      <c r="G33">
        <f t="shared" si="0"/>
        <v>3.2828887589188512E-2</v>
      </c>
    </row>
    <row r="34" spans="1:7" x14ac:dyDescent="0.25">
      <c r="A34" s="6">
        <v>2602.4096</v>
      </c>
      <c r="B34" s="2">
        <v>1.0534722999999999</v>
      </c>
      <c r="C34">
        <f t="shared" si="1"/>
        <v>2.2623120755409724E-2</v>
      </c>
      <c r="E34" s="2">
        <v>2602.4096</v>
      </c>
      <c r="F34" s="1">
        <v>1.0782027999999999</v>
      </c>
      <c r="G34">
        <f t="shared" si="0"/>
        <v>3.2700455319523709E-2</v>
      </c>
    </row>
    <row r="35" spans="1:7" x14ac:dyDescent="0.25">
      <c r="A35" s="6">
        <v>2590.3613999999998</v>
      </c>
      <c r="B35" s="2">
        <v>1.0508812999999999</v>
      </c>
      <c r="C35">
        <f t="shared" si="1"/>
        <v>2.1553664014642062E-2</v>
      </c>
      <c r="E35" s="2">
        <v>2590.3613999999998</v>
      </c>
      <c r="F35" s="1">
        <v>1.077877</v>
      </c>
      <c r="G35">
        <f t="shared" si="0"/>
        <v>3.2569204942537684E-2</v>
      </c>
    </row>
    <row r="36" spans="1:7" x14ac:dyDescent="0.25">
      <c r="A36" s="6">
        <v>2578.3132999999998</v>
      </c>
      <c r="B36" s="2">
        <v>1.0482087</v>
      </c>
      <c r="C36">
        <f t="shared" si="1"/>
        <v>2.044775997095594E-2</v>
      </c>
      <c r="E36" s="2">
        <v>2578.3132999999998</v>
      </c>
      <c r="F36" s="1">
        <v>1.0775447</v>
      </c>
      <c r="G36">
        <f t="shared" si="0"/>
        <v>3.2435295130383707E-2</v>
      </c>
    </row>
    <row r="37" spans="1:7" x14ac:dyDescent="0.25">
      <c r="A37" s="6">
        <v>2566.2651000000001</v>
      </c>
      <c r="B37" s="2">
        <v>1.0454722000000001</v>
      </c>
      <c r="C37">
        <f t="shared" si="1"/>
        <v>1.9312489045497174E-2</v>
      </c>
      <c r="E37" s="2">
        <v>2566.2651000000001</v>
      </c>
      <c r="F37" s="1">
        <v>1.0772067000000001</v>
      </c>
      <c r="G37">
        <f t="shared" si="0"/>
        <v>3.2299045968566469E-2</v>
      </c>
    </row>
    <row r="38" spans="1:7" x14ac:dyDescent="0.25">
      <c r="A38" s="6">
        <v>2554.2168999999999</v>
      </c>
      <c r="B38" s="2">
        <v>1.042691</v>
      </c>
      <c r="C38">
        <f t="shared" si="1"/>
        <v>1.8155624939005705E-2</v>
      </c>
      <c r="E38" s="2">
        <v>2554.2168999999999</v>
      </c>
      <c r="F38" s="1">
        <v>1.0768633999999999</v>
      </c>
      <c r="G38">
        <f t="shared" si="0"/>
        <v>3.2160616586068877E-2</v>
      </c>
    </row>
    <row r="39" spans="1:7" x14ac:dyDescent="0.25">
      <c r="A39" s="6">
        <v>2542.1687000000002</v>
      </c>
      <c r="B39" s="2">
        <v>1.0398856000000001</v>
      </c>
      <c r="C39">
        <f t="shared" si="1"/>
        <v>1.6985564278096717E-2</v>
      </c>
      <c r="E39" s="2">
        <v>2542.1687000000002</v>
      </c>
      <c r="F39" s="1">
        <v>1.0765152</v>
      </c>
      <c r="G39">
        <f t="shared" si="0"/>
        <v>3.2020166281680557E-2</v>
      </c>
    </row>
    <row r="40" spans="1:7" x14ac:dyDescent="0.25">
      <c r="A40" s="6">
        <v>2530.1205</v>
      </c>
      <c r="B40" s="2">
        <v>1.037077</v>
      </c>
      <c r="C40">
        <f t="shared" si="1"/>
        <v>1.581100270884676E-2</v>
      </c>
      <c r="E40" s="2">
        <v>2530.1205</v>
      </c>
      <c r="F40" s="1">
        <v>1.0761624000000001</v>
      </c>
      <c r="G40">
        <f t="shared" si="0"/>
        <v>3.1877814176017136E-2</v>
      </c>
    </row>
    <row r="41" spans="1:7" x14ac:dyDescent="0.25">
      <c r="A41" s="6">
        <v>2518.0722999999998</v>
      </c>
      <c r="B41" s="2">
        <v>1.0342865999999999</v>
      </c>
      <c r="C41">
        <f t="shared" si="1"/>
        <v>1.4640898092370003E-2</v>
      </c>
      <c r="E41" s="2">
        <v>2518.0722999999998</v>
      </c>
      <c r="F41" s="1">
        <v>1.0758053999999999</v>
      </c>
      <c r="G41">
        <f t="shared" si="0"/>
        <v>3.1733719890348136E-2</v>
      </c>
    </row>
    <row r="42" spans="1:7" x14ac:dyDescent="0.25">
      <c r="A42" s="6">
        <v>2506.0241000000001</v>
      </c>
      <c r="B42" s="2">
        <v>1.0315353</v>
      </c>
      <c r="C42">
        <f t="shared" si="1"/>
        <v>1.3484094483572039E-2</v>
      </c>
      <c r="E42" s="2">
        <v>2506.0241000000001</v>
      </c>
      <c r="F42" s="1">
        <v>1.0754444000000001</v>
      </c>
      <c r="G42">
        <f t="shared" si="0"/>
        <v>3.1587962471159858E-2</v>
      </c>
    </row>
    <row r="43" spans="1:7" x14ac:dyDescent="0.25">
      <c r="A43" s="6">
        <v>2493.9758999999999</v>
      </c>
      <c r="B43" s="2">
        <v>1.0288434</v>
      </c>
      <c r="C43">
        <f t="shared" si="1"/>
        <v>1.2349275936839738E-2</v>
      </c>
      <c r="E43" s="2">
        <v>2493.9758999999999</v>
      </c>
      <c r="F43" s="1">
        <v>1.0750796</v>
      </c>
      <c r="G43">
        <f t="shared" si="0"/>
        <v>3.144062105249356E-2</v>
      </c>
    </row>
    <row r="44" spans="1:7" x14ac:dyDescent="0.25">
      <c r="A44" s="6">
        <v>2481.9277000000002</v>
      </c>
      <c r="B44" s="2">
        <v>1.0262298000000001</v>
      </c>
      <c r="C44">
        <f t="shared" si="1"/>
        <v>1.1244621689130393E-2</v>
      </c>
      <c r="E44" s="2">
        <v>2481.9277000000002</v>
      </c>
      <c r="F44" s="1">
        <v>1.074711</v>
      </c>
      <c r="G44">
        <f t="shared" si="0"/>
        <v>3.1291694038301336E-2</v>
      </c>
    </row>
    <row r="45" spans="1:7" x14ac:dyDescent="0.25">
      <c r="A45" s="6">
        <v>2469.8795</v>
      </c>
      <c r="B45" s="2">
        <v>1.0237118999999999</v>
      </c>
      <c r="C45">
        <f t="shared" si="1"/>
        <v>1.0177751713365079E-2</v>
      </c>
      <c r="E45" s="2">
        <v>2469.8795</v>
      </c>
      <c r="F45" s="1">
        <v>1.0743388</v>
      </c>
      <c r="G45">
        <f t="shared" si="0"/>
        <v>3.1141260662787586E-2</v>
      </c>
    </row>
    <row r="46" spans="1:7" x14ac:dyDescent="0.25">
      <c r="A46" s="6">
        <v>2457.8312999999998</v>
      </c>
      <c r="B46" s="2">
        <v>1.0213049000000001</v>
      </c>
      <c r="C46">
        <f t="shared" si="1"/>
        <v>9.1554155636923897E-3</v>
      </c>
      <c r="E46" s="2">
        <v>2457.8312999999998</v>
      </c>
      <c r="F46" s="1">
        <v>1.0739628999999999</v>
      </c>
      <c r="G46">
        <f t="shared" si="0"/>
        <v>3.0989278939351321E-2</v>
      </c>
    </row>
    <row r="47" spans="1:7" x14ac:dyDescent="0.25">
      <c r="A47" s="6">
        <v>2445.7831000000001</v>
      </c>
      <c r="B47" s="2">
        <v>1.0190220999999999</v>
      </c>
      <c r="C47">
        <f t="shared" si="1"/>
        <v>8.1836028523264541E-3</v>
      </c>
      <c r="E47" s="2">
        <v>2445.7831000000001</v>
      </c>
      <c r="F47" s="1">
        <v>1.0735832999999999</v>
      </c>
      <c r="G47">
        <f t="shared" si="0"/>
        <v>3.0835747260221497E-2</v>
      </c>
    </row>
    <row r="48" spans="1:7" x14ac:dyDescent="0.25">
      <c r="A48" s="6">
        <v>2433.7348999999999</v>
      </c>
      <c r="B48" s="2">
        <v>1.0168740999999999</v>
      </c>
      <c r="C48">
        <f t="shared" si="1"/>
        <v>7.2671859021197667E-3</v>
      </c>
      <c r="E48" s="2">
        <v>2433.7348999999999</v>
      </c>
      <c r="F48" s="1">
        <v>1.0731999999999999</v>
      </c>
      <c r="G48">
        <f t="shared" si="0"/>
        <v>3.0680663999901367E-2</v>
      </c>
    </row>
    <row r="49" spans="1:7" x14ac:dyDescent="0.25">
      <c r="A49" s="6">
        <v>2421.6867000000002</v>
      </c>
      <c r="B49" s="2">
        <v>1.014869</v>
      </c>
      <c r="C49">
        <f t="shared" si="1"/>
        <v>6.4099868316571888E-3</v>
      </c>
      <c r="E49" s="2">
        <v>2421.6867000000002</v>
      </c>
      <c r="F49" s="1">
        <v>1.0728129</v>
      </c>
      <c r="G49">
        <f t="shared" si="0"/>
        <v>3.0523987033264234E-2</v>
      </c>
    </row>
    <row r="50" spans="1:7" x14ac:dyDescent="0.25">
      <c r="A50" s="6">
        <v>2409.6386000000002</v>
      </c>
      <c r="B50" s="2">
        <v>1.0130124</v>
      </c>
      <c r="C50">
        <f t="shared" si="1"/>
        <v>5.6147614694766826E-3</v>
      </c>
      <c r="E50" s="2">
        <v>2409.6386000000002</v>
      </c>
      <c r="F50" s="1">
        <v>1.0724218000000001</v>
      </c>
      <c r="G50">
        <f t="shared" si="0"/>
        <v>3.0365633661715546E-2</v>
      </c>
    </row>
    <row r="51" spans="1:7" x14ac:dyDescent="0.25">
      <c r="A51" s="6">
        <v>2397.5904</v>
      </c>
      <c r="B51" s="2">
        <v>1.0113072000000001</v>
      </c>
      <c r="C51">
        <f t="shared" si="1"/>
        <v>4.883099210513382E-3</v>
      </c>
      <c r="E51" s="2">
        <v>2397.5904</v>
      </c>
      <c r="F51" s="1">
        <v>1.0720266000000001</v>
      </c>
      <c r="G51">
        <f t="shared" si="0"/>
        <v>3.0205561560012164E-2</v>
      </c>
    </row>
    <row r="52" spans="1:7" x14ac:dyDescent="0.25">
      <c r="A52" s="6">
        <v>2385.5421999999999</v>
      </c>
      <c r="B52" s="2">
        <v>1.0097541000000001</v>
      </c>
      <c r="C52">
        <f t="shared" si="1"/>
        <v>4.2156252525342693E-3</v>
      </c>
      <c r="E52" s="2">
        <v>2385.5421999999999</v>
      </c>
      <c r="F52" s="1">
        <v>1.0716270000000001</v>
      </c>
      <c r="G52">
        <f t="shared" si="0"/>
        <v>3.0043647268469285E-2</v>
      </c>
    </row>
    <row r="53" spans="1:7" x14ac:dyDescent="0.25">
      <c r="A53" s="6">
        <v>2373.4940000000001</v>
      </c>
      <c r="B53" s="2">
        <v>1.0083513</v>
      </c>
      <c r="C53">
        <f t="shared" si="1"/>
        <v>3.6118625379256797E-3</v>
      </c>
      <c r="E53" s="2">
        <v>2373.4940000000001</v>
      </c>
      <c r="F53" s="1">
        <v>1.071223</v>
      </c>
      <c r="G53">
        <f t="shared" si="0"/>
        <v>2.9879888748024271E-2</v>
      </c>
    </row>
    <row r="54" spans="1:7" x14ac:dyDescent="0.25">
      <c r="A54" s="6">
        <v>2361.4458</v>
      </c>
      <c r="B54" s="2">
        <v>1.0070952</v>
      </c>
      <c r="C54">
        <f t="shared" si="1"/>
        <v>3.070526045640396E-3</v>
      </c>
      <c r="E54" s="2">
        <v>2361.4458</v>
      </c>
      <c r="F54" s="1">
        <v>1.0708141</v>
      </c>
      <c r="G54">
        <f t="shared" si="0"/>
        <v>2.9714081147579525E-2</v>
      </c>
    </row>
    <row r="55" spans="1:7" x14ac:dyDescent="0.25">
      <c r="A55" s="6">
        <v>2349.3975999999998</v>
      </c>
      <c r="B55" s="2">
        <v>1.0059802</v>
      </c>
      <c r="C55">
        <f t="shared" si="1"/>
        <v>2.5894328915134959E-3</v>
      </c>
      <c r="E55" s="2">
        <v>2349.3975999999998</v>
      </c>
      <c r="F55" s="1">
        <v>1.0704001999999999</v>
      </c>
      <c r="G55">
        <f t="shared" si="0"/>
        <v>2.954618156994392E-2</v>
      </c>
    </row>
    <row r="56" spans="1:7" x14ac:dyDescent="0.25">
      <c r="A56" s="6">
        <v>2337.3494000000001</v>
      </c>
      <c r="B56" s="2">
        <v>1.0049992000000001</v>
      </c>
      <c r="C56">
        <f t="shared" si="1"/>
        <v>2.1657160493198501E-3</v>
      </c>
      <c r="E56" s="2">
        <v>2337.3494000000001</v>
      </c>
      <c r="F56" s="1">
        <v>1.0699810000000001</v>
      </c>
      <c r="G56">
        <f t="shared" si="0"/>
        <v>2.9376065845565881E-2</v>
      </c>
    </row>
    <row r="57" spans="1:7" x14ac:dyDescent="0.25">
      <c r="A57" s="6">
        <v>2325.3011999999999</v>
      </c>
      <c r="B57" s="2">
        <v>1.0041439999999999</v>
      </c>
      <c r="C57">
        <f t="shared" si="1"/>
        <v>1.7959975908699848E-3</v>
      </c>
      <c r="E57" s="2">
        <v>2325.3011999999999</v>
      </c>
      <c r="F57" s="1">
        <v>1.0695562000000001</v>
      </c>
      <c r="G57">
        <f t="shared" si="0"/>
        <v>2.9203609579475483E-2</v>
      </c>
    </row>
    <row r="58" spans="1:7" x14ac:dyDescent="0.25">
      <c r="A58" s="6">
        <v>2313.2530000000002</v>
      </c>
      <c r="B58" s="2">
        <v>1.0034053999999999</v>
      </c>
      <c r="C58">
        <f t="shared" si="1"/>
        <v>1.476433929017624E-3</v>
      </c>
      <c r="E58" s="2">
        <v>2313.2530000000002</v>
      </c>
      <c r="F58" s="1">
        <v>1.0691256</v>
      </c>
      <c r="G58">
        <f t="shared" si="0"/>
        <v>2.9028728766037511E-2</v>
      </c>
    </row>
    <row r="59" spans="1:7" x14ac:dyDescent="0.25">
      <c r="A59" s="6">
        <v>2301.2048</v>
      </c>
      <c r="B59" s="2">
        <v>1.0027736</v>
      </c>
      <c r="C59">
        <f t="shared" si="1"/>
        <v>1.2028917747656214E-3</v>
      </c>
      <c r="E59" s="2">
        <v>2301.2048</v>
      </c>
      <c r="F59" s="1">
        <v>1.0686886</v>
      </c>
      <c r="G59">
        <f t="shared" si="0"/>
        <v>2.885117667452726E-2</v>
      </c>
    </row>
    <row r="60" spans="1:7" x14ac:dyDescent="0.25">
      <c r="A60" s="6">
        <v>2289.1565999999998</v>
      </c>
      <c r="B60" s="2">
        <v>1.0022384</v>
      </c>
      <c r="C60">
        <f t="shared" si="1"/>
        <v>9.710383871199237E-4</v>
      </c>
      <c r="E60" s="2">
        <v>2289.1565999999998</v>
      </c>
      <c r="F60" s="1">
        <v>1.0682450999999999</v>
      </c>
      <c r="G60">
        <f t="shared" si="0"/>
        <v>2.8670909401387681E-2</v>
      </c>
    </row>
    <row r="61" spans="1:7" x14ac:dyDescent="0.25">
      <c r="A61" s="6">
        <v>2277.1084000000001</v>
      </c>
      <c r="B61" s="2">
        <v>1.0017895999999999</v>
      </c>
      <c r="C61">
        <f t="shared" si="1"/>
        <v>7.7651878286622716E-4</v>
      </c>
      <c r="E61" s="2">
        <v>2277.1084000000001</v>
      </c>
      <c r="F61" s="1">
        <v>1.0677947000000001</v>
      </c>
      <c r="G61">
        <f t="shared" si="0"/>
        <v>2.8487760906169474E-2</v>
      </c>
    </row>
    <row r="62" spans="1:7" x14ac:dyDescent="0.25">
      <c r="A62" s="6">
        <v>2265.0601999999999</v>
      </c>
      <c r="B62" s="2">
        <v>1.001417</v>
      </c>
      <c r="C62">
        <f t="shared" si="1"/>
        <v>6.1495968474499464E-4</v>
      </c>
      <c r="E62" s="2">
        <v>2265.0601999999999</v>
      </c>
      <c r="F62" s="1">
        <v>1.067337</v>
      </c>
      <c r="G62">
        <f t="shared" si="0"/>
        <v>2.8301564815865581E-2</v>
      </c>
    </row>
    <row r="63" spans="1:7" x14ac:dyDescent="0.25">
      <c r="A63" s="6">
        <v>2253.0120000000002</v>
      </c>
      <c r="B63" s="2">
        <v>1.0011110000000001</v>
      </c>
      <c r="C63">
        <f t="shared" si="1"/>
        <v>4.8223333835012232E-4</v>
      </c>
      <c r="E63" s="2">
        <v>2253.0120000000002</v>
      </c>
      <c r="F63" s="1">
        <v>1.0668717000000001</v>
      </c>
      <c r="G63">
        <f t="shared" si="0"/>
        <v>2.8112195120548255E-2</v>
      </c>
    </row>
    <row r="64" spans="1:7" x14ac:dyDescent="0.25">
      <c r="A64" s="6">
        <v>2240.9639000000002</v>
      </c>
      <c r="B64" s="2">
        <v>1.0008623999999999</v>
      </c>
      <c r="C64">
        <f t="shared" si="1"/>
        <v>3.7437415425091279E-4</v>
      </c>
      <c r="E64" s="2">
        <v>2240.9639000000002</v>
      </c>
      <c r="F64" s="1">
        <v>1.0663982000000001</v>
      </c>
      <c r="G64">
        <f t="shared" si="0"/>
        <v>2.7919403349982139E-2</v>
      </c>
    </row>
    <row r="65" spans="1:7" x14ac:dyDescent="0.25">
      <c r="A65" s="6">
        <v>2228.9157</v>
      </c>
      <c r="B65" s="2">
        <v>1.0006626000000001</v>
      </c>
      <c r="C65">
        <f t="shared" si="1"/>
        <v>2.8766822974591618E-4</v>
      </c>
      <c r="E65" s="2">
        <v>2228.9157</v>
      </c>
      <c r="F65" s="1">
        <v>1.0659164000000001</v>
      </c>
      <c r="G65">
        <f t="shared" ref="G65:G128" si="2">LOG10(F65)</f>
        <v>2.7723144237990046E-2</v>
      </c>
    </row>
    <row r="66" spans="1:7" x14ac:dyDescent="0.25">
      <c r="A66" s="6">
        <v>2216.8674999999998</v>
      </c>
      <c r="B66" s="2">
        <v>1.0005037000000001</v>
      </c>
      <c r="C66">
        <f>LOG10(B66)</f>
        <v>2.1869905580025891E-4</v>
      </c>
      <c r="E66" s="2">
        <v>2216.8674999999998</v>
      </c>
      <c r="F66" s="1">
        <v>1.0654256</v>
      </c>
      <c r="G66">
        <f t="shared" si="2"/>
        <v>2.7523127783112493E-2</v>
      </c>
    </row>
    <row r="67" spans="1:7" x14ac:dyDescent="0.25">
      <c r="A67" s="6">
        <v>2204.8193000000001</v>
      </c>
      <c r="B67" s="2">
        <v>1.0003789000000001</v>
      </c>
      <c r="C67">
        <f t="shared" ref="C67:C130" si="3">LOG10(B67)</f>
        <v>1.6452301227643936E-4</v>
      </c>
      <c r="E67" s="2">
        <v>2204.8193000000001</v>
      </c>
      <c r="F67" s="1">
        <v>1.0649256</v>
      </c>
      <c r="G67">
        <f t="shared" si="2"/>
        <v>2.7319267269466829E-2</v>
      </c>
    </row>
    <row r="68" spans="1:7" x14ac:dyDescent="0.25">
      <c r="A68" s="6">
        <v>2192.7710999999999</v>
      </c>
      <c r="B68" s="2">
        <v>1.0002819000000001</v>
      </c>
      <c r="C68">
        <f t="shared" si="3"/>
        <v>1.2241036151861945E-4</v>
      </c>
      <c r="E68" s="2">
        <v>2192.7710999999999</v>
      </c>
      <c r="F68" s="1">
        <v>1.0644157999999999</v>
      </c>
      <c r="G68">
        <f t="shared" si="2"/>
        <v>2.7111312517725625E-2</v>
      </c>
    </row>
    <row r="69" spans="1:7" x14ac:dyDescent="0.25">
      <c r="A69" s="6">
        <v>2180.7229000000002</v>
      </c>
      <c r="B69" s="2">
        <v>1.0002073</v>
      </c>
      <c r="C69">
        <f t="shared" si="3"/>
        <v>9.0019915856612425E-5</v>
      </c>
      <c r="E69" s="2">
        <v>2180.7229000000002</v>
      </c>
      <c r="F69" s="1">
        <v>1.0638958000000001</v>
      </c>
      <c r="G69">
        <f t="shared" si="2"/>
        <v>2.6899094405412265E-2</v>
      </c>
    </row>
    <row r="70" spans="1:7" x14ac:dyDescent="0.25">
      <c r="A70" s="6">
        <v>2168.6747</v>
      </c>
      <c r="B70" s="2">
        <v>1.0001504999999999</v>
      </c>
      <c r="C70">
        <f t="shared" si="3"/>
        <v>6.5356401580547721E-5</v>
      </c>
      <c r="E70" s="2">
        <v>2168.6747</v>
      </c>
      <c r="F70" s="1">
        <v>1.0633652</v>
      </c>
      <c r="G70">
        <f t="shared" si="2"/>
        <v>2.6682443362708304E-2</v>
      </c>
    </row>
    <row r="71" spans="1:7" x14ac:dyDescent="0.25">
      <c r="A71" s="6">
        <v>2156.6264999999999</v>
      </c>
      <c r="B71" s="2">
        <v>1.0001077</v>
      </c>
      <c r="C71">
        <f t="shared" si="3"/>
        <v>4.6770997128010695E-5</v>
      </c>
      <c r="E71" s="2">
        <v>2156.6264999999999</v>
      </c>
      <c r="F71" s="1">
        <v>1.0628234999999999</v>
      </c>
      <c r="G71">
        <f t="shared" si="2"/>
        <v>2.6461148492749449E-2</v>
      </c>
    </row>
    <row r="72" spans="1:7" x14ac:dyDescent="0.25">
      <c r="A72" s="6">
        <v>2144.5783000000001</v>
      </c>
      <c r="B72" s="2">
        <v>1.0000758000000001</v>
      </c>
      <c r="C72">
        <f t="shared" si="3"/>
        <v>3.2918274141467819E-5</v>
      </c>
      <c r="E72" s="2">
        <v>2144.5783000000001</v>
      </c>
      <c r="F72">
        <v>1.0622701000000001</v>
      </c>
      <c r="G72">
        <f t="shared" si="2"/>
        <v>2.6234957447123987E-2</v>
      </c>
    </row>
    <row r="73" spans="1:7" x14ac:dyDescent="0.25">
      <c r="A73" s="6">
        <v>2132.5300999999999</v>
      </c>
      <c r="B73" s="2">
        <v>1.0000521</v>
      </c>
      <c r="C73">
        <f t="shared" si="3"/>
        <v>2.2626153100988786E-5</v>
      </c>
      <c r="E73" s="2">
        <v>2132.5300999999999</v>
      </c>
      <c r="F73">
        <v>1.0617046000000001</v>
      </c>
      <c r="G73">
        <f t="shared" si="2"/>
        <v>2.6003699009516972E-2</v>
      </c>
    </row>
    <row r="74" spans="1:7" x14ac:dyDescent="0.25">
      <c r="A74" s="6">
        <v>2120.4819000000002</v>
      </c>
      <c r="B74" s="2">
        <v>1.0000344999999999</v>
      </c>
      <c r="C74">
        <f t="shared" si="3"/>
        <v>1.4982901172075856E-5</v>
      </c>
      <c r="E74" s="2">
        <v>2120.4819000000002</v>
      </c>
      <c r="F74">
        <v>1.0611264</v>
      </c>
      <c r="G74">
        <f t="shared" si="2"/>
        <v>2.576711957795022E-2</v>
      </c>
    </row>
    <row r="75" spans="1:7" x14ac:dyDescent="0.25">
      <c r="A75" s="6">
        <v>2108.4337</v>
      </c>
      <c r="B75" s="2">
        <v>1.0000214000000001</v>
      </c>
      <c r="C75">
        <f t="shared" si="3"/>
        <v>9.2938024694240156E-6</v>
      </c>
      <c r="E75" s="2">
        <v>2108.4337</v>
      </c>
      <c r="F75">
        <v>1.0605351000000001</v>
      </c>
      <c r="G75">
        <f t="shared" si="2"/>
        <v>2.5525046717790351E-2</v>
      </c>
    </row>
    <row r="76" spans="1:7" x14ac:dyDescent="0.25">
      <c r="A76" s="6">
        <v>2096.3854999999999</v>
      </c>
      <c r="B76" s="2">
        <v>1.0000115999999999</v>
      </c>
      <c r="C76">
        <f t="shared" si="3"/>
        <v>5.0377867709229402E-6</v>
      </c>
      <c r="E76" s="2">
        <v>2096.3854999999999</v>
      </c>
      <c r="F76">
        <v>1.0599301000000001</v>
      </c>
      <c r="G76">
        <f t="shared" si="2"/>
        <v>2.5277225467358055E-2</v>
      </c>
    </row>
    <row r="77" spans="1:7" x14ac:dyDescent="0.25">
      <c r="A77" s="6">
        <v>2084.3373000000001</v>
      </c>
      <c r="B77" s="2">
        <v>1.0000041</v>
      </c>
      <c r="C77">
        <f t="shared" si="3"/>
        <v>1.7806037255470675E-6</v>
      </c>
      <c r="E77" s="2">
        <v>2084.3373000000001</v>
      </c>
      <c r="F77">
        <v>1.0593108</v>
      </c>
      <c r="G77">
        <f t="shared" si="2"/>
        <v>2.50234000713884E-2</v>
      </c>
    </row>
    <row r="78" spans="1:7" x14ac:dyDescent="0.25">
      <c r="A78" s="6">
        <v>2072.2892000000002</v>
      </c>
      <c r="B78" s="2">
        <v>0.99999813000000004</v>
      </c>
      <c r="C78">
        <f t="shared" si="3"/>
        <v>-8.1213144048458389E-7</v>
      </c>
      <c r="E78" s="2">
        <v>2072.2892000000002</v>
      </c>
      <c r="F78">
        <v>1.0586766000000001</v>
      </c>
      <c r="G78">
        <f t="shared" si="2"/>
        <v>2.4763313945611817E-2</v>
      </c>
    </row>
    <row r="79" spans="1:7" x14ac:dyDescent="0.25">
      <c r="A79" s="6">
        <v>2060.241</v>
      </c>
      <c r="B79" s="2">
        <v>0.99999309999999997</v>
      </c>
      <c r="C79">
        <f t="shared" si="3"/>
        <v>-2.9966422635739816E-6</v>
      </c>
      <c r="E79" s="2">
        <v>2060.241</v>
      </c>
      <c r="F79">
        <v>1.0580270000000001</v>
      </c>
      <c r="G79">
        <f t="shared" si="2"/>
        <v>2.4496750687249852E-2</v>
      </c>
    </row>
    <row r="80" spans="1:7" x14ac:dyDescent="0.25">
      <c r="A80" s="6">
        <v>2048.1927999999998</v>
      </c>
      <c r="B80" s="2">
        <v>0.99998860999999994</v>
      </c>
      <c r="C80">
        <f t="shared" si="3"/>
        <v>-4.9466423200836432E-6</v>
      </c>
      <c r="E80" s="2">
        <v>2048.1927999999998</v>
      </c>
      <c r="F80">
        <v>1.0573612999999999</v>
      </c>
      <c r="G80">
        <f t="shared" si="2"/>
        <v>2.4223410945182849E-2</v>
      </c>
    </row>
    <row r="81" spans="1:7" x14ac:dyDescent="0.25">
      <c r="A81" s="6">
        <v>2036.1446000000001</v>
      </c>
      <c r="B81" s="2">
        <v>0.99998430999999999</v>
      </c>
      <c r="C81">
        <f t="shared" si="3"/>
        <v>-6.8141338780875747E-6</v>
      </c>
      <c r="E81" s="2">
        <v>2036.1446000000001</v>
      </c>
      <c r="F81">
        <v>1.0566789999999999</v>
      </c>
      <c r="G81">
        <f t="shared" si="2"/>
        <v>2.3943076520818896E-2</v>
      </c>
    </row>
    <row r="82" spans="1:7" x14ac:dyDescent="0.25">
      <c r="A82" s="6">
        <v>2024.0963999999999</v>
      </c>
      <c r="B82" s="2">
        <v>0.99997992999999996</v>
      </c>
      <c r="C82">
        <f t="shared" si="3"/>
        <v>-8.7163777209580736E-6</v>
      </c>
      <c r="E82" s="2">
        <v>2024.0963999999999</v>
      </c>
      <c r="F82">
        <v>1.0559794</v>
      </c>
      <c r="G82">
        <f t="shared" si="2"/>
        <v>2.3655446082651153E-2</v>
      </c>
    </row>
    <row r="83" spans="1:7" x14ac:dyDescent="0.25">
      <c r="A83" s="6">
        <v>2012.0482</v>
      </c>
      <c r="B83" s="2">
        <v>0.99997522000000005</v>
      </c>
      <c r="C83">
        <f t="shared" si="3"/>
        <v>-1.0761950602658021E-5</v>
      </c>
      <c r="E83" s="2">
        <v>2012.0482</v>
      </c>
      <c r="F83">
        <v>1.0552618</v>
      </c>
      <c r="G83">
        <f t="shared" si="2"/>
        <v>2.3360217160237888E-2</v>
      </c>
    </row>
    <row r="84" spans="1:7" x14ac:dyDescent="0.25">
      <c r="A84" s="6">
        <v>2000</v>
      </c>
      <c r="B84" s="2">
        <v>0.99996996999999999</v>
      </c>
      <c r="C84">
        <f t="shared" si="3"/>
        <v>-1.3042059119058624E-5</v>
      </c>
      <c r="E84" s="2">
        <v>2000</v>
      </c>
      <c r="F84">
        <v>1.0545256000000001</v>
      </c>
      <c r="G84">
        <f t="shared" si="2"/>
        <v>2.3057127274921364E-2</v>
      </c>
    </row>
    <row r="85" spans="1:7" x14ac:dyDescent="0.25">
      <c r="A85" s="6">
        <v>1987.9518</v>
      </c>
      <c r="B85" s="2">
        <v>0.99996394</v>
      </c>
      <c r="C85">
        <f t="shared" si="3"/>
        <v>-1.5660941385903423E-5</v>
      </c>
      <c r="E85" s="2">
        <v>1987.9518</v>
      </c>
      <c r="F85">
        <v>1.0537700000000001</v>
      </c>
      <c r="G85">
        <f t="shared" si="2"/>
        <v>2.2745830391717632E-2</v>
      </c>
    </row>
    <row r="86" spans="1:7" x14ac:dyDescent="0.25">
      <c r="A86" s="6">
        <v>1975.9036000000001</v>
      </c>
      <c r="B86" s="2">
        <v>0.99995690999999998</v>
      </c>
      <c r="C86">
        <f t="shared" si="3"/>
        <v>-1.8714152424530951E-5</v>
      </c>
      <c r="E86" s="2">
        <v>1975.9036000000001</v>
      </c>
      <c r="F86">
        <v>1.0529945000000001</v>
      </c>
      <c r="G86">
        <f t="shared" si="2"/>
        <v>2.2426102784832622E-2</v>
      </c>
    </row>
    <row r="87" spans="1:7" x14ac:dyDescent="0.25">
      <c r="A87" s="6">
        <v>1963.8553999999999</v>
      </c>
      <c r="B87" s="2">
        <v>0.99994861000000002</v>
      </c>
      <c r="C87">
        <f t="shared" si="3"/>
        <v>-2.2318966915768314E-5</v>
      </c>
      <c r="E87" s="2">
        <v>1963.8553999999999</v>
      </c>
      <c r="F87">
        <v>1.0521982999999999</v>
      </c>
      <c r="G87">
        <f t="shared" si="2"/>
        <v>2.2097595787299106E-2</v>
      </c>
    </row>
    <row r="88" spans="1:7" x14ac:dyDescent="0.25">
      <c r="A88" s="6">
        <v>1951.8072</v>
      </c>
      <c r="B88" s="2">
        <v>0.99993871000000001</v>
      </c>
      <c r="C88">
        <f t="shared" si="3"/>
        <v>-2.6618724534992988E-5</v>
      </c>
      <c r="E88" s="2">
        <v>1951.8072</v>
      </c>
      <c r="F88">
        <v>1.0513806999999999</v>
      </c>
      <c r="G88">
        <f t="shared" si="2"/>
        <v>2.1760000492533273E-2</v>
      </c>
    </row>
    <row r="89" spans="1:7" x14ac:dyDescent="0.25">
      <c r="A89" s="6">
        <v>1939.759</v>
      </c>
      <c r="B89" s="2">
        <v>0.99992685999999997</v>
      </c>
      <c r="C89">
        <f t="shared" si="3"/>
        <v>-3.1765460083452034E-5</v>
      </c>
      <c r="E89" s="2">
        <v>1939.759</v>
      </c>
      <c r="F89">
        <v>1.0505409000000001</v>
      </c>
      <c r="G89">
        <f t="shared" si="2"/>
        <v>2.1412965165136428E-2</v>
      </c>
    </row>
    <row r="90" spans="1:7" x14ac:dyDescent="0.25">
      <c r="A90" s="6">
        <v>1927.7108000000001</v>
      </c>
      <c r="B90" s="2">
        <v>0.99991258999999999</v>
      </c>
      <c r="C90">
        <f t="shared" si="3"/>
        <v>-3.7963339875109477E-5</v>
      </c>
      <c r="E90" s="2">
        <v>1927.7108000000001</v>
      </c>
      <c r="F90">
        <v>1.0496782</v>
      </c>
      <c r="G90">
        <f t="shared" si="2"/>
        <v>2.1056177751280089E-2</v>
      </c>
    </row>
    <row r="91" spans="1:7" x14ac:dyDescent="0.25">
      <c r="A91" s="6">
        <v>1915.6627000000001</v>
      </c>
      <c r="B91" s="2">
        <v>0.99989534999999996</v>
      </c>
      <c r="C91">
        <f t="shared" si="3"/>
        <v>-4.54512958117284E-5</v>
      </c>
      <c r="E91" s="2">
        <v>1915.6627000000001</v>
      </c>
      <c r="F91">
        <v>1.0487918000000001</v>
      </c>
      <c r="G91">
        <f t="shared" si="2"/>
        <v>2.0689283155070137E-2</v>
      </c>
    </row>
    <row r="92" spans="1:7" x14ac:dyDescent="0.25">
      <c r="A92" s="6">
        <v>1903.6144999999999</v>
      </c>
      <c r="B92" s="2">
        <v>0.99987444999999997</v>
      </c>
      <c r="C92">
        <f t="shared" si="3"/>
        <v>-5.4529095338558201E-5</v>
      </c>
      <c r="E92" s="2">
        <v>1903.6144999999999</v>
      </c>
      <c r="F92">
        <v>1.0478810999999999</v>
      </c>
      <c r="G92">
        <f t="shared" si="2"/>
        <v>2.0312007320062841E-2</v>
      </c>
    </row>
    <row r="93" spans="1:7" x14ac:dyDescent="0.25">
      <c r="A93" s="6">
        <v>1891.5663</v>
      </c>
      <c r="B93" s="2">
        <v>0.99984905999999996</v>
      </c>
      <c r="C93">
        <f t="shared" si="3"/>
        <v>-6.5557356836691186E-5</v>
      </c>
      <c r="E93" s="2">
        <v>1891.5663</v>
      </c>
      <c r="F93">
        <v>1.046945</v>
      </c>
      <c r="G93">
        <f t="shared" si="2"/>
        <v>1.9923867138336097E-2</v>
      </c>
    </row>
    <row r="94" spans="1:7" x14ac:dyDescent="0.25">
      <c r="A94" s="6">
        <v>1879.5181</v>
      </c>
      <c r="B94" s="2">
        <v>0.99981810999999998</v>
      </c>
      <c r="C94">
        <f t="shared" si="3"/>
        <v>-7.9001008277913482E-5</v>
      </c>
      <c r="E94" s="2">
        <v>1879.5181</v>
      </c>
      <c r="F94">
        <v>1.0459830000000001</v>
      </c>
      <c r="G94">
        <f t="shared" si="2"/>
        <v>1.9524626150577894E-2</v>
      </c>
    </row>
    <row r="95" spans="1:7" x14ac:dyDescent="0.25">
      <c r="A95" s="6">
        <v>1867.4699000000001</v>
      </c>
      <c r="B95" s="2">
        <v>0.99978029999999996</v>
      </c>
      <c r="C95">
        <f t="shared" si="3"/>
        <v>-9.542498049214494E-5</v>
      </c>
      <c r="E95" s="2">
        <v>1867.4699000000001</v>
      </c>
      <c r="F95">
        <v>1.0449941</v>
      </c>
      <c r="G95">
        <f t="shared" si="2"/>
        <v>1.911383844259756E-2</v>
      </c>
    </row>
    <row r="96" spans="1:7" x14ac:dyDescent="0.25">
      <c r="A96" s="6">
        <v>1855.4217000000001</v>
      </c>
      <c r="B96" s="2">
        <v>0.99973396999999997</v>
      </c>
      <c r="C96">
        <f t="shared" si="3"/>
        <v>-1.1555073168287911E-4</v>
      </c>
      <c r="E96" s="2">
        <v>1855.4217000000001</v>
      </c>
      <c r="F96">
        <v>1.0439775</v>
      </c>
      <c r="G96">
        <f t="shared" si="2"/>
        <v>1.8691138770513441E-2</v>
      </c>
    </row>
    <row r="97" spans="1:7" x14ac:dyDescent="0.25">
      <c r="A97" s="6">
        <v>1843.3734999999999</v>
      </c>
      <c r="B97" s="2">
        <v>0.99967704999999996</v>
      </c>
      <c r="C97">
        <f t="shared" si="3"/>
        <v>-1.4027805554910256E-4</v>
      </c>
      <c r="E97" s="2">
        <v>1843.3734999999999</v>
      </c>
      <c r="F97">
        <v>1.0429324</v>
      </c>
      <c r="G97">
        <f t="shared" si="2"/>
        <v>1.8256159568986928E-2</v>
      </c>
    </row>
    <row r="98" spans="1:7" x14ac:dyDescent="0.25">
      <c r="A98" s="6">
        <v>1831.3253</v>
      </c>
      <c r="B98" s="2">
        <v>0.99960694999999999</v>
      </c>
      <c r="C98">
        <f t="shared" si="3"/>
        <v>-1.7073300161367085E-4</v>
      </c>
      <c r="E98" s="2">
        <v>1831.3253</v>
      </c>
      <c r="F98">
        <v>1.0418578000000001</v>
      </c>
      <c r="G98">
        <f t="shared" si="2"/>
        <v>1.7808447476341357E-2</v>
      </c>
    </row>
    <row r="99" spans="1:7" x14ac:dyDescent="0.25">
      <c r="A99" s="6">
        <v>1819.2771</v>
      </c>
      <c r="B99" s="2">
        <v>0.99952037999999999</v>
      </c>
      <c r="C99">
        <f t="shared" si="3"/>
        <v>-2.0834628692838756E-4</v>
      </c>
      <c r="E99" s="2">
        <v>1819.2771</v>
      </c>
      <c r="F99">
        <v>1.0407527000000001</v>
      </c>
      <c r="G99">
        <f t="shared" si="2"/>
        <v>1.7347546240131507E-2</v>
      </c>
    </row>
    <row r="100" spans="1:7" x14ac:dyDescent="0.25">
      <c r="A100" s="6">
        <v>1807.2289000000001</v>
      </c>
      <c r="B100" s="2">
        <v>0.99941316999999996</v>
      </c>
      <c r="C100">
        <f t="shared" si="3"/>
        <v>-2.5493183895887212E-4</v>
      </c>
      <c r="E100" s="2">
        <v>1807.2289000000001</v>
      </c>
      <c r="F100">
        <v>1.0396160999999999</v>
      </c>
      <c r="G100">
        <f t="shared" si="2"/>
        <v>1.6872996576393698E-2</v>
      </c>
    </row>
    <row r="101" spans="1:7" x14ac:dyDescent="0.25">
      <c r="A101" s="6">
        <v>1795.1806999999999</v>
      </c>
      <c r="B101" s="2">
        <v>0.99928004999999998</v>
      </c>
      <c r="C101">
        <f t="shared" si="3"/>
        <v>-3.127829197930205E-4</v>
      </c>
      <c r="E101" s="2">
        <v>1795.1806999999999</v>
      </c>
      <c r="F101">
        <v>1.0384469000000001</v>
      </c>
      <c r="G101">
        <f t="shared" si="2"/>
        <v>1.6384294201323847E-2</v>
      </c>
    </row>
    <row r="102" spans="1:7" x14ac:dyDescent="0.25">
      <c r="A102" s="6">
        <v>1783.1324999999999</v>
      </c>
      <c r="B102" s="2">
        <v>0.99911430000000001</v>
      </c>
      <c r="C102">
        <f t="shared" si="3"/>
        <v>-3.848250675708262E-4</v>
      </c>
      <c r="E102" s="2">
        <v>1783.1324999999999</v>
      </c>
      <c r="F102">
        <v>1.0372437000000001</v>
      </c>
      <c r="G102">
        <f t="shared" si="2"/>
        <v>1.5880805695712926E-2</v>
      </c>
    </row>
    <row r="103" spans="1:7" x14ac:dyDescent="0.25">
      <c r="A103" s="6">
        <v>1771.0843</v>
      </c>
      <c r="B103" s="2">
        <v>0.99890732999999998</v>
      </c>
      <c r="C103">
        <f t="shared" si="3"/>
        <v>-4.7479999866407096E-4</v>
      </c>
      <c r="E103" s="2">
        <v>1771.0843</v>
      </c>
      <c r="F103">
        <v>1.0360050000000001</v>
      </c>
      <c r="G103">
        <f t="shared" si="2"/>
        <v>1.5361851419995609E-2</v>
      </c>
    </row>
    <row r="104" spans="1:7" x14ac:dyDescent="0.25">
      <c r="A104" s="6">
        <v>1759.0361</v>
      </c>
      <c r="B104" s="2">
        <v>0.99864819000000005</v>
      </c>
      <c r="C104">
        <f t="shared" si="3"/>
        <v>-5.8748079431147156E-4</v>
      </c>
      <c r="E104" s="2">
        <v>1759.0361</v>
      </c>
      <c r="F104">
        <v>1.0347291000000001</v>
      </c>
      <c r="G104">
        <f t="shared" si="2"/>
        <v>1.4826663054107406E-2</v>
      </c>
    </row>
    <row r="105" spans="1:7" x14ac:dyDescent="0.25">
      <c r="A105" s="6">
        <v>1746.9880000000001</v>
      </c>
      <c r="B105" s="2">
        <v>0.99832279999999995</v>
      </c>
      <c r="C105">
        <f t="shared" si="3"/>
        <v>-7.2901022405764797E-4</v>
      </c>
      <c r="E105" s="2">
        <v>1746.9880000000001</v>
      </c>
      <c r="F105">
        <v>1.0334136</v>
      </c>
      <c r="G105">
        <f t="shared" si="2"/>
        <v>1.4274172679053397E-2</v>
      </c>
    </row>
    <row r="106" spans="1:7" x14ac:dyDescent="0.25">
      <c r="A106" s="6">
        <v>1734.9398000000001</v>
      </c>
      <c r="B106" s="2">
        <v>0.99791308000000001</v>
      </c>
      <c r="C106">
        <f t="shared" si="3"/>
        <v>-9.0728488529056889E-4</v>
      </c>
      <c r="E106" s="2">
        <v>1734.9398000000001</v>
      </c>
      <c r="F106">
        <v>1.0320560000000001</v>
      </c>
      <c r="G106">
        <f t="shared" si="2"/>
        <v>1.3703263019053214E-2</v>
      </c>
    </row>
    <row r="107" spans="1:7" x14ac:dyDescent="0.25">
      <c r="A107" s="6">
        <v>1722.8915999999999</v>
      </c>
      <c r="B107" s="2">
        <v>0.99739573999999998</v>
      </c>
      <c r="C107">
        <f t="shared" si="3"/>
        <v>-1.1324910388949142E-3</v>
      </c>
      <c r="E107" s="2">
        <v>1722.8915999999999</v>
      </c>
      <c r="F107">
        <v>1.0306526</v>
      </c>
      <c r="G107">
        <f t="shared" si="2"/>
        <v>1.3112303181151527E-2</v>
      </c>
    </row>
    <row r="108" spans="1:7" x14ac:dyDescent="0.25">
      <c r="A108" s="6">
        <v>1710.8434</v>
      </c>
      <c r="B108" s="2">
        <v>0.99674074999999995</v>
      </c>
      <c r="C108">
        <f t="shared" si="3"/>
        <v>-1.4177860067748603E-3</v>
      </c>
      <c r="E108" s="2">
        <v>1710.8434</v>
      </c>
      <c r="F108">
        <v>1.029199</v>
      </c>
      <c r="G108">
        <f t="shared" si="2"/>
        <v>1.2499355565229979E-2</v>
      </c>
    </row>
    <row r="109" spans="1:7" x14ac:dyDescent="0.25">
      <c r="A109" s="6">
        <v>1698.7952</v>
      </c>
      <c r="B109" s="2">
        <v>0.99590926000000002</v>
      </c>
      <c r="C109">
        <f t="shared" si="3"/>
        <v>-1.7802295246074607E-3</v>
      </c>
      <c r="E109" s="2">
        <v>1698.7952</v>
      </c>
      <c r="F109">
        <v>1.0276892</v>
      </c>
      <c r="G109">
        <f t="shared" si="2"/>
        <v>1.1861792544995673E-2</v>
      </c>
    </row>
    <row r="110" spans="1:7" x14ac:dyDescent="0.25">
      <c r="A110" s="6">
        <v>1686.7470000000001</v>
      </c>
      <c r="B110" s="2">
        <v>0.99485106000000001</v>
      </c>
      <c r="C110">
        <f t="shared" si="3"/>
        <v>-2.241932984754919E-3</v>
      </c>
      <c r="E110" s="2">
        <v>1686.7470000000001</v>
      </c>
      <c r="F110">
        <v>1.0261153000000001</v>
      </c>
      <c r="G110">
        <f t="shared" si="2"/>
        <v>1.1196163251775465E-2</v>
      </c>
    </row>
    <row r="111" spans="1:7" x14ac:dyDescent="0.25">
      <c r="A111" s="6">
        <v>1674.6987999999999</v>
      </c>
      <c r="B111" s="2">
        <v>0.99350119000000003</v>
      </c>
      <c r="C111">
        <f t="shared" si="3"/>
        <v>-2.8316083627981875E-3</v>
      </c>
      <c r="E111" s="2">
        <v>1674.6987999999999</v>
      </c>
      <c r="F111">
        <v>1.024467</v>
      </c>
      <c r="G111">
        <f t="shared" si="2"/>
        <v>1.0497973524206432E-2</v>
      </c>
    </row>
    <row r="112" spans="1:7" x14ac:dyDescent="0.25">
      <c r="A112" s="6">
        <v>1662.6505999999999</v>
      </c>
      <c r="B112" s="2">
        <v>0.99177561999999997</v>
      </c>
      <c r="C112">
        <f t="shared" si="3"/>
        <v>-3.5865718158374915E-3</v>
      </c>
      <c r="E112" s="2">
        <v>1662.6505999999999</v>
      </c>
      <c r="F112">
        <v>1.0227302</v>
      </c>
      <c r="G112">
        <f t="shared" si="2"/>
        <v>9.7610803346944199E-3</v>
      </c>
    </row>
    <row r="113" spans="1:7" x14ac:dyDescent="0.25">
      <c r="A113" s="6">
        <v>1650.6024</v>
      </c>
      <c r="B113" s="2">
        <v>0.9895659</v>
      </c>
      <c r="C113">
        <f t="shared" si="3"/>
        <v>-4.5552787154286411E-3</v>
      </c>
      <c r="E113" s="2">
        <v>1650.6024</v>
      </c>
      <c r="F113">
        <v>1.0208862000000001</v>
      </c>
      <c r="G113">
        <f t="shared" si="2"/>
        <v>8.9773332068348276E-3</v>
      </c>
    </row>
    <row r="114" spans="1:7" x14ac:dyDescent="0.25">
      <c r="A114" s="6">
        <v>1638.5542</v>
      </c>
      <c r="B114" s="2">
        <v>0.98673250000000001</v>
      </c>
      <c r="C114">
        <f t="shared" si="3"/>
        <v>-5.8005672084322788E-3</v>
      </c>
      <c r="E114" s="2">
        <v>1638.5542</v>
      </c>
      <c r="F114">
        <v>1.0189101</v>
      </c>
      <c r="G114">
        <f t="shared" si="2"/>
        <v>8.1358672289116151E-3</v>
      </c>
    </row>
    <row r="115" spans="1:7" x14ac:dyDescent="0.25">
      <c r="A115" s="6">
        <v>1626.5060000000001</v>
      </c>
      <c r="B115" s="2">
        <v>0.98309681999999998</v>
      </c>
      <c r="C115">
        <f t="shared" si="3"/>
        <v>-7.4037086977645121E-3</v>
      </c>
      <c r="E115" s="2">
        <v>1626.5060000000001</v>
      </c>
      <c r="F115">
        <v>1.0167683000000001</v>
      </c>
      <c r="G115">
        <f t="shared" si="2"/>
        <v>7.2219976662463003E-3</v>
      </c>
    </row>
    <row r="116" spans="1:7" x14ac:dyDescent="0.25">
      <c r="A116" s="6">
        <v>1614.4577999999999</v>
      </c>
      <c r="B116" s="2">
        <v>0.97843210000000003</v>
      </c>
      <c r="C116">
        <f t="shared" si="3"/>
        <v>-9.4693075823763205E-3</v>
      </c>
      <c r="E116" s="2">
        <v>1614.4577999999999</v>
      </c>
      <c r="F116">
        <v>1.0144162999999999</v>
      </c>
      <c r="G116">
        <f t="shared" si="2"/>
        <v>6.2162189911085276E-3</v>
      </c>
    </row>
    <row r="117" spans="1:7" x14ac:dyDescent="0.25">
      <c r="A117" s="6">
        <v>1602.4096</v>
      </c>
      <c r="B117" s="2">
        <v>0.97245367000000005</v>
      </c>
      <c r="C117">
        <f t="shared" si="3"/>
        <v>-1.2131080328878592E-2</v>
      </c>
      <c r="E117" s="2">
        <v>1602.4096</v>
      </c>
      <c r="F117">
        <v>1.011795</v>
      </c>
      <c r="G117">
        <f t="shared" si="2"/>
        <v>5.0925289193810312E-3</v>
      </c>
    </row>
    <row r="118" spans="1:7" x14ac:dyDescent="0.25">
      <c r="A118" s="6">
        <v>1590.3614</v>
      </c>
      <c r="B118" s="2">
        <v>0.96480988000000001</v>
      </c>
      <c r="C118">
        <f t="shared" si="3"/>
        <v>-1.555825784953822E-2</v>
      </c>
      <c r="E118" s="2">
        <v>1590.3614</v>
      </c>
      <c r="F118">
        <v>1.0088273000000001</v>
      </c>
      <c r="G118">
        <f t="shared" si="2"/>
        <v>3.8168262205892176E-3</v>
      </c>
    </row>
    <row r="119" spans="1:7" x14ac:dyDescent="0.25">
      <c r="A119" s="6">
        <v>1578.3133</v>
      </c>
      <c r="B119" s="2">
        <v>0.95507591999999997</v>
      </c>
      <c r="C119">
        <f t="shared" si="3"/>
        <v>-1.9962104514100656E-2</v>
      </c>
      <c r="E119" s="2">
        <v>1578.3133</v>
      </c>
      <c r="F119">
        <v>1.005414</v>
      </c>
      <c r="G119">
        <f t="shared" si="2"/>
        <v>2.3449283163798984E-3</v>
      </c>
    </row>
    <row r="120" spans="1:7" x14ac:dyDescent="0.25">
      <c r="A120" s="6">
        <v>1566.2651000000001</v>
      </c>
      <c r="B120" s="2">
        <v>0.94275403999999996</v>
      </c>
      <c r="C120">
        <f t="shared" si="3"/>
        <v>-2.5601597828788809E-2</v>
      </c>
      <c r="E120" s="2">
        <v>1566.2651000000001</v>
      </c>
      <c r="F120">
        <v>1.0014305999999999</v>
      </c>
      <c r="G120">
        <f t="shared" si="2"/>
        <v>6.2085769211605169E-4</v>
      </c>
    </row>
    <row r="121" spans="1:7" x14ac:dyDescent="0.25">
      <c r="A121" s="6">
        <v>1554.2168999999999</v>
      </c>
      <c r="B121" s="2">
        <v>0.92728509000000003</v>
      </c>
      <c r="C121">
        <f t="shared" si="3"/>
        <v>-3.2786723267592258E-2</v>
      </c>
      <c r="E121" s="2">
        <v>1554.2168999999999</v>
      </c>
      <c r="F121">
        <v>0.99672576999999996</v>
      </c>
      <c r="G121">
        <f t="shared" si="2"/>
        <v>-1.4243130603007277E-3</v>
      </c>
    </row>
    <row r="122" spans="1:7" x14ac:dyDescent="0.25">
      <c r="A122" s="6">
        <v>1542.1686999999999</v>
      </c>
      <c r="B122" s="2">
        <v>0.90807694000000005</v>
      </c>
      <c r="C122">
        <f t="shared" si="3"/>
        <v>-4.1877352798504741E-2</v>
      </c>
      <c r="E122" s="2">
        <v>1542.1686999999999</v>
      </c>
      <c r="F122">
        <v>0.99112445000000005</v>
      </c>
      <c r="G122">
        <f t="shared" si="2"/>
        <v>-3.8718101414852162E-3</v>
      </c>
    </row>
    <row r="123" spans="1:7" x14ac:dyDescent="0.25">
      <c r="A123" s="6">
        <v>1530.1205</v>
      </c>
      <c r="B123" s="2">
        <v>0.88455419999999996</v>
      </c>
      <c r="C123">
        <f t="shared" si="3"/>
        <v>-5.3275551064320588E-2</v>
      </c>
      <c r="E123" s="2">
        <v>1530.1205</v>
      </c>
      <c r="F123">
        <v>0.98443486999999996</v>
      </c>
      <c r="G123">
        <f t="shared" si="2"/>
        <v>-6.8130114052640462E-3</v>
      </c>
    </row>
    <row r="124" spans="1:7" x14ac:dyDescent="0.25">
      <c r="A124" s="6">
        <v>1518.0723</v>
      </c>
      <c r="B124" s="2">
        <v>0.85622986999999995</v>
      </c>
      <c r="C124">
        <f t="shared" si="3"/>
        <v>-6.7409625660903597E-2</v>
      </c>
      <c r="E124" s="2">
        <v>1518.0723</v>
      </c>
      <c r="F124">
        <v>0.97646157</v>
      </c>
      <c r="G124">
        <f t="shared" si="2"/>
        <v>-1.0344844301741809E-2</v>
      </c>
    </row>
    <row r="125" spans="1:7" x14ac:dyDescent="0.25">
      <c r="A125" s="6">
        <v>1506.0241000000001</v>
      </c>
      <c r="B125" s="2">
        <v>0.82279205</v>
      </c>
      <c r="C125">
        <f t="shared" si="3"/>
        <v>-8.4709913207030627E-2</v>
      </c>
      <c r="E125" s="2">
        <v>1506.0241000000001</v>
      </c>
      <c r="F125">
        <v>0.96702136999999999</v>
      </c>
      <c r="G125">
        <f t="shared" si="2"/>
        <v>-1.4563928429377343E-2</v>
      </c>
    </row>
    <row r="126" spans="1:7" x14ac:dyDescent="0.25">
      <c r="A126" s="6">
        <v>1493.9758999999999</v>
      </c>
      <c r="B126" s="2">
        <v>0.78419022999999999</v>
      </c>
      <c r="C126">
        <f t="shared" si="3"/>
        <v>-0.10557857275185339</v>
      </c>
      <c r="E126" s="2">
        <v>1493.9758999999999</v>
      </c>
      <c r="F126">
        <v>0.9559588</v>
      </c>
      <c r="G126">
        <f t="shared" si="2"/>
        <v>-1.9560824583967396E-2</v>
      </c>
    </row>
    <row r="127" spans="1:7" x14ac:dyDescent="0.25">
      <c r="A127" s="6">
        <v>1481.9277</v>
      </c>
      <c r="B127" s="2">
        <v>0.74069883000000003</v>
      </c>
      <c r="C127">
        <f t="shared" si="3"/>
        <v>-0.13035834135481156</v>
      </c>
      <c r="E127" s="2">
        <v>1481.9277</v>
      </c>
      <c r="F127">
        <v>0.94315773000000003</v>
      </c>
      <c r="G127">
        <f t="shared" si="2"/>
        <v>-2.5415671482852415E-2</v>
      </c>
    </row>
    <row r="128" spans="1:7" x14ac:dyDescent="0.25">
      <c r="A128" s="6">
        <v>1469.8795</v>
      </c>
      <c r="B128" s="2">
        <v>0.69293702999999995</v>
      </c>
      <c r="C128">
        <f t="shared" si="3"/>
        <v>-0.1593062296971082</v>
      </c>
      <c r="E128" s="2">
        <v>1469.8795</v>
      </c>
      <c r="F128">
        <v>0.92854718999999997</v>
      </c>
      <c r="G128">
        <f t="shared" si="2"/>
        <v>-3.2196019941629989E-2</v>
      </c>
    </row>
    <row r="129" spans="1:7" x14ac:dyDescent="0.25">
      <c r="A129" s="6">
        <v>1457.8313000000001</v>
      </c>
      <c r="B129" s="2">
        <v>0.64183354999999997</v>
      </c>
      <c r="C129">
        <f t="shared" si="3"/>
        <v>-0.19257758515412698</v>
      </c>
      <c r="E129" s="2">
        <v>1457.8313000000001</v>
      </c>
      <c r="F129">
        <v>0.91210188000000003</v>
      </c>
      <c r="G129">
        <f t="shared" ref="G129:G192" si="4">LOG10(F129)</f>
        <v>-3.995664911606546E-2</v>
      </c>
    </row>
    <row r="130" spans="1:7" x14ac:dyDescent="0.25">
      <c r="A130" s="6">
        <v>1445.7831000000001</v>
      </c>
      <c r="B130" s="2">
        <v>0.58854138</v>
      </c>
      <c r="C130">
        <f t="shared" si="3"/>
        <v>-0.23022299675618391</v>
      </c>
      <c r="E130" s="2">
        <v>1445.7831000000001</v>
      </c>
      <c r="F130">
        <v>0.89383886999999995</v>
      </c>
      <c r="G130">
        <f t="shared" si="4"/>
        <v>-4.874076328110033E-2</v>
      </c>
    </row>
    <row r="131" spans="1:7" x14ac:dyDescent="0.25">
      <c r="A131" s="6">
        <v>1433.7348999999999</v>
      </c>
      <c r="B131" s="2">
        <v>0.53432175999999998</v>
      </c>
      <c r="C131">
        <f t="shared" ref="C131:C194" si="5">LOG10(B131)</f>
        <v>-0.27219713902035969</v>
      </c>
      <c r="E131" s="2">
        <v>1433.7348999999999</v>
      </c>
      <c r="F131">
        <v>0.87381231000000004</v>
      </c>
      <c r="G131">
        <f t="shared" si="4"/>
        <v>-5.8581841375804307E-2</v>
      </c>
    </row>
    <row r="132" spans="1:7" x14ac:dyDescent="0.25">
      <c r="A132" s="6">
        <v>1421.6867</v>
      </c>
      <c r="B132" s="2">
        <v>0.48042330999999999</v>
      </c>
      <c r="C132">
        <f t="shared" si="5"/>
        <v>-0.31837592891530797</v>
      </c>
      <c r="E132" s="2">
        <v>1421.6867</v>
      </c>
      <c r="F132">
        <v>0.85210733999999999</v>
      </c>
      <c r="G132">
        <f t="shared" si="4"/>
        <v>-6.9505693691773229E-2</v>
      </c>
    </row>
    <row r="133" spans="1:7" x14ac:dyDescent="0.25">
      <c r="A133" s="6">
        <v>1409.6386</v>
      </c>
      <c r="B133" s="2">
        <v>0.42797898000000001</v>
      </c>
      <c r="C133">
        <f t="shared" si="5"/>
        <v>-0.36857756064614144</v>
      </c>
      <c r="E133" s="2">
        <v>1409.6386</v>
      </c>
      <c r="F133">
        <v>0.82883412999999995</v>
      </c>
      <c r="G133">
        <f t="shared" si="4"/>
        <v>-8.1532373711920264E-2</v>
      </c>
    </row>
    <row r="134" spans="1:7" x14ac:dyDescent="0.25">
      <c r="A134" s="6">
        <v>1397.5904</v>
      </c>
      <c r="B134" s="2">
        <v>0.37793470000000001</v>
      </c>
      <c r="C134">
        <f t="shared" si="5"/>
        <v>-0.42258323159006278</v>
      </c>
      <c r="E134" s="2">
        <v>1397.5904</v>
      </c>
      <c r="F134">
        <v>0.80412225000000004</v>
      </c>
      <c r="G134">
        <f t="shared" si="4"/>
        <v>-9.4677920823184269E-2</v>
      </c>
    </row>
    <row r="135" spans="1:7" x14ac:dyDescent="0.25">
      <c r="A135" s="6">
        <v>1385.5422000000001</v>
      </c>
      <c r="B135" s="2">
        <v>0.33101283999999997</v>
      </c>
      <c r="C135">
        <f t="shared" si="5"/>
        <v>-0.4801551595989248</v>
      </c>
      <c r="E135" s="2">
        <v>1385.5422000000001</v>
      </c>
      <c r="F135">
        <v>0.77811565999999999</v>
      </c>
      <c r="G135">
        <f t="shared" si="4"/>
        <v>-0.10895584418456232</v>
      </c>
    </row>
    <row r="136" spans="1:7" x14ac:dyDescent="0.25">
      <c r="A136" s="6">
        <v>1373.4939999999999</v>
      </c>
      <c r="B136" s="2">
        <v>0.28770633000000001</v>
      </c>
      <c r="C136">
        <f t="shared" si="5"/>
        <v>-0.54105058283046614</v>
      </c>
      <c r="E136" s="2">
        <v>1373.4939999999999</v>
      </c>
      <c r="F136">
        <v>0.75096825</v>
      </c>
      <c r="G136">
        <f t="shared" si="4"/>
        <v>-0.12437842403615651</v>
      </c>
    </row>
    <row r="137" spans="1:7" x14ac:dyDescent="0.25">
      <c r="A137" s="6">
        <v>1361.4458</v>
      </c>
      <c r="B137" s="2">
        <v>0.24829523000000001</v>
      </c>
      <c r="C137">
        <f t="shared" si="5"/>
        <v>-0.6050316235971761</v>
      </c>
      <c r="E137" s="2">
        <v>1361.4458</v>
      </c>
      <c r="F137">
        <v>0.72284002999999997</v>
      </c>
      <c r="G137">
        <f t="shared" si="4"/>
        <v>-0.14095780474596056</v>
      </c>
    </row>
    <row r="138" spans="1:7" x14ac:dyDescent="0.25">
      <c r="A138" s="6">
        <v>1349.3976</v>
      </c>
      <c r="B138" s="2">
        <v>0.21287684000000001</v>
      </c>
      <c r="C138">
        <f t="shared" si="5"/>
        <v>-0.67187158519073686</v>
      </c>
      <c r="E138" s="2">
        <v>1349.3976</v>
      </c>
      <c r="F138">
        <v>0.69389383000000004</v>
      </c>
      <c r="G138">
        <f t="shared" si="4"/>
        <v>-0.15870697417403085</v>
      </c>
    </row>
    <row r="139" spans="1:7" x14ac:dyDescent="0.25">
      <c r="A139" s="6">
        <v>1337.3494000000001</v>
      </c>
      <c r="B139" s="2">
        <v>0.18140181</v>
      </c>
      <c r="C139">
        <f t="shared" si="5"/>
        <v>-0.74135838392922804</v>
      </c>
      <c r="E139" s="2">
        <v>1337.3494000000001</v>
      </c>
      <c r="F139">
        <v>0.66429273</v>
      </c>
      <c r="G139">
        <f t="shared" si="4"/>
        <v>-0.17764050043841464</v>
      </c>
    </row>
    <row r="140" spans="1:7" x14ac:dyDescent="0.25">
      <c r="A140" s="6">
        <v>1325.3012000000001</v>
      </c>
      <c r="B140" s="2">
        <v>0.15371070000000001</v>
      </c>
      <c r="C140">
        <f t="shared" si="5"/>
        <v>-0.81329589964916515</v>
      </c>
      <c r="E140" s="2">
        <v>1325.3012000000001</v>
      </c>
      <c r="F140">
        <v>0.63419793999999996</v>
      </c>
      <c r="G140">
        <f t="shared" si="4"/>
        <v>-0.19777517298077768</v>
      </c>
    </row>
    <row r="141" spans="1:7" x14ac:dyDescent="0.25">
      <c r="A141" s="6">
        <v>1313.2529999999999</v>
      </c>
      <c r="B141" s="2">
        <v>0.12956756999999999</v>
      </c>
      <c r="C141">
        <f t="shared" si="5"/>
        <v>-0.88750368621614706</v>
      </c>
      <c r="E141" s="2">
        <v>1313.2529999999999</v>
      </c>
      <c r="F141">
        <v>0.60376722000000005</v>
      </c>
      <c r="G141">
        <f t="shared" si="4"/>
        <v>-0.21913046958315643</v>
      </c>
    </row>
    <row r="142" spans="1:7" x14ac:dyDescent="0.25">
      <c r="A142" s="6">
        <v>1301.2048</v>
      </c>
      <c r="B142" s="2">
        <v>0.1086886</v>
      </c>
      <c r="C142">
        <f t="shared" si="5"/>
        <v>-0.96381600528564337</v>
      </c>
      <c r="E142" s="2">
        <v>1301.2048</v>
      </c>
      <c r="F142">
        <v>0.57315369000000005</v>
      </c>
      <c r="G142">
        <f t="shared" si="4"/>
        <v>-0.24172890723134466</v>
      </c>
    </row>
    <row r="143" spans="1:7" x14ac:dyDescent="0.25">
      <c r="A143" s="6">
        <v>1289.1566</v>
      </c>
      <c r="B143" s="2">
        <v>9.0765375999999995E-2</v>
      </c>
      <c r="C143">
        <f t="shared" si="5"/>
        <v>-1.042079788922077</v>
      </c>
      <c r="E143" s="2">
        <v>1289.1566</v>
      </c>
      <c r="F143">
        <v>0.54250507000000003</v>
      </c>
      <c r="G143">
        <f t="shared" si="4"/>
        <v>-0.26559619874628193</v>
      </c>
    </row>
    <row r="144" spans="1:7" x14ac:dyDescent="0.25">
      <c r="A144" s="6">
        <v>1277.1084000000001</v>
      </c>
      <c r="B144" s="2">
        <v>7.5482673E-2</v>
      </c>
      <c r="C144">
        <f t="shared" si="5"/>
        <v>-1.1221527289549669</v>
      </c>
      <c r="E144" s="2">
        <v>1277.1084000000001</v>
      </c>
      <c r="F144">
        <v>0.51196311000000005</v>
      </c>
      <c r="G144">
        <f t="shared" si="4"/>
        <v>-0.29076133140821681</v>
      </c>
    </row>
    <row r="145" spans="1:7" x14ac:dyDescent="0.25">
      <c r="A145" s="6">
        <v>1265.0601999999999</v>
      </c>
      <c r="B145" s="2">
        <v>6.2531555000000003E-2</v>
      </c>
      <c r="C145">
        <f t="shared" si="5"/>
        <v>-1.203900771390938</v>
      </c>
      <c r="E145" s="2">
        <v>1265.0601999999999</v>
      </c>
      <c r="F145">
        <v>0.48166323999999999</v>
      </c>
      <c r="G145">
        <f t="shared" si="4"/>
        <v>-0.31725649729017874</v>
      </c>
    </row>
    <row r="146" spans="1:7" x14ac:dyDescent="0.25">
      <c r="A146" s="6">
        <v>1253.0119999999999</v>
      </c>
      <c r="B146" s="2">
        <v>5.1618365999999999E-2</v>
      </c>
      <c r="C146">
        <f t="shared" si="5"/>
        <v>-1.2871957473399074</v>
      </c>
      <c r="E146" s="2">
        <v>1253.0119999999999</v>
      </c>
      <c r="F146">
        <v>0.45173437999999999</v>
      </c>
      <c r="G146">
        <f t="shared" si="4"/>
        <v>-0.34511685547336918</v>
      </c>
    </row>
    <row r="147" spans="1:7" x14ac:dyDescent="0.25">
      <c r="A147" s="6">
        <v>1240.9639</v>
      </c>
      <c r="B147" s="2">
        <v>4.2470470000000003E-2</v>
      </c>
      <c r="C147">
        <f t="shared" si="5"/>
        <v>-1.3719129328572826</v>
      </c>
      <c r="E147" s="2">
        <v>1240.9639</v>
      </c>
      <c r="F147">
        <v>0.42229867999999998</v>
      </c>
      <c r="G147">
        <f t="shared" si="4"/>
        <v>-0.37438027606884572</v>
      </c>
    </row>
    <row r="148" spans="1:7" x14ac:dyDescent="0.25">
      <c r="A148" s="6">
        <v>1228.9157</v>
      </c>
      <c r="B148" s="2">
        <v>3.4839441999999998E-2</v>
      </c>
      <c r="C148">
        <f t="shared" si="5"/>
        <v>-1.4579288094124101</v>
      </c>
      <c r="E148" s="2">
        <v>1228.9157</v>
      </c>
      <c r="F148">
        <v>0.39347135</v>
      </c>
      <c r="G148">
        <f t="shared" si="4"/>
        <v>-0.40508688462610459</v>
      </c>
    </row>
    <row r="149" spans="1:7" x14ac:dyDescent="0.25">
      <c r="A149" s="6">
        <v>1216.8675000000001</v>
      </c>
      <c r="B149" s="2">
        <v>2.8502382E-2</v>
      </c>
      <c r="C149">
        <f t="shared" si="5"/>
        <v>-1.5451188436326291</v>
      </c>
      <c r="E149" s="2">
        <v>1216.8675000000001</v>
      </c>
      <c r="F149">
        <v>0.36536035</v>
      </c>
      <c r="G149">
        <f t="shared" si="4"/>
        <v>-0.43727858536482889</v>
      </c>
    </row>
    <row r="150" spans="1:7" x14ac:dyDescent="0.25">
      <c r="A150" s="6">
        <v>1204.8193000000001</v>
      </c>
      <c r="B150" s="2">
        <v>2.3261856000000001E-2</v>
      </c>
      <c r="C150">
        <f t="shared" si="5"/>
        <v>-1.6333556370537754</v>
      </c>
      <c r="E150" s="2">
        <v>1204.8193000000001</v>
      </c>
      <c r="F150">
        <v>0.33806602000000002</v>
      </c>
      <c r="G150">
        <f t="shared" si="4"/>
        <v>-0.47099847924346244</v>
      </c>
    </row>
    <row r="151" spans="1:7" x14ac:dyDescent="0.25">
      <c r="A151" s="6">
        <v>1192.7710999999999</v>
      </c>
      <c r="B151" s="2">
        <v>1.8944915999999999E-2</v>
      </c>
      <c r="C151">
        <f t="shared" si="5"/>
        <v>-1.7225073160061617</v>
      </c>
      <c r="E151" s="2">
        <v>1192.7710999999999</v>
      </c>
      <c r="F151">
        <v>0.31168056</v>
      </c>
      <c r="G151">
        <f t="shared" si="4"/>
        <v>-0.5062902844989523</v>
      </c>
    </row>
    <row r="152" spans="1:7" x14ac:dyDescent="0.25">
      <c r="A152" s="6">
        <v>1180.7229</v>
      </c>
      <c r="B152" s="2">
        <v>1.5401522000000001E-2</v>
      </c>
      <c r="C152">
        <f t="shared" si="5"/>
        <v>-1.8124363594531412</v>
      </c>
      <c r="E152" s="2">
        <v>1180.7229</v>
      </c>
      <c r="F152">
        <v>0.28628745999999999</v>
      </c>
      <c r="G152">
        <f t="shared" si="4"/>
        <v>-0.54319767458432411</v>
      </c>
    </row>
    <row r="153" spans="1:7" x14ac:dyDescent="0.25">
      <c r="A153" s="6">
        <v>1168.6747</v>
      </c>
      <c r="B153" s="2">
        <v>1.2502619E-2</v>
      </c>
      <c r="C153">
        <f t="shared" si="5"/>
        <v>-1.9029990031432304</v>
      </c>
      <c r="E153" s="2">
        <v>1168.6747</v>
      </c>
      <c r="F153">
        <v>0.26196086000000002</v>
      </c>
      <c r="G153">
        <f t="shared" si="4"/>
        <v>-0.58176359248112963</v>
      </c>
    </row>
    <row r="154" spans="1:7" x14ac:dyDescent="0.25">
      <c r="A154" s="6">
        <v>1156.6265000000001</v>
      </c>
      <c r="B154" s="2">
        <v>1.0138059E-2</v>
      </c>
      <c r="C154">
        <f t="shared" si="5"/>
        <v>-1.9940451856614558</v>
      </c>
      <c r="E154" s="2">
        <v>1156.6265000000001</v>
      </c>
      <c r="F154">
        <v>0.23876479</v>
      </c>
      <c r="G154">
        <f t="shared" si="4"/>
        <v>-0.6220297170575394</v>
      </c>
    </row>
    <row r="155" spans="1:7" x14ac:dyDescent="0.25">
      <c r="A155" s="6">
        <v>1144.5782999999999</v>
      </c>
      <c r="B155" s="2">
        <v>8.2144912999999996E-3</v>
      </c>
      <c r="C155">
        <f t="shared" si="5"/>
        <v>-2.0854193260138798</v>
      </c>
      <c r="E155" s="2">
        <v>1144.5782999999999</v>
      </c>
      <c r="F155">
        <v>0.21675262000000001</v>
      </c>
      <c r="G155">
        <f t="shared" si="4"/>
        <v>-0.66403564428005357</v>
      </c>
    </row>
    <row r="156" spans="1:7" x14ac:dyDescent="0.25">
      <c r="A156" s="6">
        <v>1132.5300999999999</v>
      </c>
      <c r="B156" s="2">
        <v>6.6533152999999996E-3</v>
      </c>
      <c r="C156">
        <f t="shared" si="5"/>
        <v>-2.1769618948907206</v>
      </c>
      <c r="E156" s="2">
        <v>1132.5300999999999</v>
      </c>
      <c r="F156">
        <v>0.19596635000000001</v>
      </c>
      <c r="G156">
        <f t="shared" si="4"/>
        <v>-0.70781849631675375</v>
      </c>
    </row>
    <row r="157" spans="1:7" x14ac:dyDescent="0.25">
      <c r="A157" s="6">
        <v>1120.4819</v>
      </c>
      <c r="B157" s="2">
        <v>5.3887505999999996E-3</v>
      </c>
      <c r="C157">
        <f t="shared" si="5"/>
        <v>-2.268511915782375</v>
      </c>
      <c r="E157" s="2">
        <v>1120.4819</v>
      </c>
      <c r="F157">
        <v>0.17643628</v>
      </c>
      <c r="G157">
        <f t="shared" si="4"/>
        <v>-0.75341210750496579</v>
      </c>
    </row>
    <row r="158" spans="1:7" x14ac:dyDescent="0.25">
      <c r="A158" s="6">
        <v>1108.4337</v>
      </c>
      <c r="B158" s="2">
        <v>4.3660605000000003E-3</v>
      </c>
      <c r="C158">
        <f t="shared" si="5"/>
        <v>-2.3599102506163181</v>
      </c>
      <c r="E158" s="2">
        <v>1108.4337</v>
      </c>
      <c r="F158">
        <v>0.15818070000000001</v>
      </c>
      <c r="G158">
        <f t="shared" si="4"/>
        <v>-0.80084650689919312</v>
      </c>
    </row>
    <row r="159" spans="1:7" x14ac:dyDescent="0.25">
      <c r="A159" s="6">
        <v>1096.3855000000001</v>
      </c>
      <c r="B159" s="2">
        <v>3.5399438000000001E-3</v>
      </c>
      <c r="C159">
        <f t="shared" si="5"/>
        <v>-2.4510036327605476</v>
      </c>
      <c r="E159" s="2">
        <v>1096.3855000000001</v>
      </c>
      <c r="F159">
        <v>0.14120583</v>
      </c>
      <c r="G159">
        <f t="shared" si="4"/>
        <v>-0.85014737209044433</v>
      </c>
    </row>
    <row r="160" spans="1:7" x14ac:dyDescent="0.25">
      <c r="A160" s="6">
        <v>1084.3372999999999</v>
      </c>
      <c r="B160" s="2">
        <v>2.8730963E-3</v>
      </c>
      <c r="C160">
        <f t="shared" si="5"/>
        <v>-2.541649817148429</v>
      </c>
      <c r="E160" s="2">
        <v>1084.3372999999999</v>
      </c>
      <c r="F160">
        <v>0.12550610000000001</v>
      </c>
      <c r="G160">
        <f t="shared" si="4"/>
        <v>-0.90133516556175708</v>
      </c>
    </row>
    <row r="161" spans="1:7" x14ac:dyDescent="0.25">
      <c r="A161" s="6">
        <v>1072.2891999999999</v>
      </c>
      <c r="B161" s="2">
        <v>2.3349538000000001E-3</v>
      </c>
      <c r="C161">
        <f t="shared" si="5"/>
        <v>-2.6317217080758399</v>
      </c>
      <c r="E161" s="2">
        <v>1072.2891999999999</v>
      </c>
      <c r="F161">
        <v>0.11106455</v>
      </c>
      <c r="G161">
        <f t="shared" si="4"/>
        <v>-0.95442453868430832</v>
      </c>
    </row>
    <row r="162" spans="1:7" x14ac:dyDescent="0.25">
      <c r="A162" s="6">
        <v>1060.241</v>
      </c>
      <c r="B162" s="2">
        <v>1.9005847000000001E-3</v>
      </c>
      <c r="C162">
        <f t="shared" si="5"/>
        <v>-2.7211127711948184</v>
      </c>
      <c r="E162" s="2">
        <v>1060.241</v>
      </c>
      <c r="F162">
        <v>9.7853551999999996E-2</v>
      </c>
      <c r="G162">
        <f t="shared" si="4"/>
        <v>-1.0094234052026934</v>
      </c>
    </row>
    <row r="163" spans="1:7" x14ac:dyDescent="0.25">
      <c r="A163" s="6">
        <v>1048.1928</v>
      </c>
      <c r="B163" s="2">
        <v>1.5497413E-3</v>
      </c>
      <c r="C163">
        <f t="shared" si="5"/>
        <v>-2.8097407930293641</v>
      </c>
      <c r="E163" s="2">
        <v>1048.1928</v>
      </c>
      <c r="F163">
        <v>8.5835764999999994E-2</v>
      </c>
      <c r="G163">
        <f t="shared" si="4"/>
        <v>-1.0663317179118936</v>
      </c>
    </row>
    <row r="164" spans="1:7" x14ac:dyDescent="0.25">
      <c r="A164" s="6">
        <v>1036.1446000000001</v>
      </c>
      <c r="B164" s="2">
        <v>1.2660447E-3</v>
      </c>
      <c r="C164">
        <f t="shared" si="5"/>
        <v>-2.8975509604950997</v>
      </c>
      <c r="E164" s="2">
        <v>1036.1446000000001</v>
      </c>
      <c r="F164">
        <v>7.4965214000000002E-2</v>
      </c>
      <c r="G164">
        <f t="shared" si="4"/>
        <v>-1.1251402149073733</v>
      </c>
    </row>
    <row r="165" spans="1:7" x14ac:dyDescent="0.25">
      <c r="A165" s="6">
        <v>1024.0963999999999</v>
      </c>
      <c r="B165" s="2">
        <v>1.0362945000000001E-3</v>
      </c>
      <c r="C165">
        <f t="shared" si="5"/>
        <v>-2.9845168068016283</v>
      </c>
      <c r="E165" s="2">
        <v>1024.0963999999999</v>
      </c>
      <c r="F165">
        <v>6.5188566000000003E-2</v>
      </c>
      <c r="G165">
        <f t="shared" si="4"/>
        <v>-1.1858285723443329</v>
      </c>
    </row>
    <row r="166" spans="1:7" x14ac:dyDescent="0.25">
      <c r="A166" s="6">
        <v>1012.0482</v>
      </c>
      <c r="B166" s="2">
        <v>8.4988377999999998E-4</v>
      </c>
      <c r="C166">
        <f t="shared" si="5"/>
        <v>-3.0706404591746734</v>
      </c>
      <c r="E166" s="2">
        <v>1012.0482</v>
      </c>
      <c r="F166">
        <v>5.6446472999999997E-2</v>
      </c>
      <c r="G166">
        <f t="shared" si="4"/>
        <v>-1.2483631893367422</v>
      </c>
    </row>
    <row r="167" spans="1:7" x14ac:dyDescent="0.25">
      <c r="A167" s="6">
        <v>1000</v>
      </c>
      <c r="B167" s="2">
        <v>6.9831636999999997E-4</v>
      </c>
      <c r="C167">
        <f t="shared" si="5"/>
        <v>-3.155947777066332</v>
      </c>
      <c r="E167" s="2">
        <v>1000</v>
      </c>
      <c r="F167">
        <v>4.8674971999999997E-2</v>
      </c>
      <c r="G167">
        <f t="shared" si="4"/>
        <v>-1.3126942896332823</v>
      </c>
    </row>
    <row r="168" spans="1:7" x14ac:dyDescent="0.25">
      <c r="A168" s="6">
        <v>987.95181000000002</v>
      </c>
      <c r="B168" s="2">
        <v>5.7479481000000002E-4</v>
      </c>
      <c r="C168">
        <f t="shared" si="5"/>
        <v>-3.2404871618992193</v>
      </c>
      <c r="E168" s="2">
        <v>987.95181000000002</v>
      </c>
      <c r="F168">
        <v>4.1806863E-2</v>
      </c>
      <c r="G168">
        <f t="shared" si="4"/>
        <v>-1.3787524187423854</v>
      </c>
    </row>
    <row r="169" spans="1:7" x14ac:dyDescent="0.25">
      <c r="A169" s="6">
        <v>975.90360999999996</v>
      </c>
      <c r="B169" s="2">
        <v>4.7389546000000001E-4</v>
      </c>
      <c r="C169">
        <f t="shared" si="5"/>
        <v>-3.3243174518964893</v>
      </c>
      <c r="E169" s="2">
        <v>975.90360999999996</v>
      </c>
      <c r="F169">
        <v>3.5773051E-2</v>
      </c>
      <c r="G169">
        <f t="shared" si="4"/>
        <v>-1.4464440183090059</v>
      </c>
    </row>
    <row r="170" spans="1:7" x14ac:dyDescent="0.25">
      <c r="A170" s="6">
        <v>963.85541999999998</v>
      </c>
      <c r="B170" s="2">
        <v>3.9129044000000001E-4</v>
      </c>
      <c r="C170">
        <f t="shared" si="5"/>
        <v>-3.4075007626435712</v>
      </c>
      <c r="E170" s="2">
        <v>963.85541999999998</v>
      </c>
      <c r="F170">
        <v>3.0503780000000001E-2</v>
      </c>
      <c r="G170">
        <f t="shared" si="4"/>
        <v>-1.5156463399508349</v>
      </c>
    </row>
    <row r="171" spans="1:7" x14ac:dyDescent="0.25">
      <c r="A171" s="6">
        <v>951.80723</v>
      </c>
      <c r="B171" s="2">
        <v>3.2352283999999997E-4</v>
      </c>
      <c r="C171">
        <f t="shared" si="5"/>
        <v>-3.4900950536789948</v>
      </c>
      <c r="E171" s="2">
        <v>951.80723</v>
      </c>
      <c r="F171">
        <v>2.5929766999999999E-2</v>
      </c>
      <c r="G171">
        <f t="shared" si="4"/>
        <v>-1.5862013857014901</v>
      </c>
    </row>
    <row r="172" spans="1:7" x14ac:dyDescent="0.25">
      <c r="A172" s="6">
        <v>939.75904000000003</v>
      </c>
      <c r="B172" s="2">
        <v>2.6783150000000001E-4</v>
      </c>
      <c r="C172">
        <f t="shared" si="5"/>
        <v>-3.5721383463991736</v>
      </c>
      <c r="E172" s="2">
        <v>939.75904000000003</v>
      </c>
      <c r="F172">
        <v>2.1983175000000001E-2</v>
      </c>
      <c r="G172">
        <f t="shared" si="4"/>
        <v>-1.6579095828224459</v>
      </c>
    </row>
    <row r="173" spans="1:7" x14ac:dyDescent="0.25">
      <c r="A173" s="6">
        <v>927.71083999999996</v>
      </c>
      <c r="B173" s="2">
        <v>2.2200443999999999E-4</v>
      </c>
      <c r="C173">
        <f t="shared" si="5"/>
        <v>-3.653638339746581</v>
      </c>
      <c r="E173" s="2">
        <v>927.71083999999996</v>
      </c>
      <c r="F173">
        <v>1.8598447000000001E-2</v>
      </c>
      <c r="G173">
        <f t="shared" si="4"/>
        <v>-1.7305233185503002</v>
      </c>
    </row>
    <row r="174" spans="1:7" x14ac:dyDescent="0.25">
      <c r="A174" s="6">
        <v>915.66264999999999</v>
      </c>
      <c r="B174" s="2">
        <v>1.8426385000000001E-4</v>
      </c>
      <c r="C174">
        <f t="shared" si="5"/>
        <v>-3.7345598589505178</v>
      </c>
      <c r="E174" s="2">
        <v>915.66264999999999</v>
      </c>
      <c r="F174">
        <v>1.5712977999999999E-2</v>
      </c>
      <c r="G174">
        <f t="shared" si="4"/>
        <v>-1.8037414975570754</v>
      </c>
    </row>
    <row r="175" spans="1:7" x14ac:dyDescent="0.25">
      <c r="A175" s="6">
        <v>903.61446000000001</v>
      </c>
      <c r="B175" s="2">
        <v>1.5317451999999999E-4</v>
      </c>
      <c r="C175">
        <f t="shared" si="5"/>
        <v>-3.814813471934007</v>
      </c>
      <c r="E175" s="2">
        <v>903.61446000000001</v>
      </c>
      <c r="F175">
        <v>1.3267637000000001E-2</v>
      </c>
      <c r="G175">
        <f t="shared" si="4"/>
        <v>-1.8772064192036204</v>
      </c>
    </row>
    <row r="176" spans="1:7" x14ac:dyDescent="0.25">
      <c r="A176" s="6">
        <v>891.56627000000003</v>
      </c>
      <c r="B176" s="2">
        <v>1.2757204000000001E-4</v>
      </c>
      <c r="C176">
        <f t="shared" si="5"/>
        <v>-3.8942444996297101</v>
      </c>
      <c r="E176" s="2">
        <v>891.56627000000003</v>
      </c>
      <c r="F176">
        <v>1.1207155E-2</v>
      </c>
      <c r="G176">
        <f t="shared" si="4"/>
        <v>-1.9505046215366684</v>
      </c>
    </row>
    <row r="177" spans="1:7" x14ac:dyDescent="0.25">
      <c r="A177" s="6">
        <v>879.51806999999997</v>
      </c>
      <c r="B177" s="2">
        <v>1.0650499E-4</v>
      </c>
      <c r="C177">
        <f t="shared" si="5"/>
        <v>-3.9726300440684694</v>
      </c>
      <c r="E177" s="2">
        <v>879.51806999999997</v>
      </c>
      <c r="F177">
        <v>9.4803929000000006E-3</v>
      </c>
      <c r="G177">
        <f t="shared" si="4"/>
        <v>-2.0231736636359785</v>
      </c>
    </row>
    <row r="178" spans="1:7" x14ac:dyDescent="0.25">
      <c r="A178" s="6">
        <v>867.46987999999999</v>
      </c>
      <c r="B178" s="2">
        <v>8.9192148999999997E-5</v>
      </c>
      <c r="C178">
        <f t="shared" si="5"/>
        <v>-4.0496733720368523</v>
      </c>
      <c r="E178" s="2">
        <v>867.46987999999999</v>
      </c>
      <c r="F178">
        <v>8.0405062000000003E-3</v>
      </c>
      <c r="G178">
        <f t="shared" si="4"/>
        <v>-2.0947166088452738</v>
      </c>
    </row>
    <row r="179" spans="1:7" x14ac:dyDescent="0.25">
      <c r="A179" s="6">
        <v>855.42169000000001</v>
      </c>
      <c r="B179" s="2">
        <v>7.4986265999999998E-5</v>
      </c>
      <c r="C179">
        <f t="shared" si="5"/>
        <v>-4.1250182718962991</v>
      </c>
      <c r="E179" s="2">
        <v>855.42169000000001</v>
      </c>
      <c r="F179">
        <v>6.8450365999999999E-3</v>
      </c>
      <c r="G179">
        <f t="shared" si="4"/>
        <v>-2.1646242253772456</v>
      </c>
    </row>
    <row r="180" spans="1:7" x14ac:dyDescent="0.25">
      <c r="A180" s="6">
        <v>843.37348999999995</v>
      </c>
      <c r="B180" s="2">
        <v>6.3349632999999998E-5</v>
      </c>
      <c r="C180">
        <f t="shared" si="5"/>
        <v>-4.1982558967479671</v>
      </c>
      <c r="E180" s="2">
        <v>843.37348999999995</v>
      </c>
      <c r="F180">
        <v>5.8559320999999999E-3</v>
      </c>
      <c r="G180">
        <f t="shared" si="4"/>
        <v>-2.2324039675996445</v>
      </c>
    </row>
    <row r="181" spans="1:7" x14ac:dyDescent="0.25">
      <c r="A181" s="6">
        <v>831.32529999999997</v>
      </c>
      <c r="B181" s="2">
        <v>5.3831010999999997E-5</v>
      </c>
      <c r="C181">
        <f t="shared" si="5"/>
        <v>-4.2689674636248087</v>
      </c>
      <c r="E181" s="2">
        <v>831.32529999999997</v>
      </c>
      <c r="F181">
        <v>5.0395068999999999E-3</v>
      </c>
      <c r="G181">
        <f t="shared" si="4"/>
        <v>-2.2976119558333772</v>
      </c>
    </row>
    <row r="182" spans="1:7" x14ac:dyDescent="0.25">
      <c r="A182" s="6">
        <v>819.27710999999999</v>
      </c>
      <c r="B182" s="2">
        <v>4.6053317000000002E-5</v>
      </c>
      <c r="C182">
        <f t="shared" si="5"/>
        <v>-4.3367390841877169</v>
      </c>
      <c r="E182" s="2">
        <v>819.27710999999999</v>
      </c>
      <c r="F182">
        <v>4.3663375000000003E-3</v>
      </c>
      <c r="G182">
        <f t="shared" si="4"/>
        <v>-2.3598826981452725</v>
      </c>
    </row>
    <row r="183" spans="1:7" x14ac:dyDescent="0.25">
      <c r="A183" s="6">
        <v>807.22892000000002</v>
      </c>
      <c r="B183" s="2">
        <v>3.9699168E-5</v>
      </c>
      <c r="C183">
        <f t="shared" si="5"/>
        <v>-4.4012185949193849</v>
      </c>
      <c r="E183" s="2">
        <v>807.22892000000002</v>
      </c>
      <c r="F183">
        <v>3.8110868999999999E-3</v>
      </c>
      <c r="G183">
        <f t="shared" si="4"/>
        <v>-2.4189511483781345</v>
      </c>
    </row>
    <row r="184" spans="1:7" x14ac:dyDescent="0.25">
      <c r="A184" s="6">
        <v>795.18071999999995</v>
      </c>
      <c r="B184" s="2">
        <v>3.4504037000000002E-5</v>
      </c>
      <c r="C184">
        <f t="shared" si="5"/>
        <v>-4.4621300891512536</v>
      </c>
      <c r="E184" s="2">
        <v>795.18071999999995</v>
      </c>
      <c r="F184">
        <v>3.3522539999999998E-3</v>
      </c>
      <c r="G184">
        <f t="shared" si="4"/>
        <v>-2.4746630823391422</v>
      </c>
    </row>
    <row r="185" spans="1:7" x14ac:dyDescent="0.25">
      <c r="A185" s="6">
        <v>783.13252999999997</v>
      </c>
      <c r="B185" s="2">
        <v>3.0247704999999999E-5</v>
      </c>
      <c r="C185">
        <f t="shared" si="5"/>
        <v>-4.5193075712147124</v>
      </c>
      <c r="E185" s="2">
        <v>783.13252999999997</v>
      </c>
      <c r="F185">
        <v>2.9718507000000001E-3</v>
      </c>
      <c r="G185">
        <f t="shared" si="4"/>
        <v>-2.5269730124736571</v>
      </c>
    </row>
    <row r="186" spans="1:7" x14ac:dyDescent="0.25">
      <c r="A186" s="6">
        <v>771.08434</v>
      </c>
      <c r="B186" s="2">
        <v>2.6747936E-5</v>
      </c>
      <c r="C186">
        <f t="shared" si="5"/>
        <v>-4.5727097246107684</v>
      </c>
      <c r="E186" s="2">
        <v>771.08434</v>
      </c>
      <c r="F186">
        <v>2.6550277000000001E-3</v>
      </c>
      <c r="G186">
        <f t="shared" si="4"/>
        <v>-2.5759309435488422</v>
      </c>
    </row>
    <row r="187" spans="1:7" x14ac:dyDescent="0.25">
      <c r="A187" s="6">
        <v>759.03614000000005</v>
      </c>
      <c r="B187" s="2">
        <v>2.3857135000000001E-5</v>
      </c>
      <c r="C187">
        <f t="shared" si="5"/>
        <v>-4.6223817118978134</v>
      </c>
      <c r="E187" s="2">
        <v>759.03614000000005</v>
      </c>
      <c r="F187">
        <v>2.3896643999999998E-3</v>
      </c>
      <c r="G187">
        <f t="shared" si="4"/>
        <v>-2.6216630862744656</v>
      </c>
    </row>
    <row r="188" spans="1:7" x14ac:dyDescent="0.25">
      <c r="A188" s="6">
        <v>746.98794999999996</v>
      </c>
      <c r="B188" s="2">
        <v>2.1454889E-5</v>
      </c>
      <c r="C188">
        <f t="shared" si="5"/>
        <v>-4.668473728011393</v>
      </c>
      <c r="E188" s="2">
        <v>746.98794999999996</v>
      </c>
      <c r="F188">
        <v>2.1659625000000002E-3</v>
      </c>
      <c r="G188">
        <f t="shared" si="4"/>
        <v>-2.6643490667245735</v>
      </c>
    </row>
    <row r="189" spans="1:7" x14ac:dyDescent="0.25">
      <c r="A189" s="6">
        <v>734.93975999999998</v>
      </c>
      <c r="B189" s="2">
        <v>1.9444997999999999E-5</v>
      </c>
      <c r="C189">
        <f t="shared" si="5"/>
        <v>-4.7111920971855374</v>
      </c>
      <c r="E189" s="2">
        <v>734.93975999999998</v>
      </c>
      <c r="F189">
        <v>1.9760520999999999E-3</v>
      </c>
      <c r="G189">
        <f t="shared" si="4"/>
        <v>-2.7042016091187251</v>
      </c>
    </row>
    <row r="190" spans="1:7" x14ac:dyDescent="0.25">
      <c r="A190" s="6">
        <v>722.89157</v>
      </c>
      <c r="B190" s="2">
        <v>1.7750765E-5</v>
      </c>
      <c r="C190">
        <f t="shared" si="5"/>
        <v>-4.7507829255317366</v>
      </c>
      <c r="E190" s="2">
        <v>722.89157</v>
      </c>
      <c r="F190">
        <v>1.8136437E-3</v>
      </c>
      <c r="G190">
        <f t="shared" si="4"/>
        <v>-2.7414480283688514</v>
      </c>
    </row>
    <row r="191" spans="1:7" x14ac:dyDescent="0.25">
      <c r="A191" s="6">
        <v>710.84337000000005</v>
      </c>
      <c r="B191" s="2">
        <v>1.6311295000000001E-5</v>
      </c>
      <c r="C191">
        <f t="shared" si="5"/>
        <v>-4.787511557719518</v>
      </c>
      <c r="E191" s="2">
        <v>710.84337000000005</v>
      </c>
      <c r="F191">
        <v>1.6737185E-3</v>
      </c>
      <c r="G191">
        <f t="shared" si="4"/>
        <v>-2.7763175834854841</v>
      </c>
    </row>
    <row r="192" spans="1:7" x14ac:dyDescent="0.25">
      <c r="A192" s="6">
        <v>698.79517999999996</v>
      </c>
      <c r="B192" s="2">
        <v>1.5078455E-5</v>
      </c>
      <c r="C192">
        <f t="shared" si="5"/>
        <v>-4.821643155770575</v>
      </c>
      <c r="E192" s="2">
        <v>698.79517999999996</v>
      </c>
      <c r="F192">
        <v>1.5522755E-3</v>
      </c>
      <c r="G192">
        <f t="shared" si="4"/>
        <v>-2.8090311970523931</v>
      </c>
    </row>
    <row r="193" spans="1:7" x14ac:dyDescent="0.25">
      <c r="A193" s="6">
        <v>686.74698999999998</v>
      </c>
      <c r="B193" s="2">
        <v>1.4014214E-5</v>
      </c>
      <c r="C193">
        <f t="shared" si="5"/>
        <v>-4.8534312550235823</v>
      </c>
      <c r="E193" s="2">
        <v>686.74698999999998</v>
      </c>
      <c r="F193">
        <v>1.4461163E-3</v>
      </c>
      <c r="G193">
        <f t="shared" ref="G193:G250" si="6">LOG10(F193)</f>
        <v>-2.8397967786755212</v>
      </c>
    </row>
    <row r="194" spans="1:7" x14ac:dyDescent="0.25">
      <c r="A194" s="6">
        <v>674.69880000000001</v>
      </c>
      <c r="B194" s="2">
        <v>1.3088361999999999E-5</v>
      </c>
      <c r="C194">
        <f t="shared" si="5"/>
        <v>-4.8831147017207126</v>
      </c>
      <c r="E194" s="2">
        <v>674.69880000000001</v>
      </c>
      <c r="F194">
        <v>1.3526815000000001E-3</v>
      </c>
      <c r="G194">
        <f t="shared" si="6"/>
        <v>-2.8688044495781555</v>
      </c>
    </row>
    <row r="195" spans="1:7" x14ac:dyDescent="0.25">
      <c r="A195" s="6">
        <v>662.65060000000005</v>
      </c>
      <c r="B195" s="2">
        <v>1.2276966E-5</v>
      </c>
      <c r="C195">
        <f t="shared" ref="C195:C250" si="7">LOG10(B195)</f>
        <v>-4.9109089468967797</v>
      </c>
      <c r="E195" s="2">
        <v>662.65060000000005</v>
      </c>
      <c r="F195">
        <v>1.2699075E-3</v>
      </c>
      <c r="G195">
        <f t="shared" si="6"/>
        <v>-2.8962279118807457</v>
      </c>
    </row>
    <row r="196" spans="1:7" x14ac:dyDescent="0.25">
      <c r="A196" s="6">
        <v>650.60240999999996</v>
      </c>
      <c r="B196" s="2">
        <v>1.1560918000000001E-5</v>
      </c>
      <c r="C196">
        <f t="shared" si="7"/>
        <v>-4.9370076791935871</v>
      </c>
      <c r="E196" s="2">
        <v>650.60240999999996</v>
      </c>
      <c r="F196">
        <v>1.1961325000000001E-3</v>
      </c>
      <c r="G196">
        <f t="shared" si="6"/>
        <v>-2.9222207092844363</v>
      </c>
    </row>
    <row r="197" spans="1:7" x14ac:dyDescent="0.25">
      <c r="A197" s="6">
        <v>638.55421999999999</v>
      </c>
      <c r="B197" s="2">
        <v>1.0924873000000001E-5</v>
      </c>
      <c r="C197">
        <f t="shared" si="7"/>
        <v>-4.9615836029360105</v>
      </c>
      <c r="E197" s="2">
        <v>638.55421999999999</v>
      </c>
      <c r="F197">
        <v>1.1299971E-3</v>
      </c>
      <c r="G197">
        <f t="shared" si="6"/>
        <v>-2.9469226710790704</v>
      </c>
    </row>
    <row r="198" spans="1:7" x14ac:dyDescent="0.25">
      <c r="A198" s="6">
        <v>626.50602000000003</v>
      </c>
      <c r="B198" s="2">
        <v>1.0356472999999999E-5</v>
      </c>
      <c r="C198">
        <f t="shared" si="7"/>
        <v>-4.9847881227216311</v>
      </c>
      <c r="E198" s="2">
        <v>626.50602000000003</v>
      </c>
      <c r="F198">
        <v>1.0704006E-3</v>
      </c>
      <c r="G198">
        <f t="shared" si="6"/>
        <v>-2.9704536561377095</v>
      </c>
    </row>
    <row r="199" spans="1:7" x14ac:dyDescent="0.25">
      <c r="A199" s="6">
        <v>614.45782999999994</v>
      </c>
      <c r="B199" s="2">
        <v>9.8456591000000007E-6</v>
      </c>
      <c r="C199">
        <f t="shared" si="7"/>
        <v>-5.0067552054870843</v>
      </c>
      <c r="E199" s="2">
        <v>614.45782999999994</v>
      </c>
      <c r="F199">
        <v>1.0164245999999999E-3</v>
      </c>
      <c r="G199">
        <f t="shared" si="6"/>
        <v>-2.9929248324892712</v>
      </c>
    </row>
    <row r="200" spans="1:7" x14ac:dyDescent="0.25">
      <c r="A200" s="6">
        <v>602.40963999999997</v>
      </c>
      <c r="B200" s="2">
        <v>9.3842027000000008E-6</v>
      </c>
      <c r="C200">
        <f t="shared" si="7"/>
        <v>-5.027602619973865</v>
      </c>
      <c r="E200" s="2">
        <v>602.40963999999997</v>
      </c>
      <c r="F200">
        <v>9.6732090999999997E-4</v>
      </c>
      <c r="G200">
        <f t="shared" si="6"/>
        <v>-3.0144294242400265</v>
      </c>
    </row>
    <row r="201" spans="1:7" x14ac:dyDescent="0.25">
      <c r="A201" s="6">
        <v>590.36144999999999</v>
      </c>
      <c r="B201" s="2">
        <v>8.9653465999999992E-6</v>
      </c>
      <c r="C201">
        <f t="shared" si="7"/>
        <v>-5.0474329159670841</v>
      </c>
      <c r="E201" s="2">
        <v>590.36144999999999</v>
      </c>
      <c r="F201">
        <v>9.2245805000000004E-4</v>
      </c>
      <c r="G201">
        <f t="shared" si="6"/>
        <v>-3.0350533748358592</v>
      </c>
    </row>
    <row r="202" spans="1:7" x14ac:dyDescent="0.25">
      <c r="A202" s="6">
        <v>578.31325000000004</v>
      </c>
      <c r="B202" s="2">
        <v>8.5834882000000005E-6</v>
      </c>
      <c r="C202">
        <f t="shared" si="7"/>
        <v>-5.0663361855600817</v>
      </c>
      <c r="E202" s="2">
        <v>578.31325000000004</v>
      </c>
      <c r="F202">
        <v>8.8130984000000005E-4</v>
      </c>
      <c r="G202">
        <f t="shared" si="6"/>
        <v>-3.0548713808663694</v>
      </c>
    </row>
    <row r="203" spans="1:7" x14ac:dyDescent="0.25">
      <c r="A203" s="6">
        <v>566.26505999999995</v>
      </c>
      <c r="B203" s="2">
        <v>8.2339296999999998E-6</v>
      </c>
      <c r="C203">
        <f t="shared" si="7"/>
        <v>-5.0843928452608562</v>
      </c>
      <c r="E203" s="2">
        <v>566.26505999999995</v>
      </c>
      <c r="F203">
        <v>8.4343188000000002E-4</v>
      </c>
      <c r="G203">
        <f t="shared" si="6"/>
        <v>-3.0739499875677554</v>
      </c>
    </row>
    <row r="204" spans="1:7" x14ac:dyDescent="0.25">
      <c r="A204" s="6">
        <v>554.21686999999997</v>
      </c>
      <c r="B204" s="2">
        <v>7.9127532999999994E-6</v>
      </c>
      <c r="C204">
        <f t="shared" si="7"/>
        <v>-5.1016723742849832</v>
      </c>
      <c r="E204" s="2">
        <v>554.21686999999997</v>
      </c>
      <c r="F204">
        <v>8.0844703E-4</v>
      </c>
      <c r="G204">
        <f t="shared" si="6"/>
        <v>-3.0923484300956479</v>
      </c>
    </row>
    <row r="205" spans="1:7" x14ac:dyDescent="0.25">
      <c r="A205" s="6">
        <v>542.16867000000002</v>
      </c>
      <c r="B205" s="2">
        <v>7.6166204000000004E-6</v>
      </c>
      <c r="C205">
        <f t="shared" si="7"/>
        <v>-5.1182376883994465</v>
      </c>
      <c r="E205" s="2">
        <v>542.16867000000002</v>
      </c>
      <c r="F205">
        <v>7.7603332999999996E-4</v>
      </c>
      <c r="G205">
        <f t="shared" si="6"/>
        <v>-3.1101196257466674</v>
      </c>
    </row>
    <row r="206" spans="1:7" x14ac:dyDescent="0.25">
      <c r="A206" s="6">
        <v>530.12048000000004</v>
      </c>
      <c r="B206" s="2">
        <v>7.3427026000000001E-6</v>
      </c>
      <c r="C206">
        <f t="shared" si="7"/>
        <v>-5.1341440615776319</v>
      </c>
      <c r="E206" s="2">
        <v>530.12048000000004</v>
      </c>
      <c r="F206">
        <v>7.4591423000000003E-4</v>
      </c>
      <c r="G206">
        <f t="shared" si="6"/>
        <v>-3.1273111076201197</v>
      </c>
    </row>
    <row r="207" spans="1:7" x14ac:dyDescent="0.25">
      <c r="A207" s="6">
        <v>518.07228999999995</v>
      </c>
      <c r="B207" s="2">
        <v>7.0885812999999997E-6</v>
      </c>
      <c r="C207">
        <f t="shared" si="7"/>
        <v>-5.1494406752870994</v>
      </c>
      <c r="E207" s="2">
        <v>518.07228999999995</v>
      </c>
      <c r="F207">
        <v>7.1785128E-4</v>
      </c>
      <c r="G207">
        <f t="shared" si="6"/>
        <v>-3.1439655208905504</v>
      </c>
    </row>
    <row r="208" spans="1:7" x14ac:dyDescent="0.25">
      <c r="A208" s="6">
        <v>506.02409999999998</v>
      </c>
      <c r="B208" s="2">
        <v>6.8521585E-6</v>
      </c>
      <c r="C208">
        <f t="shared" si="7"/>
        <v>-5.1641725997521721</v>
      </c>
      <c r="E208" s="2">
        <v>506.02409999999998</v>
      </c>
      <c r="F208">
        <v>6.9163779999999999E-4</v>
      </c>
      <c r="G208">
        <f t="shared" si="6"/>
        <v>-3.1601212793038296</v>
      </c>
    </row>
    <row r="209" spans="1:7" x14ac:dyDescent="0.25">
      <c r="A209" s="6">
        <v>493.97590000000002</v>
      </c>
      <c r="B209" s="2">
        <v>6.6316440999999996E-6</v>
      </c>
      <c r="C209">
        <f t="shared" si="7"/>
        <v>-5.1783787890852802</v>
      </c>
      <c r="E209" s="2">
        <v>493.97590000000002</v>
      </c>
      <c r="F209">
        <v>6.6709326000000005E-4</v>
      </c>
      <c r="G209">
        <f t="shared" si="6"/>
        <v>-3.1758134472346828</v>
      </c>
    </row>
    <row r="210" spans="1:7" x14ac:dyDescent="0.25">
      <c r="A210" s="6">
        <v>481.92770999999999</v>
      </c>
      <c r="B210" s="2">
        <v>6.4254445000000004E-6</v>
      </c>
      <c r="C210">
        <f t="shared" si="7"/>
        <v>-5.1920968232931894</v>
      </c>
      <c r="E210" s="2">
        <v>481.92770999999999</v>
      </c>
      <c r="F210">
        <v>6.4406003999999996E-4</v>
      </c>
      <c r="G210">
        <f t="shared" si="6"/>
        <v>-3.1910736453338471</v>
      </c>
    </row>
    <row r="211" spans="1:7" x14ac:dyDescent="0.25">
      <c r="A211" s="6">
        <v>469.87952000000001</v>
      </c>
      <c r="B211" s="2">
        <v>6.2322029000000002E-6</v>
      </c>
      <c r="C211">
        <f t="shared" si="7"/>
        <v>-5.205358415907388</v>
      </c>
      <c r="E211" s="2">
        <v>469.87952000000001</v>
      </c>
      <c r="F211">
        <v>6.2239930000000004E-4</v>
      </c>
      <c r="G211">
        <f t="shared" si="6"/>
        <v>-3.2059309044603794</v>
      </c>
    </row>
    <row r="212" spans="1:7" x14ac:dyDescent="0.25">
      <c r="A212" s="6">
        <v>457.83132999999998</v>
      </c>
      <c r="B212" s="2">
        <v>6.0507086000000002E-6</v>
      </c>
      <c r="C212">
        <f t="shared" si="7"/>
        <v>-5.2181937620335876</v>
      </c>
      <c r="E212" s="2">
        <v>457.83132999999998</v>
      </c>
      <c r="F212">
        <v>6.0198830999999998E-4</v>
      </c>
      <c r="G212">
        <f t="shared" si="6"/>
        <v>-3.2204119422169053</v>
      </c>
    </row>
    <row r="213" spans="1:7" x14ac:dyDescent="0.25">
      <c r="A213" s="6">
        <v>445.78313000000003</v>
      </c>
      <c r="B213" s="2">
        <v>5.8798935999999999E-6</v>
      </c>
      <c r="C213">
        <f t="shared" si="7"/>
        <v>-5.2306305326570177</v>
      </c>
      <c r="E213" s="2">
        <v>445.78313000000003</v>
      </c>
      <c r="F213">
        <v>5.8271851E-4</v>
      </c>
      <c r="G213">
        <f t="shared" si="6"/>
        <v>-3.2345411863663749</v>
      </c>
    </row>
    <row r="214" spans="1:7" x14ac:dyDescent="0.25">
      <c r="A214" s="6">
        <v>433.73493999999999</v>
      </c>
      <c r="B214" s="2">
        <v>5.7188206000000004E-6</v>
      </c>
      <c r="C214">
        <f t="shared" si="7"/>
        <v>-5.2426935271029347</v>
      </c>
      <c r="E214" s="2">
        <v>433.73493999999999</v>
      </c>
      <c r="F214">
        <v>5.6449314999999995E-4</v>
      </c>
      <c r="G214">
        <f t="shared" si="6"/>
        <v>-3.2483413237748877</v>
      </c>
    </row>
    <row r="215" spans="1:7" x14ac:dyDescent="0.25">
      <c r="A215" s="6">
        <v>421.68675000000002</v>
      </c>
      <c r="B215" s="2">
        <v>5.5666502000000002E-6</v>
      </c>
      <c r="C215">
        <f t="shared" si="7"/>
        <v>-5.2544060682534646</v>
      </c>
      <c r="E215" s="2">
        <v>421.68675000000002</v>
      </c>
      <c r="F215">
        <v>5.4722582000000001E-4</v>
      </c>
      <c r="G215">
        <f t="shared" si="6"/>
        <v>-3.2618334192942027</v>
      </c>
    </row>
    <row r="216" spans="1:7" x14ac:dyDescent="0.25">
      <c r="A216" s="6">
        <v>409.63855000000001</v>
      </c>
      <c r="B216" s="2">
        <v>5.4226335000000004E-6</v>
      </c>
      <c r="C216">
        <f t="shared" si="7"/>
        <v>-5.2657897472714188</v>
      </c>
      <c r="E216" s="2">
        <v>409.63855000000001</v>
      </c>
      <c r="F216">
        <v>5.3083904000000002E-4</v>
      </c>
      <c r="G216">
        <f t="shared" si="6"/>
        <v>-3.2750371449012445</v>
      </c>
    </row>
    <row r="217" spans="1:7" x14ac:dyDescent="0.25">
      <c r="A217" s="6">
        <v>397.59035999999998</v>
      </c>
      <c r="B217" s="2">
        <v>5.2861018999999998E-6</v>
      </c>
      <c r="C217">
        <f t="shared" si="7"/>
        <v>-5.2768644692441962</v>
      </c>
      <c r="E217" s="2">
        <v>397.59035999999998</v>
      </c>
      <c r="F217">
        <v>5.1526312000000002E-4</v>
      </c>
      <c r="G217">
        <f t="shared" si="6"/>
        <v>-3.2879709410896338</v>
      </c>
    </row>
    <row r="218" spans="1:7" x14ac:dyDescent="0.25">
      <c r="A218" s="6">
        <v>385.54217</v>
      </c>
      <c r="B218" s="2">
        <v>5.1564529000000003E-6</v>
      </c>
      <c r="C218">
        <f t="shared" si="7"/>
        <v>-5.2876489448227648</v>
      </c>
      <c r="E218" s="2">
        <v>385.54217</v>
      </c>
      <c r="F218">
        <v>5.0043517E-4</v>
      </c>
      <c r="G218">
        <f t="shared" si="6"/>
        <v>-3.30065217619646</v>
      </c>
    </row>
    <row r="219" spans="1:7" x14ac:dyDescent="0.25">
      <c r="A219" s="6">
        <v>373.49398000000002</v>
      </c>
      <c r="B219" s="2">
        <v>5.0331488000000001E-6</v>
      </c>
      <c r="C219">
        <f t="shared" si="7"/>
        <v>-5.2981602299319608</v>
      </c>
      <c r="E219" s="2">
        <v>373.49398000000002</v>
      </c>
      <c r="F219">
        <v>4.8629818000000001E-4</v>
      </c>
      <c r="G219">
        <f t="shared" si="6"/>
        <v>-3.3130973558018333</v>
      </c>
    </row>
    <row r="220" spans="1:7" x14ac:dyDescent="0.25">
      <c r="A220" s="6">
        <v>361.44578000000001</v>
      </c>
      <c r="B220" s="2">
        <v>4.9156934E-6</v>
      </c>
      <c r="C220">
        <f t="shared" si="7"/>
        <v>-5.3084152126123954</v>
      </c>
      <c r="E220" s="2">
        <v>361.44578000000001</v>
      </c>
      <c r="F220">
        <v>4.7280036999999999E-4</v>
      </c>
      <c r="G220">
        <f t="shared" si="6"/>
        <v>-3.3253221922602711</v>
      </c>
    </row>
    <row r="221" spans="1:7" x14ac:dyDescent="0.25">
      <c r="A221" s="6">
        <v>349.39758999999998</v>
      </c>
      <c r="B221" s="2">
        <v>4.8036466999999996E-6</v>
      </c>
      <c r="C221">
        <f t="shared" si="7"/>
        <v>-5.318428941711014</v>
      </c>
      <c r="E221" s="2">
        <v>349.39758999999998</v>
      </c>
      <c r="F221">
        <v>4.5989450999999999E-4</v>
      </c>
      <c r="G221">
        <f t="shared" si="6"/>
        <v>-3.337341774794166</v>
      </c>
    </row>
    <row r="222" spans="1:7" x14ac:dyDescent="0.25">
      <c r="A222" s="6">
        <v>337.3494</v>
      </c>
      <c r="B222" s="2">
        <v>4.6965979999999996E-6</v>
      </c>
      <c r="C222">
        <f t="shared" si="7"/>
        <v>-5.3282166111715039</v>
      </c>
      <c r="E222" s="2">
        <v>337.3494</v>
      </c>
      <c r="F222">
        <v>4.4753734999999998E-4</v>
      </c>
      <c r="G222">
        <f t="shared" si="6"/>
        <v>-3.3491707140419043</v>
      </c>
    </row>
    <row r="223" spans="1:7" x14ac:dyDescent="0.25">
      <c r="A223" s="6">
        <v>325.30119999999999</v>
      </c>
      <c r="B223" s="2">
        <v>4.5941834999999999E-6</v>
      </c>
      <c r="C223">
        <f t="shared" si="7"/>
        <v>-5.3377916622872998</v>
      </c>
      <c r="E223" s="2">
        <v>325.30119999999999</v>
      </c>
      <c r="F223">
        <v>4.3568917999999999E-4</v>
      </c>
      <c r="G223">
        <f t="shared" si="6"/>
        <v>-3.3608232252940891</v>
      </c>
    </row>
    <row r="224" spans="1:7" x14ac:dyDescent="0.25">
      <c r="A224" s="6">
        <v>313.25301000000002</v>
      </c>
      <c r="B224" s="2">
        <v>4.4960611999999999E-6</v>
      </c>
      <c r="C224">
        <f t="shared" si="7"/>
        <v>-5.3471677858194671</v>
      </c>
      <c r="E224" s="2">
        <v>313.25301000000002</v>
      </c>
      <c r="F224">
        <v>4.2431334E-4</v>
      </c>
      <c r="G224">
        <f t="shared" si="6"/>
        <v>-3.3723133142213246</v>
      </c>
    </row>
    <row r="225" spans="1:7" x14ac:dyDescent="0.25">
      <c r="A225" s="6">
        <v>301.20481999999998</v>
      </c>
      <c r="B225" s="2">
        <v>4.4019214999999998E-6</v>
      </c>
      <c r="C225">
        <f t="shared" si="7"/>
        <v>-5.356357706539784</v>
      </c>
      <c r="E225" s="2">
        <v>301.20481999999998</v>
      </c>
      <c r="F225">
        <v>4.1337587E-4</v>
      </c>
      <c r="G225">
        <f t="shared" si="6"/>
        <v>-3.3836548780515057</v>
      </c>
    </row>
    <row r="226" spans="1:7" x14ac:dyDescent="0.25">
      <c r="A226" s="6">
        <v>289.15663000000001</v>
      </c>
      <c r="B226" s="2">
        <v>4.3114780999999999E-6</v>
      </c>
      <c r="C226">
        <f t="shared" si="7"/>
        <v>-5.3653738155411528</v>
      </c>
      <c r="E226" s="2">
        <v>289.15663000000001</v>
      </c>
      <c r="F226">
        <v>4.0284517000000001E-4</v>
      </c>
      <c r="G226">
        <f t="shared" si="6"/>
        <v>-3.3948618390570995</v>
      </c>
    </row>
    <row r="227" spans="1:7" x14ac:dyDescent="0.25">
      <c r="A227" s="6">
        <v>277.10843</v>
      </c>
      <c r="B227" s="2">
        <v>4.2244645000000004E-6</v>
      </c>
      <c r="C227">
        <f t="shared" si="7"/>
        <v>-5.3742283351011704</v>
      </c>
      <c r="E227" s="2">
        <v>277.10843</v>
      </c>
      <c r="F227">
        <v>3.9269164999999998E-4</v>
      </c>
      <c r="G227">
        <f t="shared" si="6"/>
        <v>-3.4059483332533356</v>
      </c>
    </row>
    <row r="228" spans="1:7" x14ac:dyDescent="0.25">
      <c r="A228" s="6">
        <v>265.06024000000002</v>
      </c>
      <c r="B228" s="2">
        <v>4.1406366000000004E-6</v>
      </c>
      <c r="C228">
        <f t="shared" si="7"/>
        <v>-5.3829328833686958</v>
      </c>
      <c r="E228" s="2">
        <v>265.06024000000002</v>
      </c>
      <c r="F228">
        <v>3.8288744999999999E-4</v>
      </c>
      <c r="G228">
        <f t="shared" si="6"/>
        <v>-3.4169288684004751</v>
      </c>
    </row>
    <row r="229" spans="1:7" x14ac:dyDescent="0.25">
      <c r="A229" s="6">
        <v>253.01204999999999</v>
      </c>
      <c r="B229" s="2">
        <v>4.0597636999999997E-6</v>
      </c>
      <c r="C229">
        <f t="shared" si="7"/>
        <v>-5.3914992439530138</v>
      </c>
      <c r="E229" s="2">
        <v>253.01204999999999</v>
      </c>
      <c r="F229">
        <v>3.7340616000000002E-4</v>
      </c>
      <c r="G229">
        <f t="shared" si="6"/>
        <v>-3.4278185218664747</v>
      </c>
    </row>
    <row r="230" spans="1:7" x14ac:dyDescent="0.25">
      <c r="A230" s="6">
        <v>240.96386000000001</v>
      </c>
      <c r="B230" s="2">
        <v>3.9816330000000004E-6</v>
      </c>
      <c r="C230">
        <f t="shared" si="7"/>
        <v>-5.3999387727918329</v>
      </c>
      <c r="E230" s="2">
        <v>240.96386000000001</v>
      </c>
      <c r="F230">
        <v>3.6422253999999999E-4</v>
      </c>
      <c r="G230">
        <f t="shared" si="6"/>
        <v>-3.4386331812903612</v>
      </c>
    </row>
    <row r="231" spans="1:7" x14ac:dyDescent="0.25">
      <c r="A231" s="6">
        <v>228.91566</v>
      </c>
      <c r="B231" s="2">
        <v>3.9060423000000001E-6</v>
      </c>
      <c r="C231">
        <f t="shared" si="7"/>
        <v>-5.4082630578845414</v>
      </c>
      <c r="E231" s="2">
        <v>228.91566</v>
      </c>
      <c r="F231">
        <v>3.5531225000000002E-4</v>
      </c>
      <c r="G231">
        <f t="shared" si="6"/>
        <v>-3.4493898192044736</v>
      </c>
    </row>
    <row r="232" spans="1:7" x14ac:dyDescent="0.25">
      <c r="A232" s="6">
        <v>216.86747</v>
      </c>
      <c r="B232" s="2">
        <v>3.8328030999999998E-6</v>
      </c>
      <c r="C232">
        <f t="shared" si="7"/>
        <v>-5.4164834908891226</v>
      </c>
      <c r="E232" s="2">
        <v>216.86747</v>
      </c>
      <c r="F232">
        <v>3.4665158999999999E-4</v>
      </c>
      <c r="G232">
        <f t="shared" si="6"/>
        <v>-3.4601068034656635</v>
      </c>
    </row>
    <row r="233" spans="1:7" x14ac:dyDescent="0.25">
      <c r="A233" s="6">
        <v>204.81927999999999</v>
      </c>
      <c r="B233" s="2">
        <v>3.7617324000000001E-6</v>
      </c>
      <c r="C233">
        <f t="shared" si="7"/>
        <v>-5.4246121022829703</v>
      </c>
      <c r="E233" s="2">
        <v>204.81927999999999</v>
      </c>
      <c r="F233">
        <v>3.3821714999999997E-4</v>
      </c>
      <c r="G233">
        <f t="shared" si="6"/>
        <v>-3.4708043743801325</v>
      </c>
    </row>
    <row r="234" spans="1:7" x14ac:dyDescent="0.25">
      <c r="A234" s="6">
        <v>192.77108000000001</v>
      </c>
      <c r="B234" s="2">
        <v>3.6926613E-6</v>
      </c>
      <c r="C234">
        <f t="shared" si="7"/>
        <v>-5.4326605250830582</v>
      </c>
      <c r="E234" s="2">
        <v>192.77108000000001</v>
      </c>
      <c r="F234">
        <v>3.2998555E-4</v>
      </c>
      <c r="G234">
        <f t="shared" si="6"/>
        <v>-3.4815050773726099</v>
      </c>
    </row>
    <row r="235" spans="1:7" x14ac:dyDescent="0.25">
      <c r="A235" s="6">
        <v>180.72289000000001</v>
      </c>
      <c r="B235" s="2">
        <v>3.6254218999999999E-6</v>
      </c>
      <c r="C235">
        <f t="shared" si="7"/>
        <v>-5.4406414461467563</v>
      </c>
      <c r="E235" s="2">
        <v>180.72289000000001</v>
      </c>
      <c r="F235">
        <v>3.2193298999999998E-4</v>
      </c>
      <c r="G235">
        <f t="shared" si="6"/>
        <v>-3.49223451681909</v>
      </c>
    </row>
    <row r="236" spans="1:7" x14ac:dyDescent="0.25">
      <c r="A236" s="6">
        <v>168.6747</v>
      </c>
      <c r="B236" s="2">
        <v>3.5598537000000002E-6</v>
      </c>
      <c r="C236">
        <f t="shared" si="7"/>
        <v>-5.4485678499451824</v>
      </c>
      <c r="E236" s="2">
        <v>168.6747</v>
      </c>
      <c r="F236">
        <v>3.1403483999999999E-4</v>
      </c>
      <c r="G236">
        <f t="shared" si="6"/>
        <v>-3.5030221672758666</v>
      </c>
    </row>
    <row r="237" spans="1:7" x14ac:dyDescent="0.25">
      <c r="A237" s="6">
        <v>156.62651</v>
      </c>
      <c r="B237" s="2">
        <v>3.4957981999999999E-6</v>
      </c>
      <c r="C237">
        <f t="shared" si="7"/>
        <v>-5.4564536455902637</v>
      </c>
      <c r="E237" s="2">
        <v>156.62651</v>
      </c>
      <c r="F237">
        <v>3.0626505999999999E-4</v>
      </c>
      <c r="G237">
        <f t="shared" si="6"/>
        <v>-3.5139025464997795</v>
      </c>
    </row>
    <row r="238" spans="1:7" x14ac:dyDescent="0.25">
      <c r="A238" s="6">
        <v>144.57830999999999</v>
      </c>
      <c r="B238" s="2">
        <v>3.4330976E-6</v>
      </c>
      <c r="C238">
        <f t="shared" si="7"/>
        <v>-5.4643138497816741</v>
      </c>
      <c r="E238" s="2">
        <v>144.57830999999999</v>
      </c>
      <c r="F238">
        <v>2.9859546999999999E-4</v>
      </c>
      <c r="G238">
        <f t="shared" si="6"/>
        <v>-3.5249167852544172</v>
      </c>
    </row>
    <row r="239" spans="1:7" x14ac:dyDescent="0.25">
      <c r="A239" s="6">
        <v>132.53012000000001</v>
      </c>
      <c r="B239" s="2">
        <v>3.3715923000000001E-6</v>
      </c>
      <c r="C239">
        <f t="shared" si="7"/>
        <v>-5.4721649466704232</v>
      </c>
      <c r="E239" s="2">
        <v>132.53012000000001</v>
      </c>
      <c r="F239">
        <v>2.9099477E-4</v>
      </c>
      <c r="G239">
        <f t="shared" si="6"/>
        <v>-3.5361148164455414</v>
      </c>
    </row>
    <row r="240" spans="1:7" x14ac:dyDescent="0.25">
      <c r="A240" s="6">
        <v>120.48193000000001</v>
      </c>
      <c r="B240" s="2">
        <v>3.3111171000000001E-6</v>
      </c>
      <c r="C240">
        <f t="shared" si="7"/>
        <v>-5.4800254598445663</v>
      </c>
      <c r="E240" s="2">
        <v>120.48193000000001</v>
      </c>
      <c r="F240">
        <v>2.8342720000000001E-4</v>
      </c>
      <c r="G240">
        <f t="shared" si="6"/>
        <v>-3.5475584736260934</v>
      </c>
    </row>
    <row r="241" spans="1:7" x14ac:dyDescent="0.25">
      <c r="A241" s="6">
        <v>108.43373</v>
      </c>
      <c r="B241" s="2">
        <v>3.2514975999999999E-6</v>
      </c>
      <c r="C241">
        <f t="shared" si="7"/>
        <v>-5.4879165622180208</v>
      </c>
      <c r="E241" s="2">
        <v>108.43373</v>
      </c>
      <c r="F241">
        <v>2.7585054000000002E-4</v>
      </c>
      <c r="G241">
        <f t="shared" si="6"/>
        <v>-3.5593261615384302</v>
      </c>
    </row>
    <row r="242" spans="1:7" x14ac:dyDescent="0.25">
      <c r="A242" s="6">
        <v>96.385542000000001</v>
      </c>
      <c r="B242" s="2">
        <v>3.1925425999999999E-6</v>
      </c>
      <c r="C242">
        <f t="shared" si="7"/>
        <v>-5.4958632989755909</v>
      </c>
      <c r="E242" s="2">
        <v>96.385542000000001</v>
      </c>
      <c r="F242">
        <v>2.6821316000000001E-4</v>
      </c>
      <c r="G242">
        <f t="shared" si="6"/>
        <v>-3.5715199171064658</v>
      </c>
    </row>
    <row r="243" spans="1:7" x14ac:dyDescent="0.25">
      <c r="A243" s="6">
        <v>84.337349000000003</v>
      </c>
      <c r="B243" s="2">
        <v>3.1340355999999999E-6</v>
      </c>
      <c r="C243">
        <f t="shared" si="7"/>
        <v>-5.5038960746205419</v>
      </c>
      <c r="E243" s="2">
        <v>84.337349000000003</v>
      </c>
      <c r="F243">
        <v>2.6044925999999999E-4</v>
      </c>
      <c r="G243">
        <f t="shared" si="6"/>
        <v>-3.5842768721662934</v>
      </c>
    </row>
    <row r="244" spans="1:7" x14ac:dyDescent="0.25">
      <c r="A244" s="6">
        <v>72.289157000000003</v>
      </c>
      <c r="B244" s="2">
        <v>3.0757184999999998E-6</v>
      </c>
      <c r="C244">
        <f t="shared" si="7"/>
        <v>-5.5120534151290679</v>
      </c>
      <c r="E244" s="2">
        <v>72.289157000000003</v>
      </c>
      <c r="F244">
        <v>2.5247097E-4</v>
      </c>
      <c r="G244">
        <f t="shared" si="6"/>
        <v>-3.5977885513814116</v>
      </c>
    </row>
    <row r="245" spans="1:7" x14ac:dyDescent="0.25">
      <c r="A245" s="6">
        <v>60.240963999999998</v>
      </c>
      <c r="B245" s="2">
        <v>3.0172654000000002E-6</v>
      </c>
      <c r="C245">
        <f t="shared" si="7"/>
        <v>-5.5203864874099926</v>
      </c>
      <c r="E245" s="2">
        <v>60.240963999999998</v>
      </c>
      <c r="F245">
        <v>2.4415390999999999E-4</v>
      </c>
      <c r="G245">
        <f t="shared" si="6"/>
        <v>-3.6123363163201518</v>
      </c>
    </row>
    <row r="246" spans="1:7" x14ac:dyDescent="0.25">
      <c r="A246" s="6">
        <v>48.192771</v>
      </c>
      <c r="B246" s="2">
        <v>2.9582323000000002E-6</v>
      </c>
      <c r="C246">
        <f t="shared" si="7"/>
        <v>-5.5289677253198901</v>
      </c>
      <c r="E246" s="2">
        <v>48.192771</v>
      </c>
      <c r="F246">
        <v>2.3530856E-4</v>
      </c>
      <c r="G246">
        <f t="shared" si="6"/>
        <v>-3.6283622738730821</v>
      </c>
    </row>
    <row r="247" spans="1:7" x14ac:dyDescent="0.25">
      <c r="A247" s="6">
        <v>36.144578000000003</v>
      </c>
      <c r="B247" s="2">
        <v>2.8979496000000002E-6</v>
      </c>
      <c r="C247">
        <f t="shared" si="7"/>
        <v>-5.5379091718780344</v>
      </c>
      <c r="E247" s="2">
        <v>36.144578000000003</v>
      </c>
      <c r="F247">
        <v>2.2561515E-4</v>
      </c>
      <c r="G247">
        <f t="shared" si="6"/>
        <v>-3.6466317409453977</v>
      </c>
    </row>
    <row r="248" spans="1:7" x14ac:dyDescent="0.25">
      <c r="A248" s="6">
        <v>24.096385999999999</v>
      </c>
      <c r="B248" s="2">
        <v>2.8352479000000001E-6</v>
      </c>
      <c r="C248">
        <f t="shared" si="7"/>
        <v>-5.54740896255759</v>
      </c>
      <c r="E248" s="2">
        <v>24.096385999999999</v>
      </c>
      <c r="F248">
        <v>2.1444319000000001E-4</v>
      </c>
      <c r="G248">
        <f t="shared" si="6"/>
        <v>-3.6686877409491894</v>
      </c>
    </row>
    <row r="249" spans="1:7" x14ac:dyDescent="0.25">
      <c r="A249" s="6">
        <v>12.048192999999999</v>
      </c>
      <c r="B249" s="2">
        <v>2.7674885999999999E-6</v>
      </c>
      <c r="C249">
        <f t="shared" si="7"/>
        <v>-5.5579141594166437</v>
      </c>
      <c r="E249" s="2">
        <v>12.048192999999999</v>
      </c>
      <c r="F249">
        <v>2.0013539000000001E-4</v>
      </c>
      <c r="G249">
        <f t="shared" si="6"/>
        <v>-3.6986761081517856</v>
      </c>
    </row>
    <row r="250" spans="1:7" x14ac:dyDescent="0.25">
      <c r="A250" s="6">
        <v>0</v>
      </c>
      <c r="B250" s="2">
        <v>2.6811593E-6</v>
      </c>
      <c r="C250">
        <f t="shared" si="7"/>
        <v>-5.5716773818188052</v>
      </c>
      <c r="E250" s="2">
        <v>0</v>
      </c>
      <c r="F250">
        <v>1.7223795E-4</v>
      </c>
      <c r="G250">
        <f t="shared" si="6"/>
        <v>-3.7638711521870434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tabSelected="1" zoomScaleNormal="100" workbookViewId="0">
      <selection activeCell="B7" sqref="B7"/>
    </sheetView>
  </sheetViews>
  <sheetFormatPr defaultColWidth="9.140625" defaultRowHeight="15" x14ac:dyDescent="0.25"/>
  <cols>
    <col min="1" max="1" width="38.7109375" customWidth="1"/>
    <col min="2" max="2" width="16.140625" customWidth="1"/>
    <col min="3" max="4" width="10.7109375" customWidth="1"/>
    <col min="5" max="5" width="37.85546875" customWidth="1"/>
    <col min="6" max="7" width="10.7109375" style="39" customWidth="1"/>
    <col min="8" max="8" width="29.140625" style="2" bestFit="1" customWidth="1"/>
    <col min="9" max="9" width="12" style="1" bestFit="1" customWidth="1"/>
    <col min="17" max="17" width="12" bestFit="1" customWidth="1"/>
  </cols>
  <sheetData>
    <row r="1" spans="1:11" ht="18.75" x14ac:dyDescent="0.3">
      <c r="A1" s="14" t="s">
        <v>560</v>
      </c>
      <c r="E1" s="2"/>
      <c r="F1" s="43"/>
    </row>
    <row r="2" spans="1:11" ht="15" customHeight="1" x14ac:dyDescent="0.3">
      <c r="A2" s="14"/>
      <c r="F2" s="45" t="s">
        <v>564</v>
      </c>
      <c r="G2" s="40"/>
    </row>
    <row r="3" spans="1:11" ht="18" x14ac:dyDescent="0.35">
      <c r="A3" t="s">
        <v>550</v>
      </c>
      <c r="B3" s="6">
        <v>1301</v>
      </c>
      <c r="E3" t="s">
        <v>595</v>
      </c>
      <c r="F3" s="33">
        <f>Age*(2*InitialTangentVelocity-UniverseAcceleration*Age)/Gpc</f>
        <v>9.9065577062356258</v>
      </c>
      <c r="G3" s="41"/>
    </row>
    <row r="4" spans="1:11" ht="18" x14ac:dyDescent="0.35">
      <c r="A4" t="s">
        <v>599</v>
      </c>
      <c r="B4" s="1">
        <v>2.2936999999999999E-27</v>
      </c>
      <c r="C4" s="3"/>
      <c r="D4" s="1"/>
      <c r="E4" s="1" t="s">
        <v>613</v>
      </c>
      <c r="F4" s="33">
        <f>DistanceSurfaceLastScattering/Gpc</f>
        <v>9.8913519384593638</v>
      </c>
      <c r="G4" s="9"/>
      <c r="J4" s="2"/>
      <c r="K4" s="2"/>
    </row>
    <row r="5" spans="1:11" ht="18" x14ac:dyDescent="0.35">
      <c r="A5" s="2" t="s">
        <v>602</v>
      </c>
      <c r="B5" s="1">
        <v>4.4309599999999998E+24</v>
      </c>
      <c r="C5" s="12">
        <f>SoundHorizon/Mpc</f>
        <v>143.59763407296754</v>
      </c>
      <c r="E5" t="s">
        <v>615</v>
      </c>
      <c r="F5" s="43">
        <f>DistanceSurfaceLastScattering/(QESRedShift+1)/Mpc</f>
        <v>7.5970444995847641</v>
      </c>
      <c r="H5" s="13"/>
      <c r="I5" s="2"/>
      <c r="J5" s="2"/>
      <c r="K5" s="2"/>
    </row>
    <row r="6" spans="1:11" ht="18" x14ac:dyDescent="0.35">
      <c r="A6" t="s">
        <v>614</v>
      </c>
      <c r="B6" s="1">
        <f>QESRedShift*Age*(2*InitialTangentVelocity-UniverseAcceleration*Age)/(2+QESRedShift)</f>
        <v>3.0521522912393592E+26</v>
      </c>
      <c r="C6" s="33">
        <f>DistanceSurfaceLastScattering/Gpc</f>
        <v>9.8913519384593638</v>
      </c>
      <c r="E6" t="s">
        <v>616</v>
      </c>
      <c r="F6" s="33">
        <f>AgeOfCMB*(2*InitialTangentVelocity-UniverseAcceleration*AgeOfCMB)/Mpc</f>
        <v>7.6087232766754012</v>
      </c>
      <c r="J6" s="2"/>
      <c r="K6" s="2"/>
    </row>
    <row r="7" spans="1:11" x14ac:dyDescent="0.25">
      <c r="A7" s="2" t="s">
        <v>596</v>
      </c>
      <c r="B7" s="1">
        <f>(InitialTangentVelocity+InitialTangentVelocity*QESRedShift-SQRT((1+QESRedShift)*(InitialTangentVelocity^2+InitialTangentVelocity^2*QESRedShift-2*UniverseAcceleration*InitialTangentVelocity*Age+UniverseAcceleration^2*Age^2)))/(UniverseAcceleration+UniverseAcceleration*QESRedShift)</f>
        <v>369344937089197.31</v>
      </c>
      <c r="C7" s="13">
        <f>AgeOfCMB/Myr</f>
        <v>11.704094416409639</v>
      </c>
      <c r="F7" s="33"/>
      <c r="J7" s="2"/>
      <c r="K7" s="2"/>
    </row>
    <row r="8" spans="1:11" x14ac:dyDescent="0.25">
      <c r="A8" s="2" t="s">
        <v>565</v>
      </c>
      <c r="B8" s="9">
        <f>SoundHorizon/DistanceSurfaceLastScattering</f>
        <v>1.4517493156282712E-2</v>
      </c>
      <c r="C8" s="9">
        <f>AngularScale*100</f>
        <v>1.4517493156282713</v>
      </c>
      <c r="J8" s="2"/>
      <c r="K8" s="2"/>
    </row>
    <row r="9" spans="1:11" x14ac:dyDescent="0.25">
      <c r="A9" s="2"/>
      <c r="B9" s="1"/>
      <c r="C9" s="2"/>
      <c r="D9" s="2"/>
      <c r="F9" s="44"/>
      <c r="G9" s="13"/>
    </row>
    <row r="10" spans="1:11" x14ac:dyDescent="0.25">
      <c r="B10" s="1"/>
      <c r="C10" s="13"/>
      <c r="F10" s="13"/>
      <c r="G10" s="13"/>
    </row>
    <row r="11" spans="1:11" x14ac:dyDescent="0.25">
      <c r="F11" s="13"/>
      <c r="G11" s="13"/>
    </row>
    <row r="12" spans="1:11" x14ac:dyDescent="0.25">
      <c r="F12" s="44"/>
      <c r="G12" s="13"/>
    </row>
    <row r="13" spans="1:11" x14ac:dyDescent="0.25">
      <c r="F13" s="13"/>
      <c r="G13" s="13"/>
    </row>
    <row r="14" spans="1:11" x14ac:dyDescent="0.25">
      <c r="F14" s="44"/>
      <c r="G14" s="13"/>
    </row>
    <row r="15" spans="1:11" x14ac:dyDescent="0.25">
      <c r="F15" s="13"/>
      <c r="G15" s="13"/>
    </row>
    <row r="16" spans="1:11" x14ac:dyDescent="0.25">
      <c r="F16" s="13"/>
      <c r="G16" s="13"/>
    </row>
    <row r="17" spans="6:7" x14ac:dyDescent="0.25">
      <c r="F17" s="13"/>
      <c r="G17" s="13"/>
    </row>
    <row r="18" spans="6:7" x14ac:dyDescent="0.25">
      <c r="F18" s="13"/>
      <c r="G18" s="13"/>
    </row>
    <row r="19" spans="6:7" x14ac:dyDescent="0.25">
      <c r="F19" s="13"/>
      <c r="G19" s="13"/>
    </row>
    <row r="20" spans="6:7" x14ac:dyDescent="0.25">
      <c r="F20" s="13"/>
      <c r="G20" s="13"/>
    </row>
    <row r="21" spans="6:7" x14ac:dyDescent="0.25">
      <c r="F21" s="13"/>
      <c r="G21" s="13"/>
    </row>
    <row r="22" spans="6:7" x14ac:dyDescent="0.25">
      <c r="F22" s="13"/>
      <c r="G22" s="13"/>
    </row>
    <row r="23" spans="6:7" x14ac:dyDescent="0.25">
      <c r="F23" s="42"/>
      <c r="G23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678"/>
  <sheetViews>
    <sheetView zoomScaleNormal="100" workbookViewId="0"/>
  </sheetViews>
  <sheetFormatPr defaultColWidth="8.85546875" defaultRowHeight="15" x14ac:dyDescent="0.25"/>
  <cols>
    <col min="1" max="1" width="17.140625" style="6" customWidth="1"/>
    <col min="2" max="3" width="10.7109375" style="1" customWidth="1"/>
    <col min="4" max="5" width="10.7109375" style="6" customWidth="1"/>
    <col min="6" max="6" width="10.7109375" style="2" customWidth="1"/>
    <col min="7" max="7" width="10.7109375" style="12" customWidth="1"/>
    <col min="8" max="8" width="10.7109375" customWidth="1"/>
    <col min="9" max="9" width="10.42578125" style="6" customWidth="1"/>
    <col min="11" max="11" width="16.7109375" customWidth="1"/>
    <col min="18" max="19" width="8.85546875" style="2"/>
  </cols>
  <sheetData>
    <row r="1" spans="1:19" ht="18.75" x14ac:dyDescent="0.3">
      <c r="A1" s="56" t="s">
        <v>665</v>
      </c>
    </row>
    <row r="2" spans="1:19" s="24" customFormat="1" ht="20.100000000000001" customHeight="1" x14ac:dyDescent="0.25">
      <c r="A2" s="28" t="s">
        <v>653</v>
      </c>
      <c r="B2" s="54">
        <v>6</v>
      </c>
      <c r="C2" s="26">
        <f>CoreRadius*kpc</f>
        <v>1.8514065479999999E+20</v>
      </c>
      <c r="D2" s="28"/>
      <c r="E2" s="28"/>
      <c r="F2" s="25"/>
      <c r="H2" s="31"/>
      <c r="I2" s="28"/>
      <c r="R2" s="25"/>
      <c r="S2" s="25"/>
    </row>
    <row r="3" spans="1:19" s="24" customFormat="1" ht="20.100000000000001" customHeight="1" x14ac:dyDescent="0.25">
      <c r="A3" s="28" t="s">
        <v>654</v>
      </c>
      <c r="B3" s="26">
        <v>100000000000</v>
      </c>
      <c r="C3" s="26">
        <f>CoreMass*SolarMass</f>
        <v>1.9890999999999998E+41</v>
      </c>
      <c r="D3" s="28"/>
      <c r="E3" s="28"/>
      <c r="F3" s="25"/>
      <c r="H3" s="29"/>
      <c r="I3" s="28"/>
      <c r="R3" s="25"/>
      <c r="S3" s="25"/>
    </row>
    <row r="4" spans="1:19" s="24" customFormat="1" ht="20.100000000000001" customHeight="1" x14ac:dyDescent="0.25">
      <c r="A4" s="28" t="s">
        <v>656</v>
      </c>
      <c r="B4" s="26">
        <f>(CoreMass*SolarMass)/(4/3*PI()*(CoreRadius*kpc)^3)</f>
        <v>7.4827738853735743E-21</v>
      </c>
      <c r="C4" s="28"/>
      <c r="D4" s="28"/>
      <c r="E4" s="28"/>
      <c r="F4" s="25"/>
      <c r="G4" s="32"/>
      <c r="H4" s="25"/>
      <c r="I4" s="28"/>
      <c r="R4" s="25"/>
      <c r="S4" s="25"/>
    </row>
    <row r="5" spans="1:19" s="24" customFormat="1" ht="20.100000000000001" customHeight="1" x14ac:dyDescent="0.25">
      <c r="A5" s="28"/>
      <c r="B5" s="30"/>
      <c r="D5" s="28"/>
      <c r="E5" s="28"/>
      <c r="F5" s="25"/>
      <c r="G5" s="32"/>
      <c r="H5" s="25"/>
      <c r="I5" s="28"/>
      <c r="R5" s="25"/>
      <c r="S5" s="25"/>
    </row>
    <row r="6" spans="1:19" s="24" customFormat="1" ht="20.100000000000001" customHeight="1" x14ac:dyDescent="0.25">
      <c r="A6" s="28"/>
      <c r="D6" s="28"/>
      <c r="E6" s="26"/>
      <c r="F6" s="25"/>
      <c r="G6" s="27"/>
      <c r="I6" s="28"/>
      <c r="R6" s="25"/>
      <c r="S6" s="25"/>
    </row>
    <row r="7" spans="1:19" s="3" customFormat="1" ht="30" x14ac:dyDescent="0.25">
      <c r="A7" s="5" t="s">
        <v>19</v>
      </c>
      <c r="B7" s="4" t="s">
        <v>587</v>
      </c>
      <c r="C7" s="4" t="s">
        <v>655</v>
      </c>
      <c r="D7" s="5" t="s">
        <v>664</v>
      </c>
      <c r="E7" s="3">
        <v>1</v>
      </c>
      <c r="F7" s="3">
        <v>2</v>
      </c>
      <c r="G7" s="3">
        <v>3</v>
      </c>
      <c r="H7" s="3">
        <v>4</v>
      </c>
      <c r="I7" s="4"/>
      <c r="R7" s="7"/>
      <c r="S7" s="7"/>
    </row>
    <row r="8" spans="1:19" s="3" customFormat="1" x14ac:dyDescent="0.25">
      <c r="A8" s="5" t="s">
        <v>663</v>
      </c>
      <c r="B8" s="4"/>
      <c r="C8" s="4"/>
      <c r="D8" s="4">
        <v>0</v>
      </c>
      <c r="E8" s="4">
        <v>9.9999999999999994E-12</v>
      </c>
      <c r="F8" s="4">
        <v>1.9999999999999999E-11</v>
      </c>
      <c r="G8" s="4">
        <v>3E-11</v>
      </c>
      <c r="H8" s="4">
        <v>3.9999999999999998E-11</v>
      </c>
      <c r="I8" s="4"/>
      <c r="R8" s="7"/>
      <c r="S8" s="7"/>
    </row>
    <row r="9" spans="1:19" x14ac:dyDescent="0.25">
      <c r="A9" s="6">
        <v>0.1</v>
      </c>
      <c r="B9" s="1">
        <f>RadiusKpc*kpc</f>
        <v>3.08567758E+18</v>
      </c>
      <c r="C9" s="1">
        <f t="shared" ref="C9:C40" si="0">IF(RadiusKpc&lt;CoreRadius,Density*4/3*PI()*RadiusKm^3,CoreMass*SolarMass)</f>
        <v>9.2087962962962968E+35</v>
      </c>
      <c r="D9" s="6">
        <f t="shared" ref="D9:H18" si="1">SQRT(BulgeMass*GravitationalConstant/RadiusKm+D$8*RadiusKm)/1000</f>
        <v>4.4629483901903839</v>
      </c>
      <c r="E9" s="6">
        <f t="shared" si="1"/>
        <v>7.1256357003079334</v>
      </c>
      <c r="F9" s="6">
        <f t="shared" si="1"/>
        <v>9.0350130012913077</v>
      </c>
      <c r="G9" s="6">
        <f t="shared" si="1"/>
        <v>10.606047130458309</v>
      </c>
      <c r="H9" s="6">
        <f t="shared" si="1"/>
        <v>11.972677709414171</v>
      </c>
    </row>
    <row r="10" spans="1:19" x14ac:dyDescent="0.25">
      <c r="A10" s="6">
        <f>A9+0.4</f>
        <v>0.5</v>
      </c>
      <c r="B10" s="1">
        <f t="shared" ref="B10:B72" si="2">RadiusKpc*kpc</f>
        <v>1.54283879E+19</v>
      </c>
      <c r="C10" s="1">
        <f t="shared" si="0"/>
        <v>1.1510995370370372E+38</v>
      </c>
      <c r="D10" s="6">
        <f t="shared" si="1"/>
        <v>22.31474195095192</v>
      </c>
      <c r="E10" s="6">
        <f t="shared" si="1"/>
        <v>25.538825097047308</v>
      </c>
      <c r="F10" s="6">
        <f t="shared" si="1"/>
        <v>28.399215945824519</v>
      </c>
      <c r="G10" s="6">
        <f t="shared" si="1"/>
        <v>30.996763465522871</v>
      </c>
      <c r="H10" s="6">
        <f t="shared" si="1"/>
        <v>33.392861877017573</v>
      </c>
    </row>
    <row r="11" spans="1:19" x14ac:dyDescent="0.25">
      <c r="A11" s="6">
        <f t="shared" ref="A11:A74" si="3">A10+0.4</f>
        <v>0.9</v>
      </c>
      <c r="B11" s="1">
        <f t="shared" si="2"/>
        <v>2.7771098220000002E+19</v>
      </c>
      <c r="C11" s="1">
        <f t="shared" si="0"/>
        <v>6.7132125000000018E+38</v>
      </c>
      <c r="D11" s="6">
        <f t="shared" si="1"/>
        <v>40.166535511713462</v>
      </c>
      <c r="E11" s="6">
        <f t="shared" si="1"/>
        <v>43.486337592555877</v>
      </c>
      <c r="F11" s="6">
        <f t="shared" si="1"/>
        <v>46.570082020689398</v>
      </c>
      <c r="G11" s="6">
        <f t="shared" si="1"/>
        <v>49.461940131921018</v>
      </c>
      <c r="H11" s="6">
        <f t="shared" si="1"/>
        <v>52.193816720122491</v>
      </c>
    </row>
    <row r="12" spans="1:19" x14ac:dyDescent="0.25">
      <c r="A12" s="6">
        <f t="shared" si="3"/>
        <v>1.3</v>
      </c>
      <c r="B12" s="1">
        <f t="shared" si="2"/>
        <v>4.0113808540000002E+19</v>
      </c>
      <c r="C12" s="1">
        <f t="shared" si="0"/>
        <v>2.0231725462962968E+39</v>
      </c>
      <c r="D12" s="6">
        <f t="shared" si="1"/>
        <v>58.018329072475005</v>
      </c>
      <c r="E12" s="6">
        <f t="shared" si="1"/>
        <v>61.378046513081514</v>
      </c>
      <c r="F12" s="6">
        <f t="shared" si="1"/>
        <v>64.563168131388949</v>
      </c>
      <c r="G12" s="6">
        <f t="shared" si="1"/>
        <v>67.598378416660253</v>
      </c>
      <c r="H12" s="6">
        <f t="shared" si="1"/>
        <v>70.503041423487517</v>
      </c>
    </row>
    <row r="13" spans="1:19" x14ac:dyDescent="0.25">
      <c r="A13" s="6">
        <f t="shared" si="3"/>
        <v>1.7000000000000002</v>
      </c>
      <c r="B13" s="1">
        <f t="shared" si="2"/>
        <v>5.2456518860000002E+19</v>
      </c>
      <c r="C13" s="1">
        <f t="shared" si="0"/>
        <v>4.5242816203703703E+39</v>
      </c>
      <c r="D13" s="6">
        <f t="shared" si="1"/>
        <v>75.870122633236534</v>
      </c>
      <c r="E13" s="6">
        <f t="shared" si="1"/>
        <v>79.251755166572494</v>
      </c>
      <c r="F13" s="6">
        <f t="shared" si="1"/>
        <v>82.494883996417315</v>
      </c>
      <c r="G13" s="6">
        <f t="shared" si="1"/>
        <v>85.615250243063301</v>
      </c>
      <c r="H13" s="6">
        <f t="shared" si="1"/>
        <v>88.625821647995735</v>
      </c>
    </row>
    <row r="14" spans="1:19" x14ac:dyDescent="0.25">
      <c r="A14" s="6">
        <f t="shared" si="3"/>
        <v>2.1</v>
      </c>
      <c r="B14" s="1">
        <f t="shared" si="2"/>
        <v>6.4799229180000002E+19</v>
      </c>
      <c r="C14" s="1">
        <f t="shared" si="0"/>
        <v>8.5282662500000009E+39</v>
      </c>
      <c r="D14" s="6">
        <f t="shared" si="1"/>
        <v>93.721916193998069</v>
      </c>
      <c r="E14" s="6">
        <f t="shared" si="1"/>
        <v>97.117402492420453</v>
      </c>
      <c r="F14" s="6">
        <f t="shared" si="1"/>
        <v>100.39811830246022</v>
      </c>
      <c r="G14" s="6">
        <f t="shared" si="1"/>
        <v>103.57497019297084</v>
      </c>
      <c r="H14" s="6">
        <f t="shared" si="1"/>
        <v>106.65723952116328</v>
      </c>
    </row>
    <row r="15" spans="1:19" x14ac:dyDescent="0.25">
      <c r="A15" s="6">
        <f t="shared" si="3"/>
        <v>2.5</v>
      </c>
      <c r="B15" s="1">
        <f t="shared" si="2"/>
        <v>7.7141939500000002E+19</v>
      </c>
      <c r="C15" s="1">
        <f t="shared" si="0"/>
        <v>1.4388744212962966E+40</v>
      </c>
      <c r="D15" s="6">
        <f t="shared" si="1"/>
        <v>111.57370975475962</v>
      </c>
      <c r="E15" s="6">
        <f t="shared" si="1"/>
        <v>114.97874631182643</v>
      </c>
      <c r="F15" s="6">
        <f t="shared" si="1"/>
        <v>118.28580429806166</v>
      </c>
      <c r="G15" s="6">
        <f t="shared" si="1"/>
        <v>121.50288430090596</v>
      </c>
      <c r="H15" s="6">
        <f t="shared" si="1"/>
        <v>124.63695394400226</v>
      </c>
    </row>
    <row r="16" spans="1:19" x14ac:dyDescent="0.25">
      <c r="A16" s="6">
        <f t="shared" si="3"/>
        <v>2.9</v>
      </c>
      <c r="B16" s="1">
        <f t="shared" si="2"/>
        <v>8.9484649819999994E+19</v>
      </c>
      <c r="C16" s="1">
        <f t="shared" si="0"/>
        <v>2.2459333287037031E+40</v>
      </c>
      <c r="D16" s="6">
        <f t="shared" si="1"/>
        <v>129.42550331552113</v>
      </c>
      <c r="E16" s="6">
        <f t="shared" si="1"/>
        <v>132.83752258558562</v>
      </c>
      <c r="F16" s="6">
        <f t="shared" si="1"/>
        <v>136.16406980138328</v>
      </c>
      <c r="G16" s="6">
        <f t="shared" si="1"/>
        <v>139.41126354450694</v>
      </c>
      <c r="H16" s="6">
        <f t="shared" si="1"/>
        <v>142.58452546218319</v>
      </c>
    </row>
    <row r="17" spans="1:8" x14ac:dyDescent="0.25">
      <c r="A17" s="6">
        <f t="shared" si="3"/>
        <v>3.3</v>
      </c>
      <c r="B17" s="1">
        <f t="shared" si="2"/>
        <v>1.0182736014E+20</v>
      </c>
      <c r="C17" s="1">
        <f t="shared" si="0"/>
        <v>3.3093651250000002E+40</v>
      </c>
      <c r="D17" s="6">
        <f t="shared" si="1"/>
        <v>147.27729687628269</v>
      </c>
      <c r="E17" s="6">
        <f t="shared" si="1"/>
        <v>150.69464415361517</v>
      </c>
      <c r="F17" s="6">
        <f t="shared" si="1"/>
        <v>154.03619502566499</v>
      </c>
      <c r="G17" s="6">
        <f t="shared" si="1"/>
        <v>157.30677982650556</v>
      </c>
      <c r="H17" s="6">
        <f t="shared" si="1"/>
        <v>160.51073665267597</v>
      </c>
    </row>
    <row r="18" spans="1:8" x14ac:dyDescent="0.25">
      <c r="A18" s="6">
        <f t="shared" si="3"/>
        <v>3.6999999999999997</v>
      </c>
      <c r="B18" s="1">
        <f t="shared" si="2"/>
        <v>1.1417007045999999E+20</v>
      </c>
      <c r="C18" s="1">
        <f t="shared" si="0"/>
        <v>4.6645315879629627E+40</v>
      </c>
      <c r="D18" s="6">
        <f t="shared" si="1"/>
        <v>165.12909043704423</v>
      </c>
      <c r="E18" s="6">
        <f t="shared" si="1"/>
        <v>168.55063694084791</v>
      </c>
      <c r="F18" s="6">
        <f t="shared" si="1"/>
        <v>171.90409511633376</v>
      </c>
      <c r="G18" s="6">
        <f t="shared" si="1"/>
        <v>175.19337493856762</v>
      </c>
      <c r="H18" s="6">
        <f t="shared" si="1"/>
        <v>178.42202590197638</v>
      </c>
    </row>
    <row r="19" spans="1:8" x14ac:dyDescent="0.25">
      <c r="A19" s="6">
        <f t="shared" si="3"/>
        <v>4.0999999999999996</v>
      </c>
      <c r="B19" s="1">
        <f t="shared" si="2"/>
        <v>1.2651278077999999E+20</v>
      </c>
      <c r="C19" s="1">
        <f t="shared" si="0"/>
        <v>6.3467944953703685E+40</v>
      </c>
      <c r="D19" s="6">
        <f t="shared" ref="D19:H28" si="4">SQRT(BulgeMass*GravitationalConstant/RadiusKm+D$8*RadiusKm)/1000</f>
        <v>182.98088399780573</v>
      </c>
      <c r="E19" s="6">
        <f t="shared" si="4"/>
        <v>186.40582532855146</v>
      </c>
      <c r="F19" s="6">
        <f t="shared" si="4"/>
        <v>189.76896354308951</v>
      </c>
      <c r="G19" s="6">
        <f t="shared" si="4"/>
        <v>193.07352830468096</v>
      </c>
      <c r="H19" s="6">
        <f t="shared" si="4"/>
        <v>196.32247741870628</v>
      </c>
    </row>
    <row r="20" spans="1:8" x14ac:dyDescent="0.25">
      <c r="A20" s="6">
        <f t="shared" si="3"/>
        <v>4.5</v>
      </c>
      <c r="B20" s="1">
        <f t="shared" si="2"/>
        <v>1.3885549109999999E+20</v>
      </c>
      <c r="C20" s="1">
        <f t="shared" si="0"/>
        <v>8.3915156250000004E+40</v>
      </c>
      <c r="D20" s="6">
        <f t="shared" si="4"/>
        <v>200.8326775585673</v>
      </c>
      <c r="E20" s="6">
        <f t="shared" si="4"/>
        <v>204.26042026379821</v>
      </c>
      <c r="F20" s="6">
        <f t="shared" si="4"/>
        <v>207.63158285131738</v>
      </c>
      <c r="G20" s="6">
        <f t="shared" si="4"/>
        <v>210.94887794995134</v>
      </c>
      <c r="H20" s="6">
        <f t="shared" si="4"/>
        <v>214.21480812339621</v>
      </c>
    </row>
    <row r="21" spans="1:8" x14ac:dyDescent="0.25">
      <c r="A21" s="6">
        <f t="shared" si="3"/>
        <v>4.9000000000000004</v>
      </c>
      <c r="B21" s="1">
        <f t="shared" si="2"/>
        <v>1.5119820142E+20</v>
      </c>
      <c r="C21" s="1">
        <f t="shared" si="0"/>
        <v>1.083405675462963E+41</v>
      </c>
      <c r="D21" s="6">
        <f t="shared" si="4"/>
        <v>218.6844711193288</v>
      </c>
      <c r="E21" s="6">
        <f t="shared" si="4"/>
        <v>222.11456485998517</v>
      </c>
      <c r="F21" s="6">
        <f t="shared" si="4"/>
        <v>225.49248754036256</v>
      </c>
      <c r="G21" s="6">
        <f t="shared" si="4"/>
        <v>228.82054967013028</v>
      </c>
      <c r="H21" s="6">
        <f t="shared" si="4"/>
        <v>232.10089608948209</v>
      </c>
    </row>
    <row r="22" spans="1:8" x14ac:dyDescent="0.25">
      <c r="A22" s="6">
        <f t="shared" si="3"/>
        <v>5.3000000000000007</v>
      </c>
      <c r="B22" s="1">
        <f t="shared" si="2"/>
        <v>1.6354091174000001E+20</v>
      </c>
      <c r="C22" s="1">
        <f t="shared" si="0"/>
        <v>1.3709779662037041E+41</v>
      </c>
      <c r="D22" s="6">
        <f t="shared" si="4"/>
        <v>236.5362646800904</v>
      </c>
      <c r="E22" s="6">
        <f t="shared" si="4"/>
        <v>239.96835963561901</v>
      </c>
      <c r="F22" s="6">
        <f t="shared" si="4"/>
        <v>243.35205514564652</v>
      </c>
      <c r="G22" s="6">
        <f t="shared" si="4"/>
        <v>246.68934282009383</v>
      </c>
      <c r="H22" s="6">
        <f t="shared" si="4"/>
        <v>249.98208131466097</v>
      </c>
    </row>
    <row r="23" spans="1:8" x14ac:dyDescent="0.25">
      <c r="A23" s="6">
        <f t="shared" si="3"/>
        <v>5.7000000000000011</v>
      </c>
      <c r="B23" s="1">
        <f t="shared" si="2"/>
        <v>1.7588362206000002E+20</v>
      </c>
      <c r="C23" s="1">
        <f t="shared" si="0"/>
        <v>1.7054046125000006E+41</v>
      </c>
      <c r="D23" s="6">
        <f t="shared" si="4"/>
        <v>254.3880582408519</v>
      </c>
      <c r="E23" s="6">
        <f t="shared" si="4"/>
        <v>257.82187726442277</v>
      </c>
      <c r="F23" s="6">
        <f t="shared" si="4"/>
        <v>261.2105599258021</v>
      </c>
      <c r="G23" s="6">
        <f t="shared" si="4"/>
        <v>264.55584067895961</v>
      </c>
      <c r="H23" s="6">
        <f t="shared" si="4"/>
        <v>267.85934566102236</v>
      </c>
    </row>
    <row r="24" spans="1:8" x14ac:dyDescent="0.25">
      <c r="A24" s="6">
        <f t="shared" si="3"/>
        <v>6.1000000000000014</v>
      </c>
      <c r="B24" s="1">
        <f t="shared" si="2"/>
        <v>1.8822633238000006E+20</v>
      </c>
      <c r="C24" s="1">
        <f t="shared" si="0"/>
        <v>1.9890999999999998E+41</v>
      </c>
      <c r="D24" s="6">
        <f t="shared" si="4"/>
        <v>265.57294080129185</v>
      </c>
      <c r="E24" s="6">
        <f t="shared" si="4"/>
        <v>269.09338566684698</v>
      </c>
      <c r="F24" s="6">
        <f t="shared" si="4"/>
        <v>272.56836488016444</v>
      </c>
      <c r="G24" s="6">
        <f t="shared" si="4"/>
        <v>275.99959575558523</v>
      </c>
      <c r="H24" s="6">
        <f t="shared" si="4"/>
        <v>279.38869014519258</v>
      </c>
    </row>
    <row r="25" spans="1:8" x14ac:dyDescent="0.25">
      <c r="A25" s="6">
        <f t="shared" si="3"/>
        <v>6.5000000000000018</v>
      </c>
      <c r="B25" s="1">
        <f t="shared" si="2"/>
        <v>2.0056904270000007E+20</v>
      </c>
      <c r="C25" s="1">
        <f t="shared" si="0"/>
        <v>1.9890999999999998E+41</v>
      </c>
      <c r="D25" s="6">
        <f t="shared" si="4"/>
        <v>257.27172704948583</v>
      </c>
      <c r="E25" s="6">
        <f t="shared" si="4"/>
        <v>261.14063637439716</v>
      </c>
      <c r="F25" s="6">
        <f t="shared" si="4"/>
        <v>264.95305696108721</v>
      </c>
      <c r="G25" s="6">
        <f t="shared" si="4"/>
        <v>268.71139317123328</v>
      </c>
      <c r="H25" s="6">
        <f t="shared" si="4"/>
        <v>272.41788349340266</v>
      </c>
    </row>
    <row r="26" spans="1:8" x14ac:dyDescent="0.25">
      <c r="A26" s="6">
        <f t="shared" si="3"/>
        <v>6.9000000000000021</v>
      </c>
      <c r="B26" s="1">
        <f t="shared" si="2"/>
        <v>2.1291175302000008E+20</v>
      </c>
      <c r="C26" s="1">
        <f t="shared" si="0"/>
        <v>1.9890999999999998E+41</v>
      </c>
      <c r="D26" s="6">
        <f t="shared" si="4"/>
        <v>249.70324996685403</v>
      </c>
      <c r="E26" s="6">
        <f t="shared" si="4"/>
        <v>253.93075940934997</v>
      </c>
      <c r="F26" s="6">
        <f t="shared" si="4"/>
        <v>258.08903135237881</v>
      </c>
      <c r="G26" s="6">
        <f t="shared" si="4"/>
        <v>262.18136019673324</v>
      </c>
      <c r="H26" s="6">
        <f t="shared" si="4"/>
        <v>266.2107870932528</v>
      </c>
    </row>
    <row r="27" spans="1:8" x14ac:dyDescent="0.25">
      <c r="A27" s="6">
        <f t="shared" si="3"/>
        <v>7.3000000000000025</v>
      </c>
      <c r="B27" s="1">
        <f t="shared" si="2"/>
        <v>2.2525446334000008E+20</v>
      </c>
      <c r="C27" s="1">
        <f t="shared" si="0"/>
        <v>1.9890999999999998E+41</v>
      </c>
      <c r="D27" s="6">
        <f t="shared" si="4"/>
        <v>242.76569119712866</v>
      </c>
      <c r="E27" s="6">
        <f t="shared" si="4"/>
        <v>247.36152784097135</v>
      </c>
      <c r="F27" s="6">
        <f t="shared" si="4"/>
        <v>251.87352002387951</v>
      </c>
      <c r="G27" s="6">
        <f t="shared" si="4"/>
        <v>256.30609575782552</v>
      </c>
      <c r="H27" s="6">
        <f t="shared" si="4"/>
        <v>260.66330650097194</v>
      </c>
    </row>
    <row r="28" spans="1:8" x14ac:dyDescent="0.25">
      <c r="A28" s="6">
        <f t="shared" si="3"/>
        <v>7.7000000000000028</v>
      </c>
      <c r="B28" s="1">
        <f t="shared" si="2"/>
        <v>2.3759717366000009E+20</v>
      </c>
      <c r="C28" s="1">
        <f t="shared" si="0"/>
        <v>1.9890999999999998E+41</v>
      </c>
      <c r="D28" s="6">
        <f t="shared" si="4"/>
        <v>236.37599917819225</v>
      </c>
      <c r="E28" s="6">
        <f t="shared" si="4"/>
        <v>241.34950740386594</v>
      </c>
      <c r="F28" s="6">
        <f t="shared" si="4"/>
        <v>246.22257504276237</v>
      </c>
      <c r="G28" s="6">
        <f t="shared" si="4"/>
        <v>251.00105218362881</v>
      </c>
      <c r="H28" s="6">
        <f t="shared" si="4"/>
        <v>255.69024215618543</v>
      </c>
    </row>
    <row r="29" spans="1:8" x14ac:dyDescent="0.25">
      <c r="A29" s="6">
        <f t="shared" si="3"/>
        <v>8.1000000000000032</v>
      </c>
      <c r="B29" s="1">
        <f t="shared" si="2"/>
        <v>2.499398839800001E+20</v>
      </c>
      <c r="C29" s="1">
        <f t="shared" si="0"/>
        <v>1.9890999999999998E+41</v>
      </c>
      <c r="D29" s="6">
        <f t="shared" ref="D29:H38" si="5">SQRT(BulgeMass*GravitationalConstant/RadiusKm+D$8*RadiusKm)/1000</f>
        <v>230.46566386920739</v>
      </c>
      <c r="E29" s="6">
        <f t="shared" si="5"/>
        <v>235.82582781042979</v>
      </c>
      <c r="F29" s="6">
        <f t="shared" si="5"/>
        <v>241.0668370022606</v>
      </c>
      <c r="G29" s="6">
        <f t="shared" si="5"/>
        <v>246.19630123556789</v>
      </c>
      <c r="H29" s="6">
        <f t="shared" si="5"/>
        <v>251.22105322180798</v>
      </c>
    </row>
    <row r="30" spans="1:8" x14ac:dyDescent="0.25">
      <c r="A30" s="6">
        <f t="shared" si="3"/>
        <v>8.5000000000000036</v>
      </c>
      <c r="B30" s="1">
        <f t="shared" si="2"/>
        <v>2.6228259430000011E+20</v>
      </c>
      <c r="C30" s="1">
        <f t="shared" si="0"/>
        <v>1.9890999999999998E+41</v>
      </c>
      <c r="D30" s="6">
        <f t="shared" si="5"/>
        <v>224.97759888582459</v>
      </c>
      <c r="E30" s="6">
        <f t="shared" si="5"/>
        <v>230.73306209434091</v>
      </c>
      <c r="F30" s="6">
        <f t="shared" si="5"/>
        <v>236.34841206665843</v>
      </c>
      <c r="G30" s="6">
        <f t="shared" si="5"/>
        <v>241.83340924990281</v>
      </c>
      <c r="H30" s="6">
        <f t="shared" si="5"/>
        <v>247.19673090967643</v>
      </c>
    </row>
    <row r="31" spans="1:8" x14ac:dyDescent="0.25">
      <c r="A31" s="6">
        <f t="shared" si="3"/>
        <v>8.9000000000000039</v>
      </c>
      <c r="B31" s="1">
        <f t="shared" si="2"/>
        <v>2.7462530462000012E+20</v>
      </c>
      <c r="C31" s="1">
        <f t="shared" si="0"/>
        <v>1.9890999999999998E+41</v>
      </c>
      <c r="D31" s="6">
        <f t="shared" si="5"/>
        <v>219.86380360405636</v>
      </c>
      <c r="E31" s="6">
        <f t="shared" si="5"/>
        <v>226.02288641074173</v>
      </c>
      <c r="F31" s="6">
        <f t="shared" si="5"/>
        <v>232.01852992302804</v>
      </c>
      <c r="G31" s="6">
        <f t="shared" si="5"/>
        <v>237.8630935514021</v>
      </c>
      <c r="H31" s="6">
        <f t="shared" si="5"/>
        <v>243.56745332667717</v>
      </c>
    </row>
    <row r="32" spans="1:8" x14ac:dyDescent="0.25">
      <c r="A32" s="6">
        <f t="shared" si="3"/>
        <v>9.3000000000000043</v>
      </c>
      <c r="B32" s="1">
        <f t="shared" si="2"/>
        <v>2.8696801494000012E+20</v>
      </c>
      <c r="C32" s="1">
        <f t="shared" si="0"/>
        <v>1.9890999999999998E+41</v>
      </c>
      <c r="D32" s="6">
        <f t="shared" si="5"/>
        <v>215.08358465371242</v>
      </c>
      <c r="E32" s="6">
        <f t="shared" si="5"/>
        <v>221.65429961291227</v>
      </c>
      <c r="F32" s="6">
        <f t="shared" si="5"/>
        <v>228.03576185828985</v>
      </c>
      <c r="G32" s="6">
        <f t="shared" si="5"/>
        <v>234.2434392585856</v>
      </c>
      <c r="H32" s="6">
        <f t="shared" si="5"/>
        <v>240.29080087487887</v>
      </c>
    </row>
    <row r="33" spans="1:8" x14ac:dyDescent="0.25">
      <c r="A33" s="6">
        <f t="shared" si="3"/>
        <v>9.7000000000000046</v>
      </c>
      <c r="B33" s="1">
        <f t="shared" si="2"/>
        <v>2.9931072526000017E+20</v>
      </c>
      <c r="C33" s="1">
        <f t="shared" si="0"/>
        <v>1.9890999999999998E+41</v>
      </c>
      <c r="D33" s="6">
        <f t="shared" si="5"/>
        <v>210.60218520411601</v>
      </c>
      <c r="E33" s="6">
        <f t="shared" si="5"/>
        <v>217.5922509312976</v>
      </c>
      <c r="F33" s="6">
        <f t="shared" si="5"/>
        <v>224.36464721062629</v>
      </c>
      <c r="G33" s="6">
        <f t="shared" si="5"/>
        <v>230.93852465656047</v>
      </c>
      <c r="H33" s="6">
        <f t="shared" si="5"/>
        <v>237.33038032065932</v>
      </c>
    </row>
    <row r="34" spans="1:8" x14ac:dyDescent="0.25">
      <c r="A34" s="6">
        <f t="shared" si="3"/>
        <v>10.100000000000005</v>
      </c>
      <c r="B34" s="1">
        <f t="shared" si="2"/>
        <v>3.1165343558000017E+20</v>
      </c>
      <c r="C34" s="1">
        <f t="shared" si="0"/>
        <v>1.9890999999999998E+41</v>
      </c>
      <c r="D34" s="6">
        <f t="shared" si="5"/>
        <v>206.38971595466631</v>
      </c>
      <c r="E34" s="6">
        <f t="shared" si="5"/>
        <v>213.80656960825092</v>
      </c>
      <c r="F34" s="6">
        <f t="shared" si="5"/>
        <v>220.97462198960281</v>
      </c>
      <c r="G34" s="6">
        <f t="shared" si="5"/>
        <v>227.91734887728018</v>
      </c>
      <c r="H34" s="6">
        <f t="shared" si="5"/>
        <v>234.65475123050004</v>
      </c>
    </row>
    <row r="35" spans="1:8" x14ac:dyDescent="0.25">
      <c r="A35" s="6">
        <f t="shared" si="3"/>
        <v>10.500000000000005</v>
      </c>
      <c r="B35" s="1">
        <f t="shared" si="2"/>
        <v>3.2399614590000018E+20</v>
      </c>
      <c r="C35" s="1">
        <f t="shared" si="0"/>
        <v>1.9890999999999998E+41</v>
      </c>
      <c r="D35" s="6">
        <f t="shared" si="5"/>
        <v>202.42031236388243</v>
      </c>
      <c r="E35" s="6">
        <f t="shared" si="5"/>
        <v>210.27112097597171</v>
      </c>
      <c r="F35" s="6">
        <f t="shared" si="5"/>
        <v>217.83917410670594</v>
      </c>
      <c r="G35" s="6">
        <f t="shared" si="5"/>
        <v>225.15298628819417</v>
      </c>
      <c r="H35" s="6">
        <f t="shared" si="5"/>
        <v>232.23657914611934</v>
      </c>
    </row>
    <row r="36" spans="1:8" x14ac:dyDescent="0.25">
      <c r="A36" s="6">
        <f t="shared" si="3"/>
        <v>10.900000000000006</v>
      </c>
      <c r="B36" s="1">
        <f t="shared" si="2"/>
        <v>3.3633885622000019E+20</v>
      </c>
      <c r="C36" s="1">
        <f t="shared" si="0"/>
        <v>1.9890999999999998E+41</v>
      </c>
      <c r="D36" s="6">
        <f t="shared" si="5"/>
        <v>198.6714636253825</v>
      </c>
      <c r="E36" s="6">
        <f t="shared" si="5"/>
        <v>206.9631344497171</v>
      </c>
      <c r="F36" s="6">
        <f t="shared" si="5"/>
        <v>214.93517065257532</v>
      </c>
      <c r="G36" s="6">
        <f t="shared" si="5"/>
        <v>222.62191299522084</v>
      </c>
      <c r="H36" s="6">
        <f t="shared" si="5"/>
        <v>230.05196088677812</v>
      </c>
    </row>
    <row r="37" spans="1:8" x14ac:dyDescent="0.25">
      <c r="A37" s="6">
        <f t="shared" si="3"/>
        <v>11.300000000000006</v>
      </c>
      <c r="B37" s="1">
        <f t="shared" si="2"/>
        <v>3.486815665400002E+20</v>
      </c>
      <c r="C37" s="1">
        <f t="shared" si="0"/>
        <v>1.9890999999999998E+41</v>
      </c>
      <c r="D37" s="6">
        <f t="shared" si="5"/>
        <v>195.12347350287871</v>
      </c>
      <c r="E37" s="6">
        <f t="shared" si="5"/>
        <v>203.86266351941106</v>
      </c>
      <c r="F37" s="6">
        <f t="shared" si="5"/>
        <v>212.24231727586422</v>
      </c>
      <c r="G37" s="6">
        <f t="shared" si="5"/>
        <v>220.30346549255327</v>
      </c>
      <c r="H37" s="6">
        <f t="shared" si="5"/>
        <v>228.07988200064602</v>
      </c>
    </row>
    <row r="38" spans="1:8" x14ac:dyDescent="0.25">
      <c r="A38" s="6">
        <f t="shared" si="3"/>
        <v>11.700000000000006</v>
      </c>
      <c r="B38" s="1">
        <f t="shared" si="2"/>
        <v>3.6102427686000021E+20</v>
      </c>
      <c r="C38" s="1">
        <f t="shared" si="0"/>
        <v>1.9890999999999998E+41</v>
      </c>
      <c r="D38" s="6">
        <f t="shared" si="5"/>
        <v>191.75902345714056</v>
      </c>
      <c r="E38" s="6">
        <f t="shared" si="5"/>
        <v>200.95214814934468</v>
      </c>
      <c r="F38" s="6">
        <f t="shared" si="5"/>
        <v>209.74272005110493</v>
      </c>
      <c r="G38" s="6">
        <f t="shared" si="5"/>
        <v>218.17940183031988</v>
      </c>
      <c r="H38" s="6">
        <f t="shared" si="5"/>
        <v>226.30177673106368</v>
      </c>
    </row>
    <row r="39" spans="1:8" x14ac:dyDescent="0.25">
      <c r="A39" s="6">
        <f t="shared" si="3"/>
        <v>12.100000000000007</v>
      </c>
      <c r="B39" s="1">
        <f t="shared" si="2"/>
        <v>3.7336698718000022E+20</v>
      </c>
      <c r="C39" s="1">
        <f t="shared" si="0"/>
        <v>1.9890999999999998E+41</v>
      </c>
      <c r="D39" s="6">
        <f t="shared" ref="D39:H48" si="6">SQRT(BulgeMass*GravitationalConstant/RadiusKm+D$8*RadiusKm)/1000</f>
        <v>188.56281589298786</v>
      </c>
      <c r="E39" s="6">
        <f t="shared" si="6"/>
        <v>198.21605739518893</v>
      </c>
      <c r="F39" s="6">
        <f t="shared" si="6"/>
        <v>207.42052762707175</v>
      </c>
      <c r="G39" s="6">
        <f t="shared" si="6"/>
        <v>216.23354307991357</v>
      </c>
      <c r="H39" s="6">
        <f t="shared" si="6"/>
        <v>224.70116827620822</v>
      </c>
    </row>
    <row r="40" spans="1:8" x14ac:dyDescent="0.25">
      <c r="A40" s="6">
        <f t="shared" si="3"/>
        <v>12.500000000000007</v>
      </c>
      <c r="B40" s="1">
        <f t="shared" si="2"/>
        <v>3.8570969750000022E+20</v>
      </c>
      <c r="C40" s="1">
        <f t="shared" si="0"/>
        <v>1.9890999999999998E+41</v>
      </c>
      <c r="D40" s="6">
        <f t="shared" si="6"/>
        <v>185.52128072081936</v>
      </c>
      <c r="E40" s="6">
        <f t="shared" si="6"/>
        <v>195.64059541744669</v>
      </c>
      <c r="F40" s="6">
        <f t="shared" si="6"/>
        <v>205.26163682065157</v>
      </c>
      <c r="G40" s="6">
        <f t="shared" si="6"/>
        <v>214.4514782539236</v>
      </c>
      <c r="H40" s="6">
        <f t="shared" si="6"/>
        <v>223.26337250049116</v>
      </c>
    </row>
    <row r="41" spans="1:8" x14ac:dyDescent="0.25">
      <c r="A41" s="6">
        <f t="shared" si="3"/>
        <v>12.900000000000007</v>
      </c>
      <c r="B41" s="1">
        <f t="shared" si="2"/>
        <v>3.9805240782000023E+20</v>
      </c>
      <c r="C41" s="1">
        <f t="shared" ref="C41:C72" si="7">IF(RadiusKpc&lt;CoreRadius,Density*4/3*PI()*RadiusKm^3,CoreMass*SolarMass)</f>
        <v>1.9890999999999998E+41</v>
      </c>
      <c r="D41" s="6">
        <f t="shared" si="6"/>
        <v>182.62233236752218</v>
      </c>
      <c r="E41" s="6">
        <f t="shared" si="6"/>
        <v>193.21345801354971</v>
      </c>
      <c r="F41" s="6">
        <f t="shared" si="6"/>
        <v>203.25344876718265</v>
      </c>
      <c r="G41" s="6">
        <f t="shared" si="6"/>
        <v>212.82031978632529</v>
      </c>
      <c r="H41" s="6">
        <f t="shared" si="6"/>
        <v>221.97525220653259</v>
      </c>
    </row>
    <row r="42" spans="1:8" x14ac:dyDescent="0.25">
      <c r="A42" s="6">
        <f t="shared" si="3"/>
        <v>13.300000000000008</v>
      </c>
      <c r="B42" s="1">
        <f t="shared" si="2"/>
        <v>4.1039511814000024E+20</v>
      </c>
      <c r="C42" s="1">
        <f t="shared" si="7"/>
        <v>1.9890999999999998E+41</v>
      </c>
      <c r="D42" s="6">
        <f t="shared" si="6"/>
        <v>179.85516729658605</v>
      </c>
      <c r="E42" s="6">
        <f t="shared" si="6"/>
        <v>190.92362971796589</v>
      </c>
      <c r="F42" s="6">
        <f t="shared" si="6"/>
        <v>201.38466566767926</v>
      </c>
      <c r="G42" s="6">
        <f t="shared" si="6"/>
        <v>211.32849961016368</v>
      </c>
      <c r="H42" s="6">
        <f t="shared" si="6"/>
        <v>220.82501200924443</v>
      </c>
    </row>
    <row r="43" spans="1:8" x14ac:dyDescent="0.25">
      <c r="A43" s="6">
        <f t="shared" si="3"/>
        <v>13.700000000000008</v>
      </c>
      <c r="B43" s="1">
        <f t="shared" si="2"/>
        <v>4.2273782846000025E+20</v>
      </c>
      <c r="C43" s="1">
        <f t="shared" si="7"/>
        <v>1.9890999999999998E+41</v>
      </c>
      <c r="D43" s="6">
        <f t="shared" si="6"/>
        <v>177.2100942906909</v>
      </c>
      <c r="E43" s="6">
        <f t="shared" si="6"/>
        <v>188.76121371488256</v>
      </c>
      <c r="F43" s="6">
        <f t="shared" si="6"/>
        <v>199.64512037041018</v>
      </c>
      <c r="G43" s="6">
        <f t="shared" si="6"/>
        <v>209.96559806862544</v>
      </c>
      <c r="H43" s="6">
        <f t="shared" si="6"/>
        <v>219.80202605279953</v>
      </c>
    </row>
    <row r="44" spans="1:8" x14ac:dyDescent="0.25">
      <c r="A44" s="6">
        <f t="shared" si="3"/>
        <v>14.100000000000009</v>
      </c>
      <c r="B44" s="1">
        <f t="shared" si="2"/>
        <v>4.3508053878000026E+20</v>
      </c>
      <c r="C44" s="1">
        <f t="shared" si="7"/>
        <v>1.9890999999999998E+41</v>
      </c>
      <c r="D44" s="6">
        <f t="shared" si="6"/>
        <v>174.67839141059125</v>
      </c>
      <c r="E44" s="6">
        <f t="shared" si="6"/>
        <v>186.71728847000676</v>
      </c>
      <c r="F44" s="6">
        <f t="shared" si="6"/>
        <v>198.0256326877703</v>
      </c>
      <c r="G44" s="6">
        <f t="shared" si="6"/>
        <v>208.72219956006532</v>
      </c>
      <c r="H44" s="6">
        <f t="shared" si="6"/>
        <v>218.89669247613526</v>
      </c>
    </row>
    <row r="45" spans="1:8" x14ac:dyDescent="0.25">
      <c r="A45" s="6">
        <f t="shared" si="3"/>
        <v>14.500000000000009</v>
      </c>
      <c r="B45" s="1">
        <f t="shared" si="2"/>
        <v>4.4742324910000026E+20</v>
      </c>
      <c r="C45" s="1">
        <f t="shared" si="7"/>
        <v>1.9890999999999998E+41</v>
      </c>
      <c r="D45" s="6">
        <f t="shared" si="6"/>
        <v>172.25218481246162</v>
      </c>
      <c r="E45" s="6">
        <f t="shared" si="6"/>
        <v>184.78378625752433</v>
      </c>
      <c r="F45" s="6">
        <f t="shared" si="6"/>
        <v>196.51788762010045</v>
      </c>
      <c r="G45" s="6">
        <f t="shared" si="6"/>
        <v>207.5897700891507</v>
      </c>
      <c r="H45" s="6">
        <f t="shared" si="6"/>
        <v>218.10030980415056</v>
      </c>
    </row>
    <row r="46" spans="1:8" x14ac:dyDescent="0.25">
      <c r="A46" s="6">
        <f t="shared" si="3"/>
        <v>14.900000000000009</v>
      </c>
      <c r="B46" s="1">
        <f t="shared" si="2"/>
        <v>4.5976595942000027E+20</v>
      </c>
      <c r="C46" s="1">
        <f t="shared" si="7"/>
        <v>1.9890999999999998E+41</v>
      </c>
      <c r="D46" s="6">
        <f t="shared" si="6"/>
        <v>169.92434558273973</v>
      </c>
      <c r="E46" s="6">
        <f t="shared" si="6"/>
        <v>182.95338973608108</v>
      </c>
      <c r="F46" s="6">
        <f t="shared" si="6"/>
        <v>195.11433163692095</v>
      </c>
      <c r="G46" s="6">
        <f t="shared" si="6"/>
        <v>206.5605528757182</v>
      </c>
      <c r="H46" s="6">
        <f t="shared" si="6"/>
        <v>217.40497142090007</v>
      </c>
    </row>
    <row r="47" spans="1:8" x14ac:dyDescent="0.25">
      <c r="A47" s="6">
        <f t="shared" si="3"/>
        <v>15.30000000000001</v>
      </c>
      <c r="B47" s="1">
        <f t="shared" si="2"/>
        <v>4.7210866974000028E+20</v>
      </c>
      <c r="C47" s="1">
        <f t="shared" si="7"/>
        <v>1.9890999999999998E+41</v>
      </c>
      <c r="D47" s="6">
        <f t="shared" si="6"/>
        <v>167.68840150779488</v>
      </c>
      <c r="E47" s="6">
        <f t="shared" si="6"/>
        <v>181.21944348672807</v>
      </c>
      <c r="F47" s="6">
        <f t="shared" si="6"/>
        <v>193.80808392592769</v>
      </c>
      <c r="G47" s="6">
        <f t="shared" si="6"/>
        <v>205.62747893323848</v>
      </c>
      <c r="H47" s="6">
        <f t="shared" si="6"/>
        <v>216.80347504096753</v>
      </c>
    </row>
    <row r="48" spans="1:8" x14ac:dyDescent="0.25">
      <c r="A48" s="6">
        <f t="shared" si="3"/>
        <v>15.70000000000001</v>
      </c>
      <c r="B48" s="1">
        <f t="shared" si="2"/>
        <v>4.8445138006000029E+20</v>
      </c>
      <c r="C48" s="1">
        <f t="shared" si="7"/>
        <v>1.9890999999999998E+41</v>
      </c>
      <c r="D48" s="6">
        <f t="shared" si="6"/>
        <v>165.53846128872416</v>
      </c>
      <c r="E48" s="6">
        <f t="shared" si="6"/>
        <v>179.57587801939999</v>
      </c>
      <c r="F48" s="6">
        <f t="shared" si="6"/>
        <v>192.59286011438331</v>
      </c>
      <c r="G48" s="6">
        <f t="shared" si="6"/>
        <v>204.78409012332583</v>
      </c>
      <c r="H48" s="6">
        <f t="shared" si="6"/>
        <v>216.28924468923191</v>
      </c>
    </row>
    <row r="49" spans="1:8" x14ac:dyDescent="0.25">
      <c r="A49" s="6">
        <f t="shared" si="3"/>
        <v>16.100000000000009</v>
      </c>
      <c r="B49" s="1">
        <f t="shared" si="2"/>
        <v>4.9679409038000023E+20</v>
      </c>
      <c r="C49" s="1">
        <f t="shared" si="7"/>
        <v>1.9890999999999998E+41</v>
      </c>
      <c r="D49" s="6">
        <f t="shared" ref="D49:H58" si="8">SQRT(BulgeMass*GravitationalConstant/RadiusKm+D$8*RadiusKm)/1000</f>
        <v>163.46914917851254</v>
      </c>
      <c r="E49" s="6">
        <f t="shared" si="8"/>
        <v>178.01714422197318</v>
      </c>
      <c r="F49" s="6">
        <f t="shared" si="8"/>
        <v>191.46290643554642</v>
      </c>
      <c r="G49" s="6">
        <f t="shared" si="8"/>
        <v>204.02447266087174</v>
      </c>
      <c r="H49" s="6">
        <f t="shared" si="8"/>
        <v>215.85626316682777</v>
      </c>
    </row>
    <row r="50" spans="1:8" x14ac:dyDescent="0.25">
      <c r="A50" s="6">
        <f t="shared" si="3"/>
        <v>16.500000000000007</v>
      </c>
      <c r="B50" s="1">
        <f t="shared" si="2"/>
        <v>5.0913680070000024E+20</v>
      </c>
      <c r="C50" s="1">
        <f t="shared" si="7"/>
        <v>1.9890999999999998E+41</v>
      </c>
      <c r="D50" s="6">
        <f t="shared" si="8"/>
        <v>161.47554838889616</v>
      </c>
      <c r="E50" s="6">
        <f t="shared" si="8"/>
        <v>176.53815659651241</v>
      </c>
      <c r="F50" s="6">
        <f t="shared" si="8"/>
        <v>190.41294268377544</v>
      </c>
      <c r="G50" s="6">
        <f t="shared" si="8"/>
        <v>203.34319941540889</v>
      </c>
      <c r="H50" s="6">
        <f t="shared" si="8"/>
        <v>215.49901335155749</v>
      </c>
    </row>
    <row r="51" spans="1:8" x14ac:dyDescent="0.25">
      <c r="A51" s="6">
        <f t="shared" si="3"/>
        <v>16.900000000000006</v>
      </c>
      <c r="B51" s="1">
        <f t="shared" si="2"/>
        <v>5.2147951102000018E+20</v>
      </c>
      <c r="C51" s="1">
        <f t="shared" si="7"/>
        <v>1.9890999999999998E+41</v>
      </c>
      <c r="D51" s="6">
        <f t="shared" si="8"/>
        <v>159.55315190945126</v>
      </c>
      <c r="E51" s="6">
        <f t="shared" si="8"/>
        <v>175.13424392288456</v>
      </c>
      <c r="F51" s="6">
        <f t="shared" si="8"/>
        <v>189.43811259786253</v>
      </c>
      <c r="G51" s="6">
        <f t="shared" si="8"/>
        <v>202.73527965018926</v>
      </c>
      <c r="H51" s="6">
        <f t="shared" si="8"/>
        <v>215.21242697632596</v>
      </c>
    </row>
    <row r="52" spans="1:8" x14ac:dyDescent="0.25">
      <c r="A52" s="6">
        <f t="shared" si="3"/>
        <v>17.300000000000004</v>
      </c>
      <c r="B52" s="1">
        <f t="shared" si="2"/>
        <v>5.3382222134000012E+20</v>
      </c>
      <c r="C52" s="1">
        <f t="shared" si="7"/>
        <v>1.9890999999999998E+41</v>
      </c>
      <c r="D52" s="6">
        <f t="shared" si="8"/>
        <v>157.69781961825117</v>
      </c>
      <c r="E52" s="6">
        <f t="shared" si="8"/>
        <v>173.80110622706198</v>
      </c>
      <c r="F52" s="6">
        <f t="shared" si="8"/>
        <v>188.53394054957448</v>
      </c>
      <c r="G52" s="6">
        <f t="shared" si="8"/>
        <v>202.19611507778899</v>
      </c>
      <c r="H52" s="6">
        <f t="shared" si="8"/>
        <v>214.99183976595594</v>
      </c>
    </row>
    <row r="53" spans="1:8" x14ac:dyDescent="0.25">
      <c r="A53" s="6">
        <f t="shared" si="3"/>
        <v>17.700000000000003</v>
      </c>
      <c r="B53" s="1">
        <f t="shared" si="2"/>
        <v>5.4616493166000007E+20</v>
      </c>
      <c r="C53" s="1">
        <f t="shared" si="7"/>
        <v>1.9890999999999998E+41</v>
      </c>
      <c r="D53" s="6">
        <f t="shared" si="8"/>
        <v>155.90574075449234</v>
      </c>
      <c r="E53" s="6">
        <f t="shared" si="8"/>
        <v>172.53477712277888</v>
      </c>
      <c r="F53" s="6">
        <f t="shared" si="8"/>
        <v>187.6962936059393</v>
      </c>
      <c r="G53" s="6">
        <f t="shared" si="8"/>
        <v>201.72146130247759</v>
      </c>
      <c r="H53" s="6">
        <f t="shared" si="8"/>
        <v>214.83295200366024</v>
      </c>
    </row>
    <row r="54" spans="1:8" x14ac:dyDescent="0.25">
      <c r="A54" s="6">
        <f t="shared" si="3"/>
        <v>18.100000000000001</v>
      </c>
      <c r="B54" s="1">
        <f t="shared" si="2"/>
        <v>5.5850764198000008E+20</v>
      </c>
      <c r="C54" s="1">
        <f t="shared" si="7"/>
        <v>1.9890999999999998E+41</v>
      </c>
      <c r="D54" s="6">
        <f t="shared" si="8"/>
        <v>154.17340097845403</v>
      </c>
      <c r="E54" s="6">
        <f t="shared" si="8"/>
        <v>171.3315907504018</v>
      </c>
      <c r="F54" s="6">
        <f t="shared" si="8"/>
        <v>186.92134818918672</v>
      </c>
      <c r="G54" s="6">
        <f t="shared" si="8"/>
        <v>201.30739387479829</v>
      </c>
      <c r="H54" s="6">
        <f t="shared" si="8"/>
        <v>214.73179375319151</v>
      </c>
    </row>
    <row r="55" spans="1:8" x14ac:dyDescent="0.25">
      <c r="A55" s="6">
        <f t="shared" si="3"/>
        <v>18.5</v>
      </c>
      <c r="B55" s="1">
        <f t="shared" si="2"/>
        <v>5.7085035230000002E+20</v>
      </c>
      <c r="C55" s="1">
        <f t="shared" si="7"/>
        <v>1.9890999999999998E+41</v>
      </c>
      <c r="D55" s="6">
        <f t="shared" si="8"/>
        <v>152.49755337047807</v>
      </c>
      <c r="E55" s="6">
        <f t="shared" si="8"/>
        <v>170.18815266340314</v>
      </c>
      <c r="F55" s="6">
        <f t="shared" si="8"/>
        <v>186.2055606849103</v>
      </c>
      <c r="G55" s="6">
        <f t="shared" si="8"/>
        <v>200.95027831028702</v>
      </c>
      <c r="H55" s="6">
        <f t="shared" si="8"/>
        <v>214.68469408875384</v>
      </c>
    </row>
    <row r="56" spans="1:8" x14ac:dyDescent="0.25">
      <c r="A56" s="6">
        <f t="shared" si="3"/>
        <v>18.899999999999999</v>
      </c>
      <c r="B56" s="1">
        <f t="shared" si="2"/>
        <v>5.8319306261999996E+20</v>
      </c>
      <c r="C56" s="1">
        <f t="shared" si="7"/>
        <v>1.9890999999999998E+41</v>
      </c>
      <c r="D56" s="6">
        <f t="shared" si="8"/>
        <v>150.87519282412748</v>
      </c>
      <c r="E56" s="6">
        <f t="shared" si="8"/>
        <v>169.10131411647174</v>
      </c>
      <c r="F56" s="6">
        <f t="shared" si="8"/>
        <v>185.54564145276399</v>
      </c>
      <c r="G56" s="6">
        <f t="shared" si="8"/>
        <v>200.64674352781716</v>
      </c>
      <c r="H56" s="6">
        <f t="shared" si="8"/>
        <v>214.68825378794631</v>
      </c>
    </row>
    <row r="57" spans="1:8" x14ac:dyDescent="0.25">
      <c r="A57" s="6">
        <f t="shared" si="3"/>
        <v>19.299999999999997</v>
      </c>
      <c r="B57" s="1">
        <f t="shared" si="2"/>
        <v>5.955357729399999E+20</v>
      </c>
      <c r="C57" s="1">
        <f t="shared" si="7"/>
        <v>1.9890999999999998E+41</v>
      </c>
      <c r="D57" s="6">
        <f t="shared" si="8"/>
        <v>149.30353337382886</v>
      </c>
      <c r="E57" s="6">
        <f t="shared" si="8"/>
        <v>168.06814929459426</v>
      </c>
      <c r="F57" s="6">
        <f t="shared" si="8"/>
        <v>184.93853177937265</v>
      </c>
      <c r="G57" s="6">
        <f t="shared" si="8"/>
        <v>200.39365824823406</v>
      </c>
      <c r="H57" s="6">
        <f t="shared" si="8"/>
        <v>214.73932102786864</v>
      </c>
    </row>
    <row r="58" spans="1:8" x14ac:dyDescent="0.25">
      <c r="A58" s="6">
        <f t="shared" si="3"/>
        <v>19.699999999999996</v>
      </c>
      <c r="B58" s="1">
        <f t="shared" si="2"/>
        <v>6.0787848325999991E+20</v>
      </c>
      <c r="C58" s="1">
        <f t="shared" si="7"/>
        <v>1.9890999999999998E+41</v>
      </c>
      <c r="D58" s="6">
        <f t="shared" si="8"/>
        <v>147.77998806767584</v>
      </c>
      <c r="E58" s="6">
        <f t="shared" si="8"/>
        <v>167.08593509294076</v>
      </c>
      <c r="F58" s="6">
        <f t="shared" si="8"/>
        <v>184.38138338368765</v>
      </c>
      <c r="G58" s="6">
        <f t="shared" si="8"/>
        <v>200.18810996430935</v>
      </c>
      <c r="H58" s="6">
        <f t="shared" si="8"/>
        <v>214.83496969460629</v>
      </c>
    </row>
    <row r="59" spans="1:8" x14ac:dyDescent="0.25">
      <c r="A59" s="6">
        <f t="shared" si="3"/>
        <v>20.099999999999994</v>
      </c>
      <c r="B59" s="1">
        <f t="shared" si="2"/>
        <v>6.2022119357999979E+20</v>
      </c>
      <c r="C59" s="1">
        <f t="shared" si="7"/>
        <v>1.9890999999999998E+41</v>
      </c>
      <c r="D59" s="6">
        <f t="shared" ref="D59:H68" si="9">SQRT(BulgeMass*GravitationalConstant/RadiusKm+D$8*RadiusKm)/1000</f>
        <v>146.30215105447817</v>
      </c>
      <c r="E59" s="6">
        <f t="shared" si="9"/>
        <v>166.15213311591077</v>
      </c>
      <c r="F59" s="6">
        <f t="shared" si="9"/>
        <v>183.8715401435669</v>
      </c>
      <c r="G59" s="6">
        <f t="shared" si="9"/>
        <v>200.02738615141513</v>
      </c>
      <c r="H59" s="6">
        <f t="shared" si="9"/>
        <v>214.9724799744547</v>
      </c>
    </row>
    <row r="60" spans="1:8" x14ac:dyDescent="0.25">
      <c r="A60" s="6">
        <f t="shared" si="3"/>
        <v>20.499999999999993</v>
      </c>
      <c r="B60" s="1">
        <f t="shared" si="2"/>
        <v>6.325639038999998E+20</v>
      </c>
      <c r="C60" s="1">
        <f t="shared" si="7"/>
        <v>1.9890999999999998E+41</v>
      </c>
      <c r="D60" s="6">
        <f t="shared" si="9"/>
        <v>144.8677816028125</v>
      </c>
      <c r="E60" s="6">
        <f t="shared" si="9"/>
        <v>165.26437361246425</v>
      </c>
      <c r="F60" s="6">
        <f t="shared" si="9"/>
        <v>183.40652176114179</v>
      </c>
      <c r="G60" s="6">
        <f t="shared" si="9"/>
        <v>199.90895743692968</v>
      </c>
      <c r="H60" s="6">
        <f t="shared" si="9"/>
        <v>215.149320943665</v>
      </c>
    </row>
    <row r="61" spans="1:8" x14ac:dyDescent="0.25">
      <c r="A61" s="6">
        <f t="shared" si="3"/>
        <v>20.899999999999991</v>
      </c>
      <c r="B61" s="1">
        <f t="shared" si="2"/>
        <v>6.4490661421999967E+20</v>
      </c>
      <c r="C61" s="1">
        <f t="shared" si="7"/>
        <v>1.9890999999999998E+41</v>
      </c>
      <c r="D61" s="6">
        <f t="shared" si="9"/>
        <v>143.47478981054505</v>
      </c>
      <c r="E61" s="6">
        <f t="shared" si="9"/>
        <v>164.42044110566081</v>
      </c>
      <c r="F61" s="6">
        <f t="shared" si="9"/>
        <v>182.98400912533333</v>
      </c>
      <c r="G61" s="6">
        <f t="shared" si="9"/>
        <v>199.83046248702942</v>
      </c>
      <c r="H61" s="6">
        <f t="shared" si="9"/>
        <v>215.36313491398676</v>
      </c>
    </row>
    <row r="62" spans="1:8" x14ac:dyDescent="0.25">
      <c r="A62" s="6">
        <f t="shared" si="3"/>
        <v>21.29999999999999</v>
      </c>
      <c r="B62" s="1">
        <f t="shared" si="2"/>
        <v>6.5724932453999968E+20</v>
      </c>
      <c r="C62" s="1">
        <f t="shared" si="7"/>
        <v>1.9890999999999998E+41</v>
      </c>
      <c r="D62" s="6">
        <f t="shared" si="9"/>
        <v>142.12122379747908</v>
      </c>
      <c r="E62" s="6">
        <f t="shared" si="9"/>
        <v>163.61826150858934</v>
      </c>
      <c r="F62" s="6">
        <f t="shared" si="9"/>
        <v>182.60183116412912</v>
      </c>
      <c r="G62" s="6">
        <f t="shared" si="9"/>
        <v>199.78969440362314</v>
      </c>
      <c r="H62" s="6">
        <f t="shared" si="9"/>
        <v>215.61172332527079</v>
      </c>
    </row>
    <row r="63" spans="1:8" x14ac:dyDescent="0.25">
      <c r="A63" s="6">
        <f t="shared" si="3"/>
        <v>21.699999999999989</v>
      </c>
      <c r="B63" s="1">
        <f t="shared" si="2"/>
        <v>6.6959203485999969E+20</v>
      </c>
      <c r="C63" s="1">
        <f t="shared" si="7"/>
        <v>1.9890999999999998E+41</v>
      </c>
      <c r="D63" s="6">
        <f t="shared" si="9"/>
        <v>140.80525820258282</v>
      </c>
      <c r="E63" s="6">
        <f t="shared" si="9"/>
        <v>162.85589054773553</v>
      </c>
      <c r="F63" s="6">
        <f t="shared" si="9"/>
        <v>182.25795300808142</v>
      </c>
      <c r="G63" s="6">
        <f t="shared" si="9"/>
        <v>199.78458845290348</v>
      </c>
      <c r="H63" s="6">
        <f t="shared" si="9"/>
        <v>215.8930340050276</v>
      </c>
    </row>
    <row r="64" spans="1:8" x14ac:dyDescent="0.25">
      <c r="A64" s="6">
        <f t="shared" si="3"/>
        <v>22.099999999999987</v>
      </c>
      <c r="B64" s="1">
        <f t="shared" si="2"/>
        <v>6.8193474517999957E+20</v>
      </c>
      <c r="C64" s="1">
        <f t="shared" si="7"/>
        <v>1.9890999999999998E+41</v>
      </c>
      <c r="D64" s="6">
        <f t="shared" si="9"/>
        <v>139.52518383160333</v>
      </c>
      <c r="E64" s="6">
        <f t="shared" si="9"/>
        <v>162.13150333924219</v>
      </c>
      <c r="F64" s="6">
        <f t="shared" si="9"/>
        <v>181.95046531087161</v>
      </c>
      <c r="G64" s="6">
        <f t="shared" si="9"/>
        <v>199.81321097125357</v>
      </c>
      <c r="H64" s="6">
        <f t="shared" si="9"/>
        <v>216.20514963904697</v>
      </c>
    </row>
    <row r="65" spans="1:8" x14ac:dyDescent="0.25">
      <c r="A65" s="6">
        <f t="shared" si="3"/>
        <v>22.499999999999986</v>
      </c>
      <c r="B65" s="1">
        <f t="shared" si="2"/>
        <v>6.9427745549999958E+20</v>
      </c>
      <c r="C65" s="1">
        <f t="shared" si="7"/>
        <v>1.9890999999999998E+41</v>
      </c>
      <c r="D65" s="6">
        <f t="shared" si="9"/>
        <v>138.2793983215245</v>
      </c>
      <c r="E65" s="6">
        <f t="shared" si="9"/>
        <v>161.44338498421925</v>
      </c>
      <c r="F65" s="6">
        <f t="shared" si="9"/>
        <v>181.67757459346169</v>
      </c>
      <c r="G65" s="6">
        <f t="shared" si="9"/>
        <v>199.8737493148183</v>
      </c>
      <c r="H65" s="6">
        <f t="shared" si="9"/>
        <v>216.54627731771978</v>
      </c>
    </row>
    <row r="66" spans="1:8" x14ac:dyDescent="0.25">
      <c r="A66" s="6">
        <f t="shared" si="3"/>
        <v>22.899999999999984</v>
      </c>
      <c r="B66" s="1">
        <f t="shared" si="2"/>
        <v>7.0662016581999945E+20</v>
      </c>
      <c r="C66" s="1">
        <f t="shared" si="7"/>
        <v>1.9890999999999998E+41</v>
      </c>
      <c r="D66" s="6">
        <f t="shared" si="9"/>
        <v>137.06639770590257</v>
      </c>
      <c r="E66" s="6">
        <f t="shared" si="9"/>
        <v>160.78992206687784</v>
      </c>
      <c r="F66" s="6">
        <f t="shared" si="9"/>
        <v>181.43759449593855</v>
      </c>
      <c r="G66" s="6">
        <f t="shared" si="9"/>
        <v>199.96450273654233</v>
      </c>
      <c r="H66" s="6">
        <f t="shared" si="9"/>
        <v>216.91473904018747</v>
      </c>
    </row>
    <row r="67" spans="1:8" x14ac:dyDescent="0.25">
      <c r="A67" s="6">
        <f t="shared" si="3"/>
        <v>23.299999999999983</v>
      </c>
      <c r="B67" s="1">
        <f t="shared" si="2"/>
        <v>7.1896287613999946E+20</v>
      </c>
      <c r="C67" s="1">
        <f t="shared" si="7"/>
        <v>1.9890999999999998E+41</v>
      </c>
      <c r="D67" s="6">
        <f t="shared" si="9"/>
        <v>135.88476878010772</v>
      </c>
      <c r="E67" s="6">
        <f t="shared" si="9"/>
        <v>160.16959495429629</v>
      </c>
      <c r="F67" s="6">
        <f t="shared" si="9"/>
        <v>181.22893783616161</v>
      </c>
      <c r="G67" s="6">
        <f t="shared" si="9"/>
        <v>200.08387408940112</v>
      </c>
      <c r="H67" s="6">
        <f t="shared" si="9"/>
        <v>217.30896307337008</v>
      </c>
    </row>
    <row r="68" spans="1:8" x14ac:dyDescent="0.25">
      <c r="A68" s="6">
        <f t="shared" si="3"/>
        <v>23.699999999999982</v>
      </c>
      <c r="B68" s="1">
        <f t="shared" si="2"/>
        <v>7.3130558645999947E+20</v>
      </c>
      <c r="C68" s="1">
        <f t="shared" si="7"/>
        <v>1.9890999999999998E+41</v>
      </c>
      <c r="D68" s="6">
        <f t="shared" si="9"/>
        <v>134.73318217833878</v>
      </c>
      <c r="E68" s="6">
        <f t="shared" si="9"/>
        <v>159.58097080949665</v>
      </c>
      <c r="F68" s="6">
        <f t="shared" si="9"/>
        <v>181.05010938715674</v>
      </c>
      <c r="G68" s="6">
        <f t="shared" si="9"/>
        <v>200.23036226731801</v>
      </c>
      <c r="H68" s="6">
        <f t="shared" si="9"/>
        <v>217.72747607571583</v>
      </c>
    </row>
    <row r="69" spans="1:8" x14ac:dyDescent="0.25">
      <c r="A69" s="6">
        <f t="shared" si="3"/>
        <v>24.09999999999998</v>
      </c>
      <c r="B69" s="1">
        <f t="shared" si="2"/>
        <v>7.4364829677999935E+20</v>
      </c>
      <c r="C69" s="1">
        <f t="shared" si="7"/>
        <v>1.9890999999999998E+41</v>
      </c>
      <c r="D69" s="6">
        <f t="shared" ref="D69:H78" si="10">SQRT(BulgeMass*GravitationalConstant/RadiusKm+D$8*RadiusKm)/1000</f>
        <v>133.61038608529492</v>
      </c>
      <c r="E69" s="6">
        <f t="shared" si="10"/>
        <v>159.02269724055608</v>
      </c>
      <c r="F69" s="6">
        <f t="shared" si="10"/>
        <v>180.89969929621651</v>
      </c>
      <c r="G69" s="6">
        <f t="shared" si="10"/>
        <v>200.40255530621747</v>
      </c>
      <c r="H69" s="6">
        <f t="shared" si="10"/>
        <v>218.16889590650069</v>
      </c>
    </row>
    <row r="70" spans="1:8" x14ac:dyDescent="0.25">
      <c r="A70" s="6">
        <f t="shared" si="3"/>
        <v>24.499999999999979</v>
      </c>
      <c r="B70" s="1">
        <f t="shared" si="2"/>
        <v>7.5599100709999935E+20</v>
      </c>
      <c r="C70" s="1">
        <f t="shared" si="7"/>
        <v>1.9890999999999998E+41</v>
      </c>
      <c r="D70" s="6">
        <f t="shared" si="10"/>
        <v>132.51520051487105</v>
      </c>
      <c r="E70" s="6">
        <f t="shared" si="10"/>
        <v>158.49349651798482</v>
      </c>
      <c r="F70" s="6">
        <f t="shared" si="10"/>
        <v>180.77637707813614</v>
      </c>
      <c r="G70" s="6">
        <f t="shared" si="10"/>
        <v>200.59912407709177</v>
      </c>
      <c r="H70" s="6">
        <f t="shared" si="10"/>
        <v>218.631925050978</v>
      </c>
    </row>
    <row r="71" spans="1:8" x14ac:dyDescent="0.25">
      <c r="A71" s="6">
        <f t="shared" si="3"/>
        <v>24.899999999999977</v>
      </c>
      <c r="B71" s="1">
        <f t="shared" si="2"/>
        <v>7.6833371741999936E+20</v>
      </c>
      <c r="C71" s="1">
        <f t="shared" si="7"/>
        <v>1.9890999999999998E+41</v>
      </c>
      <c r="D71" s="6">
        <f t="shared" si="10"/>
        <v>131.44651209642581</v>
      </c>
      <c r="E71" s="6">
        <f t="shared" si="10"/>
        <v>157.99216030080674</v>
      </c>
      <c r="F71" s="6">
        <f t="shared" si="10"/>
        <v>180.67888612318762</v>
      </c>
      <c r="G71" s="6">
        <f t="shared" si="10"/>
        <v>200.81881651109242</v>
      </c>
      <c r="H71" s="6">
        <f t="shared" si="10"/>
        <v>219.11534459986089</v>
      </c>
    </row>
    <row r="72" spans="1:8" x14ac:dyDescent="0.25">
      <c r="A72" s="6">
        <f t="shared" si="3"/>
        <v>25.299999999999976</v>
      </c>
      <c r="B72" s="1">
        <f t="shared" si="2"/>
        <v>7.8067642773999924E+20</v>
      </c>
      <c r="C72" s="1">
        <f t="shared" si="7"/>
        <v>1.9890999999999998E+41</v>
      </c>
      <c r="D72" s="6">
        <f t="shared" si="10"/>
        <v>130.40326931624898</v>
      </c>
      <c r="E72" s="6">
        <f t="shared" si="10"/>
        <v>157.51754481887457</v>
      </c>
      <c r="F72" s="6">
        <f t="shared" si="10"/>
        <v>180.60603866749901</v>
      </c>
      <c r="G72" s="6">
        <f t="shared" si="10"/>
        <v>201.06045230369432</v>
      </c>
      <c r="H72" s="6">
        <f t="shared" si="10"/>
        <v>219.61800872871544</v>
      </c>
    </row>
    <row r="73" spans="1:8" x14ac:dyDescent="0.25">
      <c r="A73" s="6">
        <f t="shared" si="3"/>
        <v>25.699999999999974</v>
      </c>
      <c r="B73" s="1">
        <f t="shared" ref="B73:B106" si="11">RadiusKpc*kpc</f>
        <v>7.9301913805999925E+20</v>
      </c>
      <c r="C73" s="1">
        <f t="shared" ref="C73:C106" si="12">IF(RadiusKpc&lt;CoreRadius,Density*4/3*PI()*RadiusKm^3,CoreMass*SolarMass)</f>
        <v>1.9890999999999998E+41</v>
      </c>
      <c r="D73" s="6">
        <f t="shared" si="10"/>
        <v>129.38447816799371</v>
      </c>
      <c r="E73" s="6">
        <f t="shared" si="10"/>
        <v>157.06856646510795</v>
      </c>
      <c r="F73" s="6">
        <f t="shared" si="10"/>
        <v>180.55671117962916</v>
      </c>
      <c r="G73" s="6">
        <f t="shared" si="10"/>
        <v>201.32291805108531</v>
      </c>
      <c r="H73" s="6">
        <f t="shared" si="10"/>
        <v>220.13883962900326</v>
      </c>
    </row>
    <row r="74" spans="1:8" x14ac:dyDescent="0.25">
      <c r="A74" s="6">
        <f t="shared" si="3"/>
        <v>26.099999999999973</v>
      </c>
      <c r="B74" s="1">
        <f t="shared" si="11"/>
        <v>8.0536184837999913E+20</v>
      </c>
      <c r="C74" s="1">
        <f t="shared" si="12"/>
        <v>1.9890999999999998E+41</v>
      </c>
      <c r="D74" s="6">
        <f t="shared" si="10"/>
        <v>128.3891981711738</v>
      </c>
      <c r="E74" s="6">
        <f t="shared" si="10"/>
        <v>156.64419775668975</v>
      </c>
      <c r="F74" s="6">
        <f t="shared" si="10"/>
        <v>180.52984012244877</v>
      </c>
      <c r="G74" s="6">
        <f t="shared" si="10"/>
        <v>201.60516277723866</v>
      </c>
      <c r="H74" s="6">
        <f t="shared" si="10"/>
        <v>220.67682284788518</v>
      </c>
    </row>
    <row r="75" spans="1:8" x14ac:dyDescent="0.25">
      <c r="A75" s="6">
        <f t="shared" ref="A75:A106" si="13">A74+0.4</f>
        <v>26.499999999999972</v>
      </c>
      <c r="B75" s="1">
        <f t="shared" si="11"/>
        <v>8.1770455869999913E+20</v>
      </c>
      <c r="C75" s="1">
        <f t="shared" si="12"/>
        <v>1.9890999999999998E+41</v>
      </c>
      <c r="D75" s="6">
        <f t="shared" si="10"/>
        <v>127.41653872147408</v>
      </c>
      <c r="E75" s="6">
        <f t="shared" si="10"/>
        <v>156.2434636289176</v>
      </c>
      <c r="F75" s="6">
        <f t="shared" si="10"/>
        <v>180.52441805407071</v>
      </c>
      <c r="G75" s="6">
        <f t="shared" si="10"/>
        <v>201.90619381475369</v>
      </c>
      <c r="H75" s="6">
        <f t="shared" si="10"/>
        <v>221.23100299858712</v>
      </c>
    </row>
    <row r="76" spans="1:8" x14ac:dyDescent="0.25">
      <c r="A76" s="6">
        <f t="shared" si="13"/>
        <v>26.89999999999997</v>
      </c>
      <c r="B76" s="1">
        <f t="shared" si="11"/>
        <v>8.3004726901999914E+20</v>
      </c>
      <c r="C76" s="1">
        <f t="shared" si="12"/>
        <v>1.9890999999999998E+41</v>
      </c>
      <c r="D76" s="6">
        <f t="shared" si="10"/>
        <v>126.4656557406816</v>
      </c>
      <c r="E76" s="6">
        <f t="shared" si="10"/>
        <v>155.86543802947651</v>
      </c>
      <c r="F76" s="6">
        <f t="shared" si="10"/>
        <v>180.53949003561678</v>
      </c>
      <c r="G76" s="6">
        <f t="shared" si="10"/>
        <v>202.22507300658978</v>
      </c>
      <c r="H76" s="6">
        <f t="shared" si="10"/>
        <v>221.80047980723702</v>
      </c>
    </row>
    <row r="77" spans="1:8" x14ac:dyDescent="0.25">
      <c r="A77" s="6">
        <f t="shared" si="13"/>
        <v>27.299999999999969</v>
      </c>
      <c r="B77" s="1">
        <f t="shared" si="11"/>
        <v>8.4238997933999902E+20</v>
      </c>
      <c r="C77" s="1">
        <f t="shared" si="12"/>
        <v>1.9890999999999998E+41</v>
      </c>
      <c r="D77" s="6">
        <f t="shared" si="10"/>
        <v>125.53574859759425</v>
      </c>
      <c r="E77" s="6">
        <f t="shared" si="10"/>
        <v>155.50924078445749</v>
      </c>
      <c r="F77" s="6">
        <f t="shared" si="10"/>
        <v>180.57415031714359</v>
      </c>
      <c r="G77" s="6">
        <f t="shared" si="10"/>
        <v>202.56091319935925</v>
      </c>
      <c r="H77" s="6">
        <f t="shared" si="10"/>
        <v>222.38440446568717</v>
      </c>
    </row>
    <row r="78" spans="1:8" x14ac:dyDescent="0.25">
      <c r="A78" s="6">
        <f t="shared" si="13"/>
        <v>27.699999999999967</v>
      </c>
      <c r="B78" s="1">
        <f t="shared" si="11"/>
        <v>8.5473268965999903E+20</v>
      </c>
      <c r="C78" s="1">
        <f t="shared" si="12"/>
        <v>1.9890999999999998E+41</v>
      </c>
      <c r="D78" s="6">
        <f t="shared" si="10"/>
        <v>124.62605727437911</v>
      </c>
      <c r="E78" s="6">
        <f t="shared" si="10"/>
        <v>155.1740347105688</v>
      </c>
      <c r="F78" s="6">
        <f t="shared" si="10"/>
        <v>180.62753927614915</v>
      </c>
      <c r="G78" s="6">
        <f t="shared" si="10"/>
        <v>202.91287500194952</v>
      </c>
      <c r="H78" s="6">
        <f t="shared" si="10"/>
        <v>222.98197626300828</v>
      </c>
    </row>
    <row r="79" spans="1:8" x14ac:dyDescent="0.25">
      <c r="A79" s="6">
        <f t="shared" si="13"/>
        <v>28.099999999999966</v>
      </c>
      <c r="B79" s="1">
        <f t="shared" si="11"/>
        <v>8.670753999799989E+20</v>
      </c>
      <c r="C79" s="1">
        <f t="shared" si="12"/>
        <v>1.9890999999999998E+41</v>
      </c>
      <c r="D79" s="6">
        <f t="shared" ref="D79:H88" si="14">SQRT(BulgeMass*GravitationalConstant/RadiusKm+D$8*RadiusKm)/1000</f>
        <v>123.73585975558676</v>
      </c>
      <c r="E79" s="6">
        <f t="shared" si="14"/>
        <v>154.85902295072839</v>
      </c>
      <c r="F79" s="6">
        <f t="shared" si="14"/>
        <v>180.69884058580513</v>
      </c>
      <c r="G79" s="6">
        <f t="shared" si="14"/>
        <v>203.2801637859784</v>
      </c>
      <c r="H79" s="6">
        <f t="shared" si="14"/>
        <v>223.59243947113728</v>
      </c>
    </row>
    <row r="80" spans="1:8" x14ac:dyDescent="0.25">
      <c r="A80" s="6">
        <f t="shared" si="13"/>
        <v>28.499999999999964</v>
      </c>
      <c r="B80" s="1">
        <f t="shared" si="11"/>
        <v>8.7941811029999891E+20</v>
      </c>
      <c r="C80" s="1">
        <f t="shared" si="12"/>
        <v>1.9890999999999998E+41</v>
      </c>
      <c r="D80" s="6">
        <f t="shared" si="14"/>
        <v>122.86446961943638</v>
      </c>
      <c r="E80" s="6">
        <f t="shared" si="14"/>
        <v>154.56344651263893</v>
      </c>
      <c r="F80" s="6">
        <f t="shared" si="14"/>
        <v>180.78727859245345</v>
      </c>
      <c r="G80" s="6">
        <f t="shared" si="14"/>
        <v>203.66202690699456</v>
      </c>
      <c r="H80" s="6">
        <f t="shared" si="14"/>
        <v>224.21508046263381</v>
      </c>
    </row>
    <row r="81" spans="1:8" x14ac:dyDescent="0.25">
      <c r="A81" s="6">
        <f t="shared" si="13"/>
        <v>28.899999999999963</v>
      </c>
      <c r="B81" s="1">
        <f t="shared" si="11"/>
        <v>8.9176082061999892E+20</v>
      </c>
      <c r="C81" s="1">
        <f t="shared" si="12"/>
        <v>1.9890999999999998E+41</v>
      </c>
      <c r="D81" s="6">
        <f t="shared" si="14"/>
        <v>122.0112338131099</v>
      </c>
      <c r="E81" s="6">
        <f t="shared" si="14"/>
        <v>154.28658199207524</v>
      </c>
      <c r="F81" s="6">
        <f t="shared" si="14"/>
        <v>180.89211588401898</v>
      </c>
      <c r="G81" s="6">
        <f t="shared" si="14"/>
        <v>204.0577511274623</v>
      </c>
      <c r="H81" s="6">
        <f t="shared" si="14"/>
        <v>224.8492250406866</v>
      </c>
    </row>
    <row r="82" spans="1:8" x14ac:dyDescent="0.25">
      <c r="A82" s="6">
        <f t="shared" si="13"/>
        <v>29.299999999999962</v>
      </c>
      <c r="B82" s="1">
        <f t="shared" si="11"/>
        <v>9.041035309399988E+20</v>
      </c>
      <c r="C82" s="1">
        <f t="shared" si="12"/>
        <v>1.9890999999999998E+41</v>
      </c>
      <c r="D82" s="6">
        <f t="shared" si="14"/>
        <v>121.17553059566984</v>
      </c>
      <c r="E82" s="6">
        <f t="shared" si="14"/>
        <v>154.0277394644942</v>
      </c>
      <c r="F82" s="6">
        <f t="shared" si="14"/>
        <v>181.01265103285485</v>
      </c>
      <c r="G82" s="6">
        <f t="shared" si="14"/>
        <v>204.46666022445339</v>
      </c>
      <c r="H82" s="6">
        <f t="shared" si="14"/>
        <v>225.49423596345443</v>
      </c>
    </row>
    <row r="83" spans="1:8" x14ac:dyDescent="0.25">
      <c r="A83" s="6">
        <f t="shared" si="13"/>
        <v>29.69999999999996</v>
      </c>
      <c r="B83" s="1">
        <f t="shared" si="11"/>
        <v>9.1644624125999881E+20</v>
      </c>
      <c r="C83" s="1">
        <f t="shared" si="12"/>
        <v>1.9890999999999998E+41</v>
      </c>
      <c r="D83" s="6">
        <f t="shared" si="14"/>
        <v>120.35676763387626</v>
      </c>
      <c r="E83" s="6">
        <f t="shared" si="14"/>
        <v>153.78626053024004</v>
      </c>
      <c r="F83" s="6">
        <f t="shared" si="14"/>
        <v>181.1482164981893</v>
      </c>
      <c r="G83" s="6">
        <f t="shared" si="14"/>
        <v>204.88811276663867</v>
      </c>
      <c r="H83" s="6">
        <f t="shared" si="14"/>
        <v>226.14951064655179</v>
      </c>
    </row>
    <row r="84" spans="1:8" x14ac:dyDescent="0.25">
      <c r="A84" s="6">
        <f t="shared" si="13"/>
        <v>30.099999999999959</v>
      </c>
      <c r="B84" s="1">
        <f t="shared" si="11"/>
        <v>9.2878895157999868E+20</v>
      </c>
      <c r="C84" s="1">
        <f t="shared" si="12"/>
        <v>1.9890999999999998E+41</v>
      </c>
      <c r="D84" s="6">
        <f t="shared" si="14"/>
        <v>119.55438023765073</v>
      </c>
      <c r="E84" s="6">
        <f t="shared" si="14"/>
        <v>153.56151650009437</v>
      </c>
      <c r="F84" s="6">
        <f t="shared" si="14"/>
        <v>181.29817667480484</v>
      </c>
      <c r="G84" s="6">
        <f t="shared" si="14"/>
        <v>205.32150004665544</v>
      </c>
      <c r="H84" s="6">
        <f t="shared" si="14"/>
        <v>226.81447902902653</v>
      </c>
    </row>
    <row r="85" spans="1:8" x14ac:dyDescent="0.25">
      <c r="A85" s="6">
        <f t="shared" si="13"/>
        <v>30.499999999999957</v>
      </c>
      <c r="B85" s="1">
        <f t="shared" si="11"/>
        <v>9.4113166189999869E+20</v>
      </c>
      <c r="C85" s="1">
        <f t="shared" si="12"/>
        <v>1.9890999999999998E+41</v>
      </c>
      <c r="D85" s="6">
        <f t="shared" si="14"/>
        <v>118.7678297232433</v>
      </c>
      <c r="E85" s="6">
        <f t="shared" si="14"/>
        <v>153.35290670922839</v>
      </c>
      <c r="F85" s="6">
        <f t="shared" si="14"/>
        <v>181.46192607588318</v>
      </c>
      <c r="G85" s="6">
        <f t="shared" si="14"/>
        <v>205.76624415624948</v>
      </c>
      <c r="H85" s="6">
        <f t="shared" si="14"/>
        <v>227.48860158955057</v>
      </c>
    </row>
    <row r="86" spans="1:8" x14ac:dyDescent="0.25">
      <c r="A86" s="6">
        <f t="shared" si="13"/>
        <v>30.899999999999956</v>
      </c>
      <c r="B86" s="1">
        <f t="shared" si="11"/>
        <v>9.534743722199987E+20</v>
      </c>
      <c r="C86" s="1">
        <f t="shared" si="12"/>
        <v>1.9890999999999998E+41</v>
      </c>
      <c r="D86" s="6">
        <f t="shared" si="14"/>
        <v>117.99660189332151</v>
      </c>
      <c r="E86" s="6">
        <f t="shared" si="14"/>
        <v>153.15985694878077</v>
      </c>
      <c r="F86" s="6">
        <f t="shared" si="14"/>
        <v>181.63888763910381</v>
      </c>
      <c r="G86" s="6">
        <f t="shared" si="14"/>
        <v>206.22179619276659</v>
      </c>
      <c r="H86" s="6">
        <f t="shared" si="14"/>
        <v>228.17136750076892</v>
      </c>
    </row>
    <row r="87" spans="1:8" x14ac:dyDescent="0.25">
      <c r="A87" s="6">
        <f t="shared" si="13"/>
        <v>31.299999999999955</v>
      </c>
      <c r="B87" s="1">
        <f t="shared" si="11"/>
        <v>9.6581708253999858E+20</v>
      </c>
      <c r="C87" s="1">
        <f t="shared" si="12"/>
        <v>1.9890999999999998E+41</v>
      </c>
      <c r="D87" s="6">
        <f t="shared" si="14"/>
        <v>117.24020562423776</v>
      </c>
      <c r="E87" s="6">
        <f t="shared" si="14"/>
        <v>152.98181800532225</v>
      </c>
      <c r="F87" s="6">
        <f t="shared" si="14"/>
        <v>181.8285111461168</v>
      </c>
      <c r="G87" s="6">
        <f t="shared" si="14"/>
        <v>206.68763458662329</v>
      </c>
      <c r="H87" s="6">
        <f t="shared" si="14"/>
        <v>228.86229291085391</v>
      </c>
    </row>
    <row r="88" spans="1:8" x14ac:dyDescent="0.25">
      <c r="A88" s="6">
        <f t="shared" si="13"/>
        <v>31.699999999999953</v>
      </c>
      <c r="B88" s="1">
        <f t="shared" si="11"/>
        <v>9.7815979285999858E+20</v>
      </c>
      <c r="C88" s="1">
        <f t="shared" si="12"/>
        <v>1.9890999999999998E+41</v>
      </c>
      <c r="D88" s="6">
        <f t="shared" si="14"/>
        <v>116.49817155165567</v>
      </c>
      <c r="E88" s="6">
        <f t="shared" si="14"/>
        <v>152.8182642993925</v>
      </c>
      <c r="F88" s="6">
        <f t="shared" si="14"/>
        <v>182.03027174642949</v>
      </c>
      <c r="G88" s="6">
        <f t="shared" si="14"/>
        <v>207.16326354032694</v>
      </c>
      <c r="H88" s="6">
        <f t="shared" si="14"/>
        <v>229.56091934229337</v>
      </c>
    </row>
    <row r="89" spans="1:8" x14ac:dyDescent="0.25">
      <c r="A89" s="6">
        <f t="shared" si="13"/>
        <v>32.099999999999952</v>
      </c>
      <c r="B89" s="1">
        <f t="shared" si="11"/>
        <v>9.9050250317999846E+20</v>
      </c>
      <c r="C89" s="1">
        <f t="shared" si="12"/>
        <v>1.9890999999999998E+41</v>
      </c>
      <c r="D89" s="6">
        <f t="shared" ref="D89:H98" si="15">SQRT(BulgeMass*GravitationalConstant/RadiusKm+D$8*RadiusKm)/1000</f>
        <v>115.77005084654384</v>
      </c>
      <c r="E89" s="6">
        <f t="shared" si="15"/>
        <v>152.66869261512437</v>
      </c>
      <c r="F89" s="6">
        <f t="shared" si="15"/>
        <v>182.24366857757039</v>
      </c>
      <c r="G89" s="6">
        <f t="shared" si="15"/>
        <v>207.64821157046188</v>
      </c>
      <c r="H89" s="6">
        <f t="shared" si="15"/>
        <v>230.26681219883008</v>
      </c>
    </row>
    <row r="90" spans="1:8" x14ac:dyDescent="0.25">
      <c r="A90" s="6">
        <f t="shared" si="13"/>
        <v>32.49999999999995</v>
      </c>
      <c r="B90" s="1">
        <f t="shared" si="11"/>
        <v>1.0028452134999985E+21</v>
      </c>
      <c r="C90" s="1">
        <f t="shared" si="12"/>
        <v>1.9890999999999998E+41</v>
      </c>
      <c r="D90" s="6">
        <f t="shared" si="15"/>
        <v>115.05541407428444</v>
      </c>
      <c r="E90" s="6">
        <f t="shared" si="15"/>
        <v>152.53262091370826</v>
      </c>
      <c r="F90" s="6">
        <f t="shared" si="15"/>
        <v>182.46822347412993</v>
      </c>
      <c r="G90" s="6">
        <f t="shared" si="15"/>
        <v>208.14203014481484</v>
      </c>
      <c r="H90" s="6">
        <f t="shared" si="15"/>
        <v>230.97955937226351</v>
      </c>
    </row>
    <row r="91" spans="1:8" x14ac:dyDescent="0.25">
      <c r="A91" s="6">
        <f t="shared" si="13"/>
        <v>32.899999999999949</v>
      </c>
      <c r="B91" s="1">
        <f t="shared" si="11"/>
        <v>1.0151879238199985E+21</v>
      </c>
      <c r="C91" s="1">
        <f t="shared" si="12"/>
        <v>1.9890999999999998E+41</v>
      </c>
      <c r="D91" s="6">
        <f t="shared" si="15"/>
        <v>114.35385013030846</v>
      </c>
      <c r="E91" s="6">
        <f t="shared" si="15"/>
        <v>152.40958722411472</v>
      </c>
      <c r="F91" s="6">
        <f t="shared" si="15"/>
        <v>182.70347975893895</v>
      </c>
      <c r="G91" s="6">
        <f t="shared" si="15"/>
        <v>208.64429240749675</v>
      </c>
      <c r="H91" s="6">
        <f t="shared" si="15"/>
        <v>231.69876994154498</v>
      </c>
    </row>
    <row r="92" spans="1:8" x14ac:dyDescent="0.25">
      <c r="A92" s="6">
        <f t="shared" si="13"/>
        <v>33.299999999999947</v>
      </c>
      <c r="B92" s="1">
        <f t="shared" si="11"/>
        <v>1.0275306341399984E+21</v>
      </c>
      <c r="C92" s="1">
        <f t="shared" si="12"/>
        <v>1.9890999999999998E+41</v>
      </c>
      <c r="D92" s="6">
        <f t="shared" si="15"/>
        <v>113.66496524626382</v>
      </c>
      <c r="E92" s="6">
        <f t="shared" si="15"/>
        <v>152.29914860508691</v>
      </c>
      <c r="F92" s="6">
        <f t="shared" si="15"/>
        <v>182.94900111023924</v>
      </c>
      <c r="G92" s="6">
        <f t="shared" si="15"/>
        <v>209.15459198553185</v>
      </c>
      <c r="H92" s="6">
        <f t="shared" si="15"/>
        <v>232.42407295724399</v>
      </c>
    </row>
    <row r="93" spans="1:8" x14ac:dyDescent="0.25">
      <c r="A93" s="6">
        <f t="shared" si="13"/>
        <v>33.699999999999946</v>
      </c>
      <c r="B93" s="1">
        <f t="shared" si="11"/>
        <v>1.0398733444599984E+21</v>
      </c>
      <c r="C93" s="1">
        <f t="shared" si="12"/>
        <v>1.9890999999999998E+41</v>
      </c>
      <c r="D93" s="6">
        <f t="shared" si="15"/>
        <v>112.98838206125838</v>
      </c>
      <c r="E93" s="6">
        <f t="shared" si="15"/>
        <v>152.20088017295063</v>
      </c>
      <c r="F93" s="6">
        <f t="shared" si="15"/>
        <v>183.2043704992347</v>
      </c>
      <c r="G93" s="6">
        <f t="shared" si="15"/>
        <v>209.67254187093943</v>
      </c>
      <c r="H93" s="6">
        <f t="shared" si="15"/>
        <v>233.15511630504878</v>
      </c>
    </row>
    <row r="94" spans="1:8" x14ac:dyDescent="0.25">
      <c r="A94" s="6">
        <f t="shared" si="13"/>
        <v>34.099999999999945</v>
      </c>
      <c r="B94" s="1">
        <f t="shared" si="11"/>
        <v>1.0522160547799982E+21</v>
      </c>
      <c r="C94" s="1">
        <f t="shared" si="12"/>
        <v>1.9890999999999998E+41</v>
      </c>
      <c r="D94" s="6">
        <f t="shared" si="15"/>
        <v>112.3237387532016</v>
      </c>
      <c r="E94" s="6">
        <f t="shared" si="15"/>
        <v>152.11437419026996</v>
      </c>
      <c r="F94" s="6">
        <f t="shared" si="15"/>
        <v>183.46918919289269</v>
      </c>
      <c r="G94" s="6">
        <f t="shared" si="15"/>
        <v>210.19777337283435</v>
      </c>
      <c r="H94" s="6">
        <f t="shared" si="15"/>
        <v>233.8915656424947</v>
      </c>
    </row>
    <row r="95" spans="1:8" x14ac:dyDescent="0.25">
      <c r="A95" s="6">
        <f t="shared" si="13"/>
        <v>34.499999999999943</v>
      </c>
      <c r="B95" s="1">
        <f t="shared" si="11"/>
        <v>1.0645587650999982E+21</v>
      </c>
      <c r="C95" s="1">
        <f t="shared" si="12"/>
        <v>1.9890999999999998E+41</v>
      </c>
      <c r="D95" s="6">
        <f t="shared" si="15"/>
        <v>111.67068822570165</v>
      </c>
      <c r="E95" s="6">
        <f t="shared" si="15"/>
        <v>152.0392392108098</v>
      </c>
      <c r="F95" s="6">
        <f t="shared" si="15"/>
        <v>183.74307581729937</v>
      </c>
      <c r="G95" s="6">
        <f t="shared" si="15"/>
        <v>210.72993513452664</v>
      </c>
      <c r="H95" s="6">
        <f t="shared" si="15"/>
        <v>234.6331034035943</v>
      </c>
    </row>
    <row r="96" spans="1:8" x14ac:dyDescent="0.25">
      <c r="A96" s="6">
        <f t="shared" si="13"/>
        <v>34.899999999999942</v>
      </c>
      <c r="B96" s="1">
        <f t="shared" si="11"/>
        <v>1.0769014754199983E+21</v>
      </c>
      <c r="C96" s="1">
        <f t="shared" si="12"/>
        <v>1.9890999999999998E+41</v>
      </c>
      <c r="D96" s="6">
        <f t="shared" si="15"/>
        <v>111.02889734636774</v>
      </c>
      <c r="E96" s="6">
        <f t="shared" si="15"/>
        <v>151.97509927665863</v>
      </c>
      <c r="F96" s="6">
        <f t="shared" si="15"/>
        <v>184.02566547726497</v>
      </c>
      <c r="G96" s="6">
        <f t="shared" si="15"/>
        <v>211.26869221100938</v>
      </c>
      <c r="H96" s="6">
        <f t="shared" si="15"/>
        <v>235.3794278664773</v>
      </c>
    </row>
    <row r="97" spans="1:19" x14ac:dyDescent="0.25">
      <c r="A97" s="6">
        <f t="shared" si="13"/>
        <v>35.29999999999994</v>
      </c>
      <c r="B97" s="1">
        <f t="shared" si="11"/>
        <v>1.0892441857399981E+21</v>
      </c>
      <c r="C97" s="1">
        <f t="shared" si="12"/>
        <v>1.9890999999999998E+41</v>
      </c>
      <c r="D97" s="6">
        <f t="shared" si="15"/>
        <v>110.39804623272016</v>
      </c>
      <c r="E97" s="6">
        <f t="shared" si="15"/>
        <v>151.92159316371652</v>
      </c>
      <c r="F97" s="6">
        <f t="shared" si="15"/>
        <v>184.31660892822919</v>
      </c>
      <c r="G97" s="6">
        <f t="shared" si="15"/>
        <v>211.81372520259816</v>
      </c>
      <c r="H97" s="6">
        <f t="shared" si="15"/>
        <v>236.13025227954537</v>
      </c>
    </row>
    <row r="98" spans="1:19" x14ac:dyDescent="0.25">
      <c r="A98" s="6">
        <f t="shared" si="13"/>
        <v>35.699999999999939</v>
      </c>
      <c r="B98" s="1">
        <f t="shared" si="11"/>
        <v>1.1015868960599981E+21</v>
      </c>
      <c r="C98" s="1">
        <f t="shared" si="12"/>
        <v>1.9890999999999998E+41</v>
      </c>
      <c r="D98" s="6">
        <f t="shared" si="15"/>
        <v>109.77782758223114</v>
      </c>
      <c r="E98" s="6">
        <f t="shared" si="15"/>
        <v>151.87837367207371</v>
      </c>
      <c r="F98" s="6">
        <f t="shared" si="15"/>
        <v>184.61557179683959</v>
      </c>
      <c r="G98" s="6">
        <f t="shared" si="15"/>
        <v>212.36472944082314</v>
      </c>
      <c r="H98" s="6">
        <f t="shared" si="15"/>
        <v>236.88530404200679</v>
      </c>
    </row>
    <row r="99" spans="1:19" x14ac:dyDescent="0.25">
      <c r="A99" s="6">
        <f t="shared" si="13"/>
        <v>36.099999999999937</v>
      </c>
      <c r="B99" s="1">
        <f t="shared" si="11"/>
        <v>1.113929606379998E+21</v>
      </c>
      <c r="C99" s="1">
        <f t="shared" si="12"/>
        <v>1.9890999999999998E+41</v>
      </c>
      <c r="D99" s="6">
        <f t="shared" ref="D99:H106" si="16">SQRT(BulgeMass*GravitationalConstant/RadiusKm+D$8*RadiusKm)/1000</f>
        <v>109.16794604330889</v>
      </c>
      <c r="E99" s="6">
        <f t="shared" si="16"/>
        <v>151.84510695809323</v>
      </c>
      <c r="F99" s="6">
        <f t="shared" si="16"/>
        <v>184.92223384686537</v>
      </c>
      <c r="G99" s="6">
        <f t="shared" si="16"/>
        <v>212.92141422298212</v>
      </c>
      <c r="H99" s="6">
        <f t="shared" si="16"/>
        <v>237.64432393498211</v>
      </c>
    </row>
    <row r="100" spans="1:19" x14ac:dyDescent="0.25">
      <c r="A100" s="6">
        <f t="shared" si="13"/>
        <v>36.499999999999936</v>
      </c>
      <c r="B100" s="1">
        <f t="shared" si="11"/>
        <v>1.126272316699998E+21</v>
      </c>
      <c r="C100" s="1">
        <f t="shared" si="12"/>
        <v>1.9890999999999998E+41</v>
      </c>
      <c r="D100" s="6">
        <f t="shared" si="16"/>
        <v>108.56811762430051</v>
      </c>
      <c r="E100" s="6">
        <f t="shared" si="16"/>
        <v>151.82147190527411</v>
      </c>
      <c r="F100" s="6">
        <f t="shared" si="16"/>
        <v>185.23628828737611</v>
      </c>
      <c r="G100" s="6">
        <f t="shared" si="16"/>
        <v>213.48350209204432</v>
      </c>
      <c r="H100" s="6">
        <f t="shared" si="16"/>
        <v>238.4070653996728</v>
      </c>
    </row>
    <row r="101" spans="1:19" x14ac:dyDescent="0.25">
      <c r="A101" s="6">
        <f t="shared" si="13"/>
        <v>36.899999999999935</v>
      </c>
      <c r="B101" s="1">
        <f t="shared" si="11"/>
        <v>1.138615027019998E+21</v>
      </c>
      <c r="C101" s="1">
        <f t="shared" si="12"/>
        <v>1.9890999999999998E+41</v>
      </c>
      <c r="D101" s="6">
        <f t="shared" si="16"/>
        <v>107.97806913782746</v>
      </c>
      <c r="E101" s="6">
        <f t="shared" si="16"/>
        <v>151.80715953120733</v>
      </c>
      <c r="F101" s="6">
        <f t="shared" si="16"/>
        <v>185.55744112035339</v>
      </c>
      <c r="G101" s="6">
        <f t="shared" si="16"/>
        <v>214.05072815884878</v>
      </c>
      <c r="H101" s="6">
        <f t="shared" si="16"/>
        <v>239.17329385935497</v>
      </c>
    </row>
    <row r="102" spans="1:19" x14ac:dyDescent="0.25">
      <c r="A102" s="6">
        <f t="shared" si="13"/>
        <v>37.299999999999933</v>
      </c>
      <c r="B102" s="1">
        <f t="shared" si="11"/>
        <v>1.1509577373399979E+21</v>
      </c>
      <c r="C102" s="1">
        <f t="shared" si="12"/>
        <v>1.9890999999999998E+41</v>
      </c>
      <c r="D102" s="6">
        <f t="shared" si="16"/>
        <v>107.39753767798379</v>
      </c>
      <c r="E102" s="6">
        <f t="shared" si="16"/>
        <v>151.80187242815526</v>
      </c>
      <c r="F102" s="6">
        <f t="shared" si="16"/>
        <v>185.88541052512406</v>
      </c>
      <c r="G102" s="6">
        <f t="shared" si="16"/>
        <v>214.62283946377627</v>
      </c>
      <c r="H102" s="6">
        <f t="shared" si="16"/>
        <v>239.9427860822114</v>
      </c>
    </row>
    <row r="103" spans="1:19" x14ac:dyDescent="0.25">
      <c r="A103" s="6">
        <f t="shared" si="13"/>
        <v>37.699999999999932</v>
      </c>
      <c r="B103" s="1">
        <f t="shared" si="11"/>
        <v>1.1633004476599979E+21</v>
      </c>
      <c r="C103" s="1">
        <f t="shared" si="12"/>
        <v>1.9890999999999998E+41</v>
      </c>
      <c r="D103" s="6">
        <f t="shared" si="16"/>
        <v>106.82627012812493</v>
      </c>
      <c r="E103" s="6">
        <f t="shared" si="16"/>
        <v>151.805324234979</v>
      </c>
      <c r="F103" s="6">
        <f t="shared" si="16"/>
        <v>186.2199262772034</v>
      </c>
      <c r="G103" s="6">
        <f t="shared" si="16"/>
        <v>215.19959437528465</v>
      </c>
      <c r="H103" s="6">
        <f t="shared" si="16"/>
        <v>240.71532958224125</v>
      </c>
    </row>
    <row r="104" spans="1:19" x14ac:dyDescent="0.25">
      <c r="A104" s="6">
        <f t="shared" si="13"/>
        <v>38.09999999999993</v>
      </c>
      <c r="B104" s="1">
        <f t="shared" si="11"/>
        <v>1.1756431579799978E+21</v>
      </c>
      <c r="C104" s="1">
        <f t="shared" si="12"/>
        <v>1.9890999999999998E+41</v>
      </c>
      <c r="D104" s="6">
        <f t="shared" si="16"/>
        <v>106.26402269715379</v>
      </c>
      <c r="E104" s="6">
        <f t="shared" si="16"/>
        <v>151.81723913831786</v>
      </c>
      <c r="F104" s="6">
        <f t="shared" si="16"/>
        <v>186.56072919931773</v>
      </c>
      <c r="G104" s="6">
        <f t="shared" si="16"/>
        <v>215.78076202289478</v>
      </c>
      <c r="H104" s="6">
        <f t="shared" si="16"/>
        <v>241.49072205569539</v>
      </c>
    </row>
    <row r="105" spans="1:19" x14ac:dyDescent="0.25">
      <c r="A105" s="6">
        <f t="shared" si="13"/>
        <v>38.499999999999929</v>
      </c>
      <c r="B105" s="1">
        <f t="shared" si="11"/>
        <v>1.1879858682999978E+21</v>
      </c>
      <c r="C105" s="1">
        <f t="shared" si="12"/>
        <v>1.9890999999999998E+41</v>
      </c>
      <c r="D105" s="6">
        <f t="shared" si="16"/>
        <v>105.71056048237458</v>
      </c>
      <c r="E105" s="6">
        <f t="shared" si="16"/>
        <v>151.83735140108888</v>
      </c>
      <c r="F105" s="6">
        <f t="shared" si="16"/>
        <v>186.90757064254439</v>
      </c>
      <c r="G105" s="6">
        <f t="shared" si="16"/>
        <v>216.36612176239078</v>
      </c>
      <c r="H105" s="6">
        <f t="shared" si="16"/>
        <v>242.26877085067667</v>
      </c>
    </row>
    <row r="106" spans="1:19" x14ac:dyDescent="0.25">
      <c r="A106" s="6">
        <f t="shared" si="13"/>
        <v>38.899999999999928</v>
      </c>
      <c r="B106" s="1">
        <f t="shared" si="11"/>
        <v>1.2003285786199977E+21</v>
      </c>
      <c r="C106" s="1">
        <f t="shared" si="12"/>
        <v>1.9890999999999998E+41</v>
      </c>
      <c r="D106" s="6">
        <f t="shared" si="16"/>
        <v>105.16565705713401</v>
      </c>
      <c r="E106" s="6">
        <f t="shared" si="16"/>
        <v>151.86540491652042</v>
      </c>
      <c r="F106" s="6">
        <f t="shared" si="16"/>
        <v>187.26021199565773</v>
      </c>
      <c r="G106" s="6">
        <f t="shared" si="16"/>
        <v>216.95546267116359</v>
      </c>
      <c r="H106" s="6">
        <f t="shared" si="16"/>
        <v>243.04929246771863</v>
      </c>
    </row>
    <row r="107" spans="1:19" x14ac:dyDescent="0.25">
      <c r="H107" s="2"/>
      <c r="R107"/>
      <c r="S107"/>
    </row>
    <row r="108" spans="1:19" x14ac:dyDescent="0.25">
      <c r="H108" s="2"/>
      <c r="R108"/>
      <c r="S108"/>
    </row>
    <row r="109" spans="1:19" ht="21" x14ac:dyDescent="0.35">
      <c r="A109" s="55" t="s">
        <v>553</v>
      </c>
      <c r="H109" s="2"/>
      <c r="R109"/>
      <c r="S109"/>
    </row>
    <row r="110" spans="1:19" x14ac:dyDescent="0.25">
      <c r="A110" s="6" t="s">
        <v>22</v>
      </c>
      <c r="B110" s="2">
        <v>1.3</v>
      </c>
      <c r="C110" s="6">
        <f>$B$110*1000</f>
        <v>1300</v>
      </c>
      <c r="G110" s="1"/>
      <c r="H110" s="6"/>
      <c r="I110"/>
      <c r="R110"/>
      <c r="S110"/>
    </row>
    <row r="111" spans="1:19" x14ac:dyDescent="0.25">
      <c r="A111" s="6" t="s">
        <v>16</v>
      </c>
      <c r="B111" s="2">
        <v>3.36</v>
      </c>
      <c r="C111" s="1">
        <f>B111*10000000000*SolarMass</f>
        <v>6.6833759999999992E+40</v>
      </c>
      <c r="G111" s="1"/>
      <c r="H111" s="6"/>
      <c r="I111"/>
      <c r="R111"/>
      <c r="S111"/>
    </row>
    <row r="112" spans="1:19" x14ac:dyDescent="0.25">
      <c r="A112" s="6" t="s">
        <v>556</v>
      </c>
      <c r="B112" s="2">
        <v>4.3</v>
      </c>
      <c r="C112" s="1">
        <f>B112*1000</f>
        <v>4300</v>
      </c>
      <c r="G112" s="1"/>
      <c r="H112" s="6"/>
      <c r="I112"/>
    </row>
    <row r="113" spans="1:25" x14ac:dyDescent="0.25">
      <c r="A113" s="6" t="s">
        <v>17</v>
      </c>
      <c r="B113" s="2">
        <v>7.7</v>
      </c>
      <c r="G113" s="1"/>
      <c r="H113" s="6"/>
      <c r="I113"/>
    </row>
    <row r="114" spans="1:25" x14ac:dyDescent="0.25">
      <c r="A114" s="6" t="s">
        <v>557</v>
      </c>
      <c r="B114" s="2">
        <v>30.5</v>
      </c>
      <c r="C114" s="6">
        <f>B114*1000</f>
        <v>30500</v>
      </c>
      <c r="G114" s="1"/>
      <c r="H114" s="6"/>
      <c r="I114"/>
    </row>
    <row r="115" spans="1:25" x14ac:dyDescent="0.25">
      <c r="A115" s="6" t="s">
        <v>558</v>
      </c>
      <c r="B115" s="2">
        <v>27.9</v>
      </c>
      <c r="G115" s="1"/>
      <c r="H115" s="6"/>
      <c r="I115"/>
    </row>
    <row r="116" spans="1:25" x14ac:dyDescent="0.25">
      <c r="B116" s="10"/>
      <c r="G116" s="1"/>
      <c r="H116" s="6"/>
      <c r="I116"/>
    </row>
    <row r="117" spans="1:25" x14ac:dyDescent="0.25">
      <c r="A117" s="6" t="s">
        <v>555</v>
      </c>
      <c r="B117" s="6">
        <f>(B113*10000000000)/(2*PI()*DiskScaleLengthPc^2)</f>
        <v>662.78694527181938</v>
      </c>
      <c r="G117" s="1"/>
      <c r="H117" s="6"/>
      <c r="I117"/>
    </row>
    <row r="118" spans="1:25" x14ac:dyDescent="0.25">
      <c r="A118" s="6" t="s">
        <v>554</v>
      </c>
      <c r="B118" s="9">
        <f>(B115*10000000000)/(4*PI()*(LCDMHaloScaleLengthPc)^3*(LN(2)-1/2))</f>
        <v>4.0514123556774882E-3</v>
      </c>
      <c r="G118" s="1"/>
      <c r="H118" s="6"/>
      <c r="I118"/>
    </row>
    <row r="119" spans="1:25" x14ac:dyDescent="0.25">
      <c r="G119" s="1"/>
      <c r="H119" s="6"/>
      <c r="I119"/>
    </row>
    <row r="120" spans="1:25" ht="45" x14ac:dyDescent="0.25">
      <c r="A120" s="5" t="s">
        <v>19</v>
      </c>
      <c r="B120" s="4" t="s">
        <v>587</v>
      </c>
      <c r="C120" s="4" t="s">
        <v>20</v>
      </c>
      <c r="D120" s="5" t="s">
        <v>21</v>
      </c>
      <c r="E120" s="5" t="s">
        <v>586</v>
      </c>
      <c r="F120" s="7"/>
      <c r="G120" s="1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7"/>
      <c r="S120" s="7"/>
      <c r="T120" s="3"/>
      <c r="U120" s="3"/>
      <c r="V120" s="3"/>
      <c r="W120" s="3"/>
      <c r="X120" s="3"/>
      <c r="Y120" s="3"/>
    </row>
    <row r="121" spans="1:25" x14ac:dyDescent="0.25">
      <c r="A121" s="6">
        <v>1.1399999999999999</v>
      </c>
      <c r="B121" s="1">
        <f>A121*kpc</f>
        <v>3.5176724411999998E+19</v>
      </c>
      <c r="C121" s="1" t="e">
        <f ca="1">FORECAST(#REF!, OFFSET(#REF!, MATCH(#REF!,#REF!, 1)-1,0,2), OFFSET(#REF!, MATCH(#REF!,#REF!, 1)-1,0,2))*LCDMTotalBulgeMass</f>
        <v>#REF!</v>
      </c>
      <c r="D121" s="6" t="e">
        <f t="shared" ref="D121:D184" ca="1" si="17">_xlfn.SINGLE(BulgeMass)+_xlfn.SINGLE(DiskMass)+_xlfn.SINGLE(HaloMass)</f>
        <v>#REF!</v>
      </c>
      <c r="E121" s="6">
        <v>336.2</v>
      </c>
      <c r="H121" s="2"/>
      <c r="I121"/>
    </row>
    <row r="122" spans="1:25" x14ac:dyDescent="0.25">
      <c r="A122" s="6">
        <v>1.52</v>
      </c>
      <c r="B122" s="1">
        <f t="shared" ref="B122:B185" si="18">A122*kpc</f>
        <v>4.6902299216E+19</v>
      </c>
      <c r="C122" s="1" t="e">
        <f ca="1">FORECAST(#REF!, OFFSET(#REF!, MATCH(#REF!,#REF!, 1)-1,0,2), OFFSET(#REF!, MATCH(#REF!,#REF!, 1)-1,0,2))*LCDMTotalBulgeMass</f>
        <v>#REF!</v>
      </c>
      <c r="D122" s="6" t="e">
        <f t="shared" ca="1" si="17"/>
        <v>#REF!</v>
      </c>
      <c r="E122" s="6">
        <v>324.60000000000002</v>
      </c>
      <c r="H122" s="2"/>
      <c r="I122"/>
    </row>
    <row r="123" spans="1:25" x14ac:dyDescent="0.25">
      <c r="A123" s="6">
        <v>1.9</v>
      </c>
      <c r="B123" s="1">
        <f t="shared" si="18"/>
        <v>5.8627874019999998E+19</v>
      </c>
      <c r="C123" s="1" t="e">
        <f ca="1">FORECAST(#REF!, OFFSET(#REF!, MATCH(#REF!,#REF!, 1)-1,0,2), OFFSET(#REF!, MATCH(#REF!,#REF!, 1)-1,0,2))*LCDMTotalBulgeMass</f>
        <v>#REF!</v>
      </c>
      <c r="D123" s="6" t="e">
        <f t="shared" ca="1" si="17"/>
        <v>#REF!</v>
      </c>
      <c r="E123" s="6">
        <v>339</v>
      </c>
      <c r="H123" s="2"/>
      <c r="I123"/>
    </row>
    <row r="124" spans="1:25" x14ac:dyDescent="0.25">
      <c r="A124" s="6">
        <v>2.2799999999999998</v>
      </c>
      <c r="B124" s="1">
        <f t="shared" si="18"/>
        <v>7.0353448823999996E+19</v>
      </c>
      <c r="C124" s="1" t="e">
        <f ca="1">FORECAST(#REF!, OFFSET(#REF!, MATCH(#REF!,#REF!, 1)-1,0,2), OFFSET(#REF!, MATCH(#REF!,#REF!, 1)-1,0,2))*LCDMTotalBulgeMass</f>
        <v>#REF!</v>
      </c>
      <c r="D124" s="6" t="e">
        <f t="shared" ca="1" si="17"/>
        <v>#REF!</v>
      </c>
      <c r="E124" s="6">
        <v>243.6</v>
      </c>
      <c r="H124" s="2"/>
      <c r="I124"/>
    </row>
    <row r="125" spans="1:25" x14ac:dyDescent="0.25">
      <c r="A125" s="6">
        <v>2.66</v>
      </c>
      <c r="B125" s="1">
        <f t="shared" si="18"/>
        <v>8.2079023628000002E+19</v>
      </c>
      <c r="C125" s="1" t="e">
        <f ca="1">FORECAST(#REF!, OFFSET(#REF!, MATCH(#REF!,#REF!, 1)-1,0,2), OFFSET(#REF!, MATCH(#REF!,#REF!, 1)-1,0,2))*LCDMTotalBulgeMass</f>
        <v>#REF!</v>
      </c>
      <c r="D125" s="6" t="e">
        <f t="shared" ca="1" si="17"/>
        <v>#REF!</v>
      </c>
      <c r="E125" s="6">
        <v>235.2</v>
      </c>
      <c r="H125" s="2"/>
      <c r="I125"/>
    </row>
    <row r="126" spans="1:25" x14ac:dyDescent="0.25">
      <c r="A126" s="6">
        <v>3.04</v>
      </c>
      <c r="B126" s="1">
        <f t="shared" si="18"/>
        <v>9.3804598432E+19</v>
      </c>
      <c r="C126" s="1" t="e">
        <f ca="1">FORECAST(#REF!, OFFSET(#REF!, MATCH(#REF!,#REF!, 1)-1,0,2), OFFSET(#REF!, MATCH(#REF!,#REF!, 1)-1,0,2))*LCDMTotalBulgeMass</f>
        <v>#REF!</v>
      </c>
      <c r="D126" s="6" t="e">
        <f t="shared" ca="1" si="17"/>
        <v>#REF!</v>
      </c>
      <c r="E126" s="6">
        <v>238.9</v>
      </c>
      <c r="H126" s="2"/>
      <c r="I126"/>
    </row>
    <row r="127" spans="1:25" x14ac:dyDescent="0.25">
      <c r="A127" s="6">
        <v>3.43</v>
      </c>
      <c r="B127" s="1">
        <f t="shared" si="18"/>
        <v>1.0583874099400001E+20</v>
      </c>
      <c r="C127" s="1" t="e">
        <f ca="1">FORECAST(#REF!, OFFSET(#REF!, MATCH(#REF!,#REF!, 1)-1,0,2), OFFSET(#REF!, MATCH(#REF!,#REF!, 1)-1,0,2))*LCDMTotalBulgeMass</f>
        <v>#REF!</v>
      </c>
      <c r="D127" s="6" t="e">
        <f t="shared" ca="1" si="17"/>
        <v>#REF!</v>
      </c>
      <c r="E127" s="6">
        <v>239.3</v>
      </c>
      <c r="H127" s="2"/>
      <c r="I127"/>
    </row>
    <row r="128" spans="1:25" x14ac:dyDescent="0.25">
      <c r="A128" s="6">
        <v>3.81</v>
      </c>
      <c r="B128" s="1">
        <f t="shared" si="18"/>
        <v>1.1756431579800001E+20</v>
      </c>
      <c r="C128" s="1" t="e">
        <f ca="1">FORECAST(#REF!, OFFSET(#REF!, MATCH(#REF!,#REF!, 1)-1,0,2), OFFSET(#REF!, MATCH(#REF!,#REF!, 1)-1,0,2))*LCDMTotalBulgeMass</f>
        <v>#REF!</v>
      </c>
      <c r="D128" s="6" t="e">
        <f t="shared" ca="1" si="17"/>
        <v>#REF!</v>
      </c>
      <c r="E128" s="6">
        <v>226.3</v>
      </c>
      <c r="H128" s="2"/>
      <c r="I128"/>
      <c r="R128"/>
      <c r="S128"/>
    </row>
    <row r="129" spans="1:19" x14ac:dyDescent="0.25">
      <c r="A129" s="6">
        <v>4.1900000000000004</v>
      </c>
      <c r="B129" s="1">
        <f t="shared" si="18"/>
        <v>1.2928989060200001E+20</v>
      </c>
      <c r="C129" s="1" t="e">
        <f ca="1">FORECAST(#REF!, OFFSET(#REF!, MATCH(#REF!,#REF!, 1)-1,0,2), OFFSET(#REF!, MATCH(#REF!,#REF!, 1)-1,0,2))*LCDMTotalBulgeMass</f>
        <v>#REF!</v>
      </c>
      <c r="D129" s="6" t="e">
        <f t="shared" ca="1" si="17"/>
        <v>#REF!</v>
      </c>
      <c r="E129" s="6">
        <v>202.6</v>
      </c>
      <c r="H129" s="2"/>
      <c r="I129"/>
      <c r="R129"/>
      <c r="S129"/>
    </row>
    <row r="130" spans="1:19" x14ac:dyDescent="0.25">
      <c r="A130" s="6">
        <v>4.57</v>
      </c>
      <c r="B130" s="1">
        <f t="shared" si="18"/>
        <v>1.4101546540600001E+20</v>
      </c>
      <c r="C130" s="1" t="e">
        <f ca="1">FORECAST(#REF!, OFFSET(#REF!, MATCH(#REF!,#REF!, 1)-1,0,2), OFFSET(#REF!, MATCH(#REF!,#REF!, 1)-1,0,2))*LCDMTotalBulgeMass</f>
        <v>#REF!</v>
      </c>
      <c r="D130" s="6" t="e">
        <f t="shared" ca="1" si="17"/>
        <v>#REF!</v>
      </c>
      <c r="E130" s="6">
        <v>207.3</v>
      </c>
      <c r="H130" s="2"/>
      <c r="I130"/>
      <c r="R130"/>
      <c r="S130"/>
    </row>
    <row r="131" spans="1:19" x14ac:dyDescent="0.25">
      <c r="A131" s="6">
        <v>4.95</v>
      </c>
      <c r="B131" s="1">
        <f t="shared" si="18"/>
        <v>1.5274104021000002E+20</v>
      </c>
      <c r="C131" s="1" t="e">
        <f ca="1">FORECAST(#REF!, OFFSET(#REF!, MATCH(#REF!,#REF!, 1)-1,0,2), OFFSET(#REF!, MATCH(#REF!,#REF!, 1)-1,0,2))*LCDMTotalBulgeMass</f>
        <v>#REF!</v>
      </c>
      <c r="D131" s="6" t="e">
        <f t="shared" ca="1" si="17"/>
        <v>#REF!</v>
      </c>
      <c r="E131" s="6">
        <v>202.5</v>
      </c>
      <c r="H131" s="2"/>
      <c r="I131"/>
      <c r="R131"/>
      <c r="S131"/>
    </row>
    <row r="132" spans="1:19" x14ac:dyDescent="0.25">
      <c r="A132" s="6">
        <v>5.33</v>
      </c>
      <c r="B132" s="1">
        <f t="shared" si="18"/>
        <v>1.64466615014E+20</v>
      </c>
      <c r="C132" s="1" t="e">
        <f ca="1">FORECAST(#REF!, OFFSET(#REF!, MATCH(#REF!,#REF!, 1)-1,0,2), OFFSET(#REF!, MATCH(#REF!,#REF!, 1)-1,0,2))*LCDMTotalBulgeMass</f>
        <v>#REF!</v>
      </c>
      <c r="D132" s="6" t="e">
        <f t="shared" ca="1" si="17"/>
        <v>#REF!</v>
      </c>
      <c r="E132" s="6">
        <v>208.9</v>
      </c>
      <c r="H132" s="2"/>
      <c r="I132"/>
      <c r="R132"/>
      <c r="S132"/>
    </row>
    <row r="133" spans="1:19" x14ac:dyDescent="0.25">
      <c r="A133" s="6">
        <v>5.71</v>
      </c>
      <c r="B133" s="1">
        <f t="shared" si="18"/>
        <v>1.7619218981799998E+20</v>
      </c>
      <c r="C133" s="1" t="e">
        <f ca="1">FORECAST(#REF!, OFFSET(#REF!, MATCH(#REF!,#REF!, 1)-1,0,2), OFFSET(#REF!, MATCH(#REF!,#REF!, 1)-1,0,2))*LCDMTotalBulgeMass</f>
        <v>#REF!</v>
      </c>
      <c r="D133" s="6" t="e">
        <f t="shared" ca="1" si="17"/>
        <v>#REF!</v>
      </c>
      <c r="E133" s="6">
        <v>221.6</v>
      </c>
      <c r="H133" s="2"/>
      <c r="I133"/>
      <c r="R133"/>
      <c r="S133"/>
    </row>
    <row r="134" spans="1:19" x14ac:dyDescent="0.25">
      <c r="A134" s="6">
        <v>6.09</v>
      </c>
      <c r="B134" s="1">
        <f t="shared" si="18"/>
        <v>1.87917764622E+20</v>
      </c>
      <c r="C134" s="1" t="e">
        <f ca="1">FORECAST(#REF!, OFFSET(#REF!, MATCH(#REF!,#REF!, 1)-1,0,2), OFFSET(#REF!, MATCH(#REF!,#REF!, 1)-1,0,2))*LCDMTotalBulgeMass</f>
        <v>#REF!</v>
      </c>
      <c r="D134" s="6" t="e">
        <f t="shared" ca="1" si="17"/>
        <v>#REF!</v>
      </c>
      <c r="E134" s="6">
        <v>232.2</v>
      </c>
      <c r="H134" s="2"/>
      <c r="I134"/>
      <c r="R134"/>
      <c r="S134"/>
    </row>
    <row r="135" spans="1:19" x14ac:dyDescent="0.25">
      <c r="A135" s="6">
        <v>6.47</v>
      </c>
      <c r="B135" s="1">
        <f t="shared" si="18"/>
        <v>1.9964333942599998E+20</v>
      </c>
      <c r="C135" s="1" t="e">
        <f ca="1">FORECAST(#REF!, OFFSET(#REF!, MATCH(#REF!,#REF!, 1)-1,0,2), OFFSET(#REF!, MATCH(#REF!,#REF!, 1)-1,0,2))*LCDMTotalBulgeMass</f>
        <v>#REF!</v>
      </c>
      <c r="D135" s="6" t="e">
        <f t="shared" ca="1" si="17"/>
        <v>#REF!</v>
      </c>
      <c r="E135" s="6">
        <v>237.6</v>
      </c>
      <c r="H135" s="2"/>
      <c r="I135"/>
      <c r="R135"/>
      <c r="S135"/>
    </row>
    <row r="136" spans="1:19" x14ac:dyDescent="0.25">
      <c r="A136" s="6">
        <v>6.85</v>
      </c>
      <c r="B136" s="1">
        <f t="shared" si="18"/>
        <v>2.1136891422999999E+20</v>
      </c>
      <c r="C136" s="1" t="e">
        <f ca="1">FORECAST(#REF!, OFFSET(#REF!, MATCH(#REF!,#REF!, 1)-1,0,2), OFFSET(#REF!, MATCH(#REF!,#REF!, 1)-1,0,2))*LCDMTotalBulgeMass</f>
        <v>#REF!</v>
      </c>
      <c r="D136" s="6" t="e">
        <f t="shared" ca="1" si="17"/>
        <v>#REF!</v>
      </c>
      <c r="E136" s="6">
        <v>239.8</v>
      </c>
      <c r="H136" s="2"/>
      <c r="I136"/>
      <c r="R136"/>
      <c r="S136"/>
    </row>
    <row r="137" spans="1:19" x14ac:dyDescent="0.25">
      <c r="A137" s="6">
        <v>7.23</v>
      </c>
      <c r="B137" s="1">
        <f t="shared" si="18"/>
        <v>2.2309448903400001E+20</v>
      </c>
      <c r="C137" s="1" t="e">
        <f ca="1">FORECAST(#REF!, OFFSET(#REF!, MATCH(#REF!,#REF!, 1)-1,0,2), OFFSET(#REF!, MATCH(#REF!,#REF!, 1)-1,0,2))*LCDMTotalBulgeMass</f>
        <v>#REF!</v>
      </c>
      <c r="D137" s="6" t="e">
        <f t="shared" ca="1" si="17"/>
        <v>#REF!</v>
      </c>
      <c r="E137" s="6">
        <v>235.6</v>
      </c>
      <c r="H137" s="2"/>
      <c r="I137"/>
      <c r="R137"/>
      <c r="S137"/>
    </row>
    <row r="138" spans="1:19" x14ac:dyDescent="0.25">
      <c r="A138" s="6">
        <v>7.61</v>
      </c>
      <c r="B138" s="1">
        <f t="shared" si="18"/>
        <v>2.3482006383800002E+20</v>
      </c>
      <c r="C138" s="1" t="e">
        <f ca="1">FORECAST(#REF!, OFFSET(#REF!, MATCH(#REF!,#REF!, 1)-1,0,2), OFFSET(#REF!, MATCH(#REF!,#REF!, 1)-1,0,2))*LCDMTotalBulgeMass</f>
        <v>#REF!</v>
      </c>
      <c r="D138" s="6" t="e">
        <f t="shared" ca="1" si="17"/>
        <v>#REF!</v>
      </c>
      <c r="E138" s="6">
        <v>241.7</v>
      </c>
      <c r="H138" s="2"/>
      <c r="I138"/>
      <c r="R138"/>
      <c r="S138"/>
    </row>
    <row r="139" spans="1:19" x14ac:dyDescent="0.25">
      <c r="A139" s="6">
        <v>7.99</v>
      </c>
      <c r="B139" s="1">
        <f t="shared" si="18"/>
        <v>2.46545638642E+20</v>
      </c>
      <c r="C139" s="1" t="e">
        <f ca="1">FORECAST(#REF!, OFFSET(#REF!, MATCH(#REF!,#REF!, 1)-1,0,2), OFFSET(#REF!, MATCH(#REF!,#REF!, 1)-1,0,2))*LCDMTotalBulgeMass</f>
        <v>#REF!</v>
      </c>
      <c r="D139" s="6" t="e">
        <f t="shared" ca="1" si="17"/>
        <v>#REF!</v>
      </c>
      <c r="E139" s="6">
        <v>244.3</v>
      </c>
      <c r="H139" s="2"/>
      <c r="I139"/>
      <c r="R139"/>
      <c r="S139"/>
    </row>
    <row r="140" spans="1:19" x14ac:dyDescent="0.25">
      <c r="A140" s="6">
        <v>8.3699999999999992</v>
      </c>
      <c r="B140" s="1">
        <f t="shared" si="18"/>
        <v>2.5827121344599998E+20</v>
      </c>
      <c r="C140" s="1" t="e">
        <f ca="1">FORECAST(#REF!, OFFSET(#REF!, MATCH(#REF!,#REF!, 1)-1,0,2), OFFSET(#REF!, MATCH(#REF!,#REF!, 1)-1,0,2))*LCDMTotalBulgeMass</f>
        <v>#REF!</v>
      </c>
      <c r="D140" s="6" t="e">
        <f t="shared" ca="1" si="17"/>
        <v>#REF!</v>
      </c>
      <c r="E140" s="6">
        <v>248.8</v>
      </c>
      <c r="H140" s="2"/>
      <c r="I140"/>
      <c r="R140"/>
      <c r="S140"/>
    </row>
    <row r="141" spans="1:19" x14ac:dyDescent="0.25">
      <c r="A141" s="6">
        <v>8.75</v>
      </c>
      <c r="B141" s="1">
        <f t="shared" si="18"/>
        <v>2.6999678825E+20</v>
      </c>
      <c r="C141" s="1" t="e">
        <f ca="1">FORECAST(#REF!, OFFSET(#REF!, MATCH(#REF!,#REF!, 1)-1,0,2), OFFSET(#REF!, MATCH(#REF!,#REF!, 1)-1,0,2))*LCDMTotalBulgeMass</f>
        <v>#REF!</v>
      </c>
      <c r="D141" s="6" t="e">
        <f t="shared" ca="1" si="17"/>
        <v>#REF!</v>
      </c>
      <c r="E141" s="6">
        <v>251.8</v>
      </c>
      <c r="H141" s="2"/>
      <c r="I141"/>
      <c r="R141"/>
      <c r="S141"/>
    </row>
    <row r="142" spans="1:19" x14ac:dyDescent="0.25">
      <c r="A142" s="6">
        <v>9.1300000000000008</v>
      </c>
      <c r="B142" s="1">
        <f t="shared" si="18"/>
        <v>2.8172236305400001E+20</v>
      </c>
      <c r="C142" s="1" t="e">
        <f ca="1">FORECAST(#REF!, OFFSET(#REF!, MATCH(#REF!,#REF!, 1)-1,0,2), OFFSET(#REF!, MATCH(#REF!,#REF!, 1)-1,0,2))*LCDMTotalBulgeMass</f>
        <v>#REF!</v>
      </c>
      <c r="D142" s="6" t="e">
        <f t="shared" ca="1" si="17"/>
        <v>#REF!</v>
      </c>
      <c r="E142" s="6">
        <v>253</v>
      </c>
      <c r="H142" s="2"/>
      <c r="I142"/>
      <c r="R142"/>
      <c r="S142"/>
    </row>
    <row r="143" spans="1:19" x14ac:dyDescent="0.25">
      <c r="A143" s="6">
        <v>9.51</v>
      </c>
      <c r="B143" s="1">
        <f t="shared" si="18"/>
        <v>2.9344793785799999E+20</v>
      </c>
      <c r="C143" s="1" t="e">
        <f ca="1">FORECAST(#REF!, OFFSET(#REF!, MATCH(#REF!,#REF!, 1)-1,0,2), OFFSET(#REF!, MATCH(#REF!,#REF!, 1)-1,0,2))*LCDMTotalBulgeMass</f>
        <v>#REF!</v>
      </c>
      <c r="D143" s="6" t="e">
        <f t="shared" ca="1" si="17"/>
        <v>#REF!</v>
      </c>
      <c r="E143" s="6">
        <v>258.8</v>
      </c>
      <c r="H143" s="2"/>
      <c r="I143"/>
      <c r="R143"/>
      <c r="S143"/>
    </row>
    <row r="144" spans="1:19" x14ac:dyDescent="0.25">
      <c r="A144" s="6">
        <v>9.9</v>
      </c>
      <c r="B144" s="1">
        <f t="shared" si="18"/>
        <v>3.0548208042000004E+20</v>
      </c>
      <c r="C144" s="1" t="e">
        <f ca="1">FORECAST(#REF!, OFFSET(#REF!, MATCH(#REF!,#REF!, 1)-1,0,2), OFFSET(#REF!, MATCH(#REF!,#REF!, 1)-1,0,2))*LCDMTotalBulgeMass</f>
        <v>#REF!</v>
      </c>
      <c r="D144" s="6" t="e">
        <f t="shared" ca="1" si="17"/>
        <v>#REF!</v>
      </c>
      <c r="E144" s="6">
        <v>259</v>
      </c>
      <c r="H144" s="2"/>
      <c r="I144"/>
      <c r="R144"/>
      <c r="S144"/>
    </row>
    <row r="145" spans="1:19" x14ac:dyDescent="0.25">
      <c r="A145" s="6">
        <v>10.28</v>
      </c>
      <c r="B145" s="1">
        <f t="shared" si="18"/>
        <v>3.1720765522399999E+20</v>
      </c>
      <c r="C145" s="1" t="e">
        <f ca="1">FORECAST(#REF!, OFFSET(#REF!, MATCH(#REF!,#REF!, 1)-1,0,2), OFFSET(#REF!, MATCH(#REF!,#REF!, 1)-1,0,2))*LCDMTotalBulgeMass</f>
        <v>#REF!</v>
      </c>
      <c r="D145" s="6" t="e">
        <f t="shared" ca="1" si="17"/>
        <v>#REF!</v>
      </c>
      <c r="E145" s="6">
        <v>262.2</v>
      </c>
      <c r="H145" s="2"/>
      <c r="I145"/>
      <c r="R145"/>
      <c r="S145"/>
    </row>
    <row r="146" spans="1:19" x14ac:dyDescent="0.25">
      <c r="A146" s="6">
        <v>10.66</v>
      </c>
      <c r="B146" s="1">
        <f t="shared" si="18"/>
        <v>3.28933230028E+20</v>
      </c>
      <c r="C146" s="1" t="e">
        <f ca="1">FORECAST(#REF!, OFFSET(#REF!, MATCH(#REF!,#REF!, 1)-1,0,2), OFFSET(#REF!, MATCH(#REF!,#REF!, 1)-1,0,2))*LCDMTotalBulgeMass</f>
        <v>#REF!</v>
      </c>
      <c r="D146" s="6" t="e">
        <f t="shared" ca="1" si="17"/>
        <v>#REF!</v>
      </c>
      <c r="E146" s="6">
        <v>266.8</v>
      </c>
      <c r="H146" s="2"/>
      <c r="I146"/>
      <c r="R146"/>
      <c r="S146"/>
    </row>
    <row r="147" spans="1:19" x14ac:dyDescent="0.25">
      <c r="A147" s="6">
        <v>11.04</v>
      </c>
      <c r="B147" s="1">
        <f t="shared" si="18"/>
        <v>3.4065880483199995E+20</v>
      </c>
      <c r="C147" s="1" t="e">
        <f ca="1">FORECAST(#REF!, OFFSET(#REF!, MATCH(#REF!,#REF!, 1)-1,0,2), OFFSET(#REF!, MATCH(#REF!,#REF!, 1)-1,0,2))*LCDMTotalBulgeMass</f>
        <v>#REF!</v>
      </c>
      <c r="D147" s="6" t="e">
        <f t="shared" ca="1" si="17"/>
        <v>#REF!</v>
      </c>
      <c r="E147" s="6">
        <v>266.8</v>
      </c>
      <c r="H147" s="2"/>
      <c r="I147"/>
      <c r="R147"/>
      <c r="S147"/>
    </row>
    <row r="148" spans="1:19" x14ac:dyDescent="0.25">
      <c r="A148" s="6">
        <v>11.42</v>
      </c>
      <c r="B148" s="1">
        <f t="shared" si="18"/>
        <v>3.5238437963599997E+20</v>
      </c>
      <c r="C148" s="1" t="e">
        <f ca="1">FORECAST(#REF!, OFFSET(#REF!, MATCH(#REF!,#REF!, 1)-1,0,2), OFFSET(#REF!, MATCH(#REF!,#REF!, 1)-1,0,2))*LCDMTotalBulgeMass</f>
        <v>#REF!</v>
      </c>
      <c r="D148" s="6" t="e">
        <f t="shared" ca="1" si="17"/>
        <v>#REF!</v>
      </c>
      <c r="E148" s="6">
        <v>265.89999999999998</v>
      </c>
      <c r="H148" s="2"/>
      <c r="I148"/>
      <c r="R148"/>
      <c r="S148"/>
    </row>
    <row r="149" spans="1:19" x14ac:dyDescent="0.25">
      <c r="A149" s="6">
        <v>11.8</v>
      </c>
      <c r="B149" s="1">
        <f t="shared" si="18"/>
        <v>3.6410995444000005E+20</v>
      </c>
      <c r="C149" s="1" t="e">
        <f ca="1">FORECAST(#REF!, OFFSET(#REF!, MATCH(#REF!,#REF!, 1)-1,0,2), OFFSET(#REF!, MATCH(#REF!,#REF!, 1)-1,0,2))*LCDMTotalBulgeMass</f>
        <v>#REF!</v>
      </c>
      <c r="D149" s="6" t="e">
        <f t="shared" ca="1" si="17"/>
        <v>#REF!</v>
      </c>
      <c r="E149" s="6">
        <v>264.39999999999998</v>
      </c>
      <c r="H149" s="2"/>
      <c r="I149"/>
      <c r="R149"/>
      <c r="S149"/>
    </row>
    <row r="150" spans="1:19" x14ac:dyDescent="0.25">
      <c r="A150" s="6">
        <v>12.18</v>
      </c>
      <c r="B150" s="1">
        <f t="shared" si="18"/>
        <v>3.7583552924399999E+20</v>
      </c>
      <c r="C150" s="1" t="e">
        <f ca="1">FORECAST(#REF!, OFFSET(#REF!, MATCH(#REF!,#REF!, 1)-1,0,2), OFFSET(#REF!, MATCH(#REF!,#REF!, 1)-1,0,2))*LCDMTotalBulgeMass</f>
        <v>#REF!</v>
      </c>
      <c r="D150" s="6" t="e">
        <f t="shared" ca="1" si="17"/>
        <v>#REF!</v>
      </c>
      <c r="E150" s="6">
        <v>264.7</v>
      </c>
      <c r="H150" s="2"/>
      <c r="I150"/>
      <c r="R150"/>
      <c r="S150"/>
    </row>
    <row r="151" spans="1:19" x14ac:dyDescent="0.25">
      <c r="A151" s="6">
        <v>12.56</v>
      </c>
      <c r="B151" s="1">
        <f t="shared" si="18"/>
        <v>3.8756110404800001E+20</v>
      </c>
      <c r="C151" s="1" t="e">
        <f ca="1">FORECAST(#REF!, OFFSET(#REF!, MATCH(#REF!,#REF!, 1)-1,0,2), OFFSET(#REF!, MATCH(#REF!,#REF!, 1)-1,0,2))*LCDMTotalBulgeMass</f>
        <v>#REF!</v>
      </c>
      <c r="D151" s="6" t="e">
        <f t="shared" ca="1" si="17"/>
        <v>#REF!</v>
      </c>
      <c r="E151" s="6">
        <v>265.3</v>
      </c>
      <c r="H151" s="2"/>
      <c r="I151"/>
      <c r="R151"/>
      <c r="S151"/>
    </row>
    <row r="152" spans="1:19" x14ac:dyDescent="0.25">
      <c r="A152" s="6">
        <v>12.94</v>
      </c>
      <c r="B152" s="1">
        <f t="shared" si="18"/>
        <v>3.9928667885199996E+20</v>
      </c>
      <c r="C152" s="1" t="e">
        <f ca="1">FORECAST(#REF!, OFFSET(#REF!, MATCH(#REF!,#REF!, 1)-1,0,2), OFFSET(#REF!, MATCH(#REF!,#REF!, 1)-1,0,2))*LCDMTotalBulgeMass</f>
        <v>#REF!</v>
      </c>
      <c r="D152" s="6" t="e">
        <f t="shared" ca="1" si="17"/>
        <v>#REF!</v>
      </c>
      <c r="E152" s="6">
        <v>265.2</v>
      </c>
      <c r="H152" s="2"/>
      <c r="I152"/>
      <c r="R152"/>
      <c r="S152"/>
    </row>
    <row r="153" spans="1:19" x14ac:dyDescent="0.25">
      <c r="A153" s="6">
        <v>13.32</v>
      </c>
      <c r="B153" s="1">
        <f t="shared" si="18"/>
        <v>4.1101225365600004E+20</v>
      </c>
      <c r="C153" s="1" t="e">
        <f ca="1">FORECAST(#REF!, OFFSET(#REF!, MATCH(#REF!,#REF!, 1)-1,0,2), OFFSET(#REF!, MATCH(#REF!,#REF!, 1)-1,0,2))*LCDMTotalBulgeMass</f>
        <v>#REF!</v>
      </c>
      <c r="D153" s="6" t="e">
        <f t="shared" ca="1" si="17"/>
        <v>#REF!</v>
      </c>
      <c r="E153" s="6">
        <v>262</v>
      </c>
      <c r="H153" s="2"/>
      <c r="I153"/>
      <c r="R153"/>
      <c r="S153"/>
    </row>
    <row r="154" spans="1:19" x14ac:dyDescent="0.25">
      <c r="A154" s="6">
        <v>13.7</v>
      </c>
      <c r="B154" s="1">
        <f t="shared" si="18"/>
        <v>4.2273782845999999E+20</v>
      </c>
      <c r="C154" s="1" t="e">
        <f ca="1">FORECAST(#REF!, OFFSET(#REF!, MATCH(#REF!,#REF!, 1)-1,0,2), OFFSET(#REF!, MATCH(#REF!,#REF!, 1)-1,0,2))*LCDMTotalBulgeMass</f>
        <v>#REF!</v>
      </c>
      <c r="D154" s="6" t="e">
        <f t="shared" ca="1" si="17"/>
        <v>#REF!</v>
      </c>
      <c r="E154" s="6">
        <v>260.8</v>
      </c>
      <c r="H154" s="2"/>
      <c r="I154"/>
      <c r="R154"/>
      <c r="S154"/>
    </row>
    <row r="155" spans="1:19" x14ac:dyDescent="0.25">
      <c r="A155" s="6">
        <v>14.08</v>
      </c>
      <c r="B155" s="1">
        <f t="shared" si="18"/>
        <v>4.34463403264E+20</v>
      </c>
      <c r="C155" s="1" t="e">
        <f ca="1">FORECAST(#REF!, OFFSET(#REF!, MATCH(#REF!,#REF!, 1)-1,0,2), OFFSET(#REF!, MATCH(#REF!,#REF!, 1)-1,0,2))*LCDMTotalBulgeMass</f>
        <v>#REF!</v>
      </c>
      <c r="D155" s="6" t="e">
        <f t="shared" ca="1" si="17"/>
        <v>#REF!</v>
      </c>
      <c r="E155" s="6">
        <v>259.2</v>
      </c>
      <c r="H155" s="2"/>
      <c r="I155"/>
      <c r="R155"/>
      <c r="S155"/>
    </row>
    <row r="156" spans="1:19" x14ac:dyDescent="0.25">
      <c r="A156" s="6">
        <v>14.46</v>
      </c>
      <c r="B156" s="1">
        <f t="shared" si="18"/>
        <v>4.4618897806800001E+20</v>
      </c>
      <c r="C156" s="1" t="e">
        <f ca="1">FORECAST(#REF!, OFFSET(#REF!, MATCH(#REF!,#REF!, 1)-1,0,2), OFFSET(#REF!, MATCH(#REF!,#REF!, 1)-1,0,2))*LCDMTotalBulgeMass</f>
        <v>#REF!</v>
      </c>
      <c r="D156" s="6" t="e">
        <f t="shared" ca="1" si="17"/>
        <v>#REF!</v>
      </c>
      <c r="E156" s="6">
        <v>258.10000000000002</v>
      </c>
      <c r="H156" s="2"/>
      <c r="I156"/>
      <c r="R156"/>
      <c r="S156"/>
    </row>
    <row r="157" spans="1:19" x14ac:dyDescent="0.25">
      <c r="A157" s="6">
        <v>14.84</v>
      </c>
      <c r="B157" s="1">
        <f t="shared" si="18"/>
        <v>4.5791455287199996E+20</v>
      </c>
      <c r="C157" s="1" t="e">
        <f ca="1">FORECAST(#REF!, OFFSET(#REF!, MATCH(#REF!,#REF!, 1)-1,0,2), OFFSET(#REF!, MATCH(#REF!,#REF!, 1)-1,0,2))*LCDMTotalBulgeMass</f>
        <v>#REF!</v>
      </c>
      <c r="D157" s="6" t="e">
        <f t="shared" ca="1" si="17"/>
        <v>#REF!</v>
      </c>
      <c r="E157" s="6">
        <v>258.39999999999998</v>
      </c>
      <c r="H157" s="2"/>
      <c r="I157"/>
      <c r="R157"/>
      <c r="S157"/>
    </row>
    <row r="158" spans="1:19" x14ac:dyDescent="0.25">
      <c r="A158" s="6">
        <v>15.23</v>
      </c>
      <c r="B158" s="1">
        <f t="shared" si="18"/>
        <v>4.6994869543400001E+20</v>
      </c>
      <c r="C158" s="1" t="e">
        <f ca="1">FORECAST(#REF!, OFFSET(#REF!, MATCH(#REF!,#REF!, 1)-1,0,2), OFFSET(#REF!, MATCH(#REF!,#REF!, 1)-1,0,2))*LCDMTotalBulgeMass</f>
        <v>#REF!</v>
      </c>
      <c r="D158" s="6" t="e">
        <f t="shared" ca="1" si="17"/>
        <v>#REF!</v>
      </c>
      <c r="E158" s="6">
        <v>259.2</v>
      </c>
      <c r="H158" s="2"/>
      <c r="I158"/>
      <c r="R158"/>
      <c r="S158"/>
    </row>
    <row r="159" spans="1:19" x14ac:dyDescent="0.25">
      <c r="A159" s="6">
        <v>15.61</v>
      </c>
      <c r="B159" s="1">
        <f t="shared" si="18"/>
        <v>4.8167427023799996E+20</v>
      </c>
      <c r="C159" s="1" t="e">
        <f ca="1">FORECAST(#REF!, OFFSET(#REF!, MATCH(#REF!,#REF!, 1)-1,0,2), OFFSET(#REF!, MATCH(#REF!,#REF!, 1)-1,0,2))*LCDMTotalBulgeMass</f>
        <v>#REF!</v>
      </c>
      <c r="D159" s="6" t="e">
        <f t="shared" ca="1" si="17"/>
        <v>#REF!</v>
      </c>
      <c r="E159" s="6">
        <v>262.7</v>
      </c>
      <c r="H159" s="2"/>
      <c r="I159"/>
      <c r="R159"/>
      <c r="S159"/>
    </row>
    <row r="160" spans="1:19" x14ac:dyDescent="0.25">
      <c r="A160" s="6">
        <v>15.99</v>
      </c>
      <c r="B160" s="1">
        <f t="shared" si="18"/>
        <v>4.9339984504200004E+20</v>
      </c>
      <c r="C160" s="1" t="e">
        <f ca="1">FORECAST(#REF!, OFFSET(#REF!, MATCH(#REF!,#REF!, 1)-1,0,2), OFFSET(#REF!, MATCH(#REF!,#REF!, 1)-1,0,2))*LCDMTotalBulgeMass</f>
        <v>#REF!</v>
      </c>
      <c r="D160" s="6" t="e">
        <f t="shared" ca="1" si="17"/>
        <v>#REF!</v>
      </c>
      <c r="E160" s="6">
        <v>266.10000000000002</v>
      </c>
      <c r="H160" s="2"/>
      <c r="I160"/>
      <c r="R160"/>
      <c r="S160"/>
    </row>
    <row r="161" spans="1:19" x14ac:dyDescent="0.25">
      <c r="A161" s="6">
        <v>16.37</v>
      </c>
      <c r="B161" s="1">
        <f t="shared" si="18"/>
        <v>5.0512541984600005E+20</v>
      </c>
      <c r="C161" s="1" t="e">
        <f ca="1">FORECAST(#REF!, OFFSET(#REF!, MATCH(#REF!,#REF!, 1)-1,0,2), OFFSET(#REF!, MATCH(#REF!,#REF!, 1)-1,0,2))*LCDMTotalBulgeMass</f>
        <v>#REF!</v>
      </c>
      <c r="D161" s="6" t="e">
        <f t="shared" ca="1" si="17"/>
        <v>#REF!</v>
      </c>
      <c r="E161" s="6">
        <v>270</v>
      </c>
      <c r="H161" s="2"/>
      <c r="I161"/>
      <c r="R161"/>
      <c r="S161"/>
    </row>
    <row r="162" spans="1:19" x14ac:dyDescent="0.25">
      <c r="A162" s="6">
        <v>16.75</v>
      </c>
      <c r="B162" s="1">
        <f t="shared" si="18"/>
        <v>5.1685099465E+20</v>
      </c>
      <c r="C162" s="1" t="e">
        <f ca="1">FORECAST(#REF!, OFFSET(#REF!, MATCH(#REF!,#REF!, 1)-1,0,2), OFFSET(#REF!, MATCH(#REF!,#REF!, 1)-1,0,2))*LCDMTotalBulgeMass</f>
        <v>#REF!</v>
      </c>
      <c r="D162" s="6" t="e">
        <f t="shared" ca="1" si="17"/>
        <v>#REF!</v>
      </c>
      <c r="E162" s="6">
        <v>269.8</v>
      </c>
      <c r="H162" s="2"/>
      <c r="I162"/>
      <c r="R162"/>
      <c r="S162"/>
    </row>
    <row r="163" spans="1:19" x14ac:dyDescent="0.25">
      <c r="A163" s="6">
        <v>17.13</v>
      </c>
      <c r="B163" s="1">
        <f t="shared" si="18"/>
        <v>5.2857656945399995E+20</v>
      </c>
      <c r="C163" s="1" t="e">
        <f ca="1">FORECAST(#REF!, OFFSET(#REF!, MATCH(#REF!,#REF!, 1)-1,0,2), OFFSET(#REF!, MATCH(#REF!,#REF!, 1)-1,0,2))*LCDMTotalBulgeMass</f>
        <v>#REF!</v>
      </c>
      <c r="D163" s="6" t="e">
        <f t="shared" ca="1" si="17"/>
        <v>#REF!</v>
      </c>
      <c r="E163" s="6">
        <v>269.10000000000002</v>
      </c>
      <c r="H163" s="2"/>
      <c r="I163"/>
      <c r="R163"/>
      <c r="S163"/>
    </row>
    <row r="164" spans="1:19" x14ac:dyDescent="0.25">
      <c r="A164" s="6">
        <v>17.510000000000002</v>
      </c>
      <c r="B164" s="1">
        <f t="shared" si="18"/>
        <v>5.4030214425800003E+20</v>
      </c>
      <c r="C164" s="1" t="e">
        <f ca="1">FORECAST(#REF!, OFFSET(#REF!, MATCH(#REF!,#REF!, 1)-1,0,2), OFFSET(#REF!, MATCH(#REF!,#REF!, 1)-1,0,2))*LCDMTotalBulgeMass</f>
        <v>#REF!</v>
      </c>
      <c r="D164" s="6" t="e">
        <f t="shared" ca="1" si="17"/>
        <v>#REF!</v>
      </c>
      <c r="E164" s="6">
        <v>268.5</v>
      </c>
      <c r="H164" s="2"/>
      <c r="I164"/>
      <c r="R164"/>
      <c r="S164"/>
    </row>
    <row r="165" spans="1:19" x14ac:dyDescent="0.25">
      <c r="A165" s="6">
        <v>17.89</v>
      </c>
      <c r="B165" s="1">
        <f t="shared" si="18"/>
        <v>5.5202771906200004E+20</v>
      </c>
      <c r="C165" s="1" t="e">
        <f ca="1">FORECAST(#REF!, OFFSET(#REF!, MATCH(#REF!,#REF!, 1)-1,0,2), OFFSET(#REF!, MATCH(#REF!,#REF!, 1)-1,0,2))*LCDMTotalBulgeMass</f>
        <v>#REF!</v>
      </c>
      <c r="D165" s="6" t="e">
        <f t="shared" ca="1" si="17"/>
        <v>#REF!</v>
      </c>
      <c r="E165" s="6">
        <v>263</v>
      </c>
      <c r="H165" s="2"/>
      <c r="I165"/>
      <c r="R165"/>
      <c r="S165"/>
    </row>
    <row r="166" spans="1:19" x14ac:dyDescent="0.25">
      <c r="A166" s="6">
        <v>18.27</v>
      </c>
      <c r="B166" s="1">
        <f t="shared" si="18"/>
        <v>5.6375329386599999E+20</v>
      </c>
      <c r="C166" s="1" t="e">
        <f ca="1">FORECAST(#REF!, OFFSET(#REF!, MATCH(#REF!,#REF!, 1)-1,0,2), OFFSET(#REF!, MATCH(#REF!,#REF!, 1)-1,0,2))*LCDMTotalBulgeMass</f>
        <v>#REF!</v>
      </c>
      <c r="D166" s="6" t="e">
        <f t="shared" ca="1" si="17"/>
        <v>#REF!</v>
      </c>
      <c r="E166" s="6">
        <v>257.10000000000002</v>
      </c>
      <c r="H166" s="2"/>
      <c r="I166"/>
      <c r="R166"/>
      <c r="S166"/>
    </row>
    <row r="167" spans="1:19" x14ac:dyDescent="0.25">
      <c r="A167" s="6">
        <v>18.649999999999999</v>
      </c>
      <c r="B167" s="1">
        <f t="shared" si="18"/>
        <v>5.7547886866999994E+20</v>
      </c>
      <c r="C167" s="1" t="e">
        <f ca="1">FORECAST(#REF!, OFFSET(#REF!, MATCH(#REF!,#REF!, 1)-1,0,2), OFFSET(#REF!, MATCH(#REF!,#REF!, 1)-1,0,2))*LCDMTotalBulgeMass</f>
        <v>#REF!</v>
      </c>
      <c r="D167" s="6" t="e">
        <f t="shared" ca="1" si="17"/>
        <v>#REF!</v>
      </c>
      <c r="E167" s="6">
        <v>254.1</v>
      </c>
      <c r="H167" s="2"/>
      <c r="I167"/>
      <c r="R167"/>
      <c r="S167"/>
    </row>
    <row r="168" spans="1:19" x14ac:dyDescent="0.25">
      <c r="A168" s="6">
        <v>19.03</v>
      </c>
      <c r="B168" s="1">
        <f t="shared" si="18"/>
        <v>5.8720444347400002E+20</v>
      </c>
      <c r="C168" s="1" t="e">
        <f ca="1">FORECAST(#REF!, OFFSET(#REF!, MATCH(#REF!,#REF!, 1)-1,0,2), OFFSET(#REF!, MATCH(#REF!,#REF!, 1)-1,0,2))*LCDMTotalBulgeMass</f>
        <v>#REF!</v>
      </c>
      <c r="D168" s="6" t="e">
        <f t="shared" ca="1" si="17"/>
        <v>#REF!</v>
      </c>
      <c r="E168" s="6">
        <v>251.9</v>
      </c>
      <c r="H168" s="2"/>
      <c r="I168"/>
      <c r="R168"/>
      <c r="S168"/>
    </row>
    <row r="169" spans="1:19" x14ac:dyDescent="0.25">
      <c r="A169" s="6">
        <v>19.41</v>
      </c>
      <c r="B169" s="1">
        <f t="shared" si="18"/>
        <v>5.9893001827800003E+20</v>
      </c>
      <c r="C169" s="1" t="e">
        <f ca="1">FORECAST(#REF!, OFFSET(#REF!, MATCH(#REF!,#REF!, 1)-1,0,2), OFFSET(#REF!, MATCH(#REF!,#REF!, 1)-1,0,2))*LCDMTotalBulgeMass</f>
        <v>#REF!</v>
      </c>
      <c r="D169" s="6" t="e">
        <f t="shared" ca="1" si="17"/>
        <v>#REF!</v>
      </c>
      <c r="E169" s="6">
        <v>249.5</v>
      </c>
      <c r="H169" s="2"/>
      <c r="I169"/>
      <c r="R169"/>
      <c r="S169"/>
    </row>
    <row r="170" spans="1:19" x14ac:dyDescent="0.25">
      <c r="A170" s="6">
        <v>19.79</v>
      </c>
      <c r="B170" s="1">
        <f t="shared" si="18"/>
        <v>6.1065559308199998E+20</v>
      </c>
      <c r="C170" s="1" t="e">
        <f ca="1">FORECAST(#REF!, OFFSET(#REF!, MATCH(#REF!,#REF!, 1)-1,0,2), OFFSET(#REF!, MATCH(#REF!,#REF!, 1)-1,0,2))*LCDMTotalBulgeMass</f>
        <v>#REF!</v>
      </c>
      <c r="D170" s="6" t="e">
        <f t="shared" ca="1" si="17"/>
        <v>#REF!</v>
      </c>
      <c r="E170" s="6">
        <v>245.7</v>
      </c>
      <c r="H170" s="2"/>
      <c r="I170"/>
      <c r="R170"/>
      <c r="S170"/>
    </row>
    <row r="171" spans="1:19" x14ac:dyDescent="0.25">
      <c r="A171" s="6">
        <v>20.18</v>
      </c>
      <c r="B171" s="1">
        <f t="shared" si="18"/>
        <v>6.2268973564400003E+20</v>
      </c>
      <c r="C171" s="1" t="e">
        <f ca="1">FORECAST(#REF!, OFFSET(#REF!, MATCH(#REF!,#REF!, 1)-1,0,2), OFFSET(#REF!, MATCH(#REF!,#REF!, 1)-1,0,2))*LCDMTotalBulgeMass</f>
        <v>#REF!</v>
      </c>
      <c r="D171" s="6" t="e">
        <f t="shared" ca="1" si="17"/>
        <v>#REF!</v>
      </c>
      <c r="E171" s="6">
        <v>243.7</v>
      </c>
      <c r="H171" s="2"/>
      <c r="I171"/>
      <c r="R171"/>
      <c r="S171"/>
    </row>
    <row r="172" spans="1:19" x14ac:dyDescent="0.25">
      <c r="A172" s="6">
        <v>20.56</v>
      </c>
      <c r="B172" s="1">
        <f t="shared" si="18"/>
        <v>6.3441531044799998E+20</v>
      </c>
      <c r="C172" s="1" t="e">
        <f ca="1">FORECAST(#REF!, OFFSET(#REF!, MATCH(#REF!,#REF!, 1)-1,0,2), OFFSET(#REF!, MATCH(#REF!,#REF!, 1)-1,0,2))*LCDMTotalBulgeMass</f>
        <v>#REF!</v>
      </c>
      <c r="D172" s="6" t="e">
        <f t="shared" ca="1" si="17"/>
        <v>#REF!</v>
      </c>
      <c r="E172" s="6">
        <v>245.9</v>
      </c>
      <c r="H172" s="2"/>
      <c r="I172"/>
      <c r="R172"/>
      <c r="S172"/>
    </row>
    <row r="173" spans="1:19" x14ac:dyDescent="0.25">
      <c r="A173" s="6">
        <v>20.94</v>
      </c>
      <c r="B173" s="1">
        <f t="shared" si="18"/>
        <v>6.4614088525200006E+20</v>
      </c>
      <c r="C173" s="1" t="e">
        <f ca="1">FORECAST(#REF!, OFFSET(#REF!, MATCH(#REF!,#REF!, 1)-1,0,2), OFFSET(#REF!, MATCH(#REF!,#REF!, 1)-1,0,2))*LCDMTotalBulgeMass</f>
        <v>#REF!</v>
      </c>
      <c r="D173" s="6" t="e">
        <f t="shared" ca="1" si="17"/>
        <v>#REF!</v>
      </c>
      <c r="E173" s="6">
        <v>242.3</v>
      </c>
      <c r="H173" s="2"/>
      <c r="I173"/>
      <c r="R173"/>
      <c r="S173"/>
    </row>
    <row r="174" spans="1:19" x14ac:dyDescent="0.25">
      <c r="A174" s="6">
        <v>21.32</v>
      </c>
      <c r="B174" s="1">
        <f t="shared" si="18"/>
        <v>6.57866460056E+20</v>
      </c>
      <c r="C174" s="1" t="e">
        <f ca="1">FORECAST(#REF!, OFFSET(#REF!, MATCH(#REF!,#REF!, 1)-1,0,2), OFFSET(#REF!, MATCH(#REF!,#REF!, 1)-1,0,2))*LCDMTotalBulgeMass</f>
        <v>#REF!</v>
      </c>
      <c r="D174" s="6" t="e">
        <f t="shared" ca="1" si="17"/>
        <v>#REF!</v>
      </c>
      <c r="E174" s="6">
        <v>239.2</v>
      </c>
      <c r="H174" s="2"/>
      <c r="I174"/>
      <c r="R174"/>
      <c r="S174"/>
    </row>
    <row r="175" spans="1:19" x14ac:dyDescent="0.25">
      <c r="A175" s="6">
        <v>21.7</v>
      </c>
      <c r="B175" s="1">
        <f t="shared" si="18"/>
        <v>6.6959203485999995E+20</v>
      </c>
      <c r="C175" s="1" t="e">
        <f ca="1">FORECAST(#REF!, OFFSET(#REF!, MATCH(#REF!,#REF!, 1)-1,0,2), OFFSET(#REF!, MATCH(#REF!,#REF!, 1)-1,0,2))*LCDMTotalBulgeMass</f>
        <v>#REF!</v>
      </c>
      <c r="D175" s="6" t="e">
        <f t="shared" ca="1" si="17"/>
        <v>#REF!</v>
      </c>
      <c r="E175" s="6">
        <v>239.5</v>
      </c>
      <c r="H175" s="2"/>
      <c r="I175"/>
      <c r="R175"/>
      <c r="S175"/>
    </row>
    <row r="176" spans="1:19" x14ac:dyDescent="0.25">
      <c r="A176" s="6">
        <v>22.08</v>
      </c>
      <c r="B176" s="1">
        <f t="shared" si="18"/>
        <v>6.813176096639999E+20</v>
      </c>
      <c r="C176" s="1" t="e">
        <f ca="1">FORECAST(#REF!, OFFSET(#REF!, MATCH(#REF!,#REF!, 1)-1,0,2), OFFSET(#REF!, MATCH(#REF!,#REF!, 1)-1,0,2))*LCDMTotalBulgeMass</f>
        <v>#REF!</v>
      </c>
      <c r="D176" s="6" t="e">
        <f t="shared" ca="1" si="17"/>
        <v>#REF!</v>
      </c>
      <c r="E176" s="6">
        <v>236.1</v>
      </c>
      <c r="H176" s="2"/>
      <c r="I176"/>
      <c r="R176"/>
      <c r="S176"/>
    </row>
    <row r="177" spans="1:19" x14ac:dyDescent="0.25">
      <c r="A177" s="6">
        <v>22.46</v>
      </c>
      <c r="B177" s="1">
        <f t="shared" si="18"/>
        <v>6.9304318446799998E+20</v>
      </c>
      <c r="C177" s="1" t="e">
        <f ca="1">FORECAST(#REF!, OFFSET(#REF!, MATCH(#REF!,#REF!, 1)-1,0,2), OFFSET(#REF!, MATCH(#REF!,#REF!, 1)-1,0,2))*LCDMTotalBulgeMass</f>
        <v>#REF!</v>
      </c>
      <c r="D177" s="6" t="e">
        <f t="shared" ca="1" si="17"/>
        <v>#REF!</v>
      </c>
      <c r="E177" s="6">
        <v>233.8</v>
      </c>
      <c r="H177" s="2"/>
      <c r="I177"/>
      <c r="R177"/>
      <c r="S177"/>
    </row>
    <row r="178" spans="1:19" x14ac:dyDescent="0.25">
      <c r="A178" s="6">
        <v>22.84</v>
      </c>
      <c r="B178" s="1">
        <f t="shared" si="18"/>
        <v>7.0476875927199993E+20</v>
      </c>
      <c r="C178" s="1" t="e">
        <f ca="1">FORECAST(#REF!, OFFSET(#REF!, MATCH(#REF!,#REF!, 1)-1,0,2), OFFSET(#REF!, MATCH(#REF!,#REF!, 1)-1,0,2))*LCDMTotalBulgeMass</f>
        <v>#REF!</v>
      </c>
      <c r="D178" s="6" t="e">
        <f t="shared" ca="1" si="17"/>
        <v>#REF!</v>
      </c>
      <c r="E178" s="6">
        <v>233.1</v>
      </c>
      <c r="H178" s="2"/>
      <c r="I178"/>
      <c r="R178"/>
      <c r="S178"/>
    </row>
    <row r="179" spans="1:19" x14ac:dyDescent="0.25">
      <c r="A179" s="6">
        <v>23.22</v>
      </c>
      <c r="B179" s="1">
        <f t="shared" si="18"/>
        <v>7.1649433407600001E+20</v>
      </c>
      <c r="C179" s="1" t="e">
        <f ca="1">FORECAST(#REF!, OFFSET(#REF!, MATCH(#REF!,#REF!, 1)-1,0,2), OFFSET(#REF!, MATCH(#REF!,#REF!, 1)-1,0,2))*LCDMTotalBulgeMass</f>
        <v>#REF!</v>
      </c>
      <c r="D179" s="6" t="e">
        <f t="shared" ca="1" si="17"/>
        <v>#REF!</v>
      </c>
      <c r="E179" s="6">
        <v>230.1</v>
      </c>
      <c r="H179" s="2"/>
      <c r="I179"/>
      <c r="R179"/>
      <c r="S179"/>
    </row>
    <row r="180" spans="1:19" x14ac:dyDescent="0.25">
      <c r="A180" s="6">
        <v>23.6</v>
      </c>
      <c r="B180" s="1">
        <f t="shared" si="18"/>
        <v>7.2821990888000009E+20</v>
      </c>
      <c r="C180" s="1" t="e">
        <f ca="1">FORECAST(#REF!, OFFSET(#REF!, MATCH(#REF!,#REF!, 1)-1,0,2), OFFSET(#REF!, MATCH(#REF!,#REF!, 1)-1,0,2))*LCDMTotalBulgeMass</f>
        <v>#REF!</v>
      </c>
      <c r="D180" s="6" t="e">
        <f t="shared" ca="1" si="17"/>
        <v>#REF!</v>
      </c>
      <c r="E180" s="6">
        <v>232.1</v>
      </c>
      <c r="H180" s="2"/>
      <c r="I180"/>
      <c r="R180"/>
      <c r="S180"/>
    </row>
    <row r="181" spans="1:19" x14ac:dyDescent="0.25">
      <c r="A181" s="6">
        <v>23.98</v>
      </c>
      <c r="B181" s="1">
        <f t="shared" si="18"/>
        <v>7.3994548368400004E+20</v>
      </c>
      <c r="C181" s="1" t="e">
        <f ca="1">FORECAST(#REF!, OFFSET(#REF!, MATCH(#REF!,#REF!, 1)-1,0,2), OFFSET(#REF!, MATCH(#REF!,#REF!, 1)-1,0,2))*LCDMTotalBulgeMass</f>
        <v>#REF!</v>
      </c>
      <c r="D181" s="6" t="e">
        <f t="shared" ca="1" si="17"/>
        <v>#REF!</v>
      </c>
      <c r="E181" s="6">
        <v>228.7</v>
      </c>
      <c r="H181" s="2"/>
      <c r="I181"/>
      <c r="R181"/>
      <c r="S181"/>
    </row>
    <row r="182" spans="1:19" x14ac:dyDescent="0.25">
      <c r="A182" s="6">
        <v>24.36</v>
      </c>
      <c r="B182" s="1">
        <f t="shared" si="18"/>
        <v>7.5167105848799999E+20</v>
      </c>
      <c r="C182" s="1" t="e">
        <f ca="1">FORECAST(#REF!, OFFSET(#REF!, MATCH(#REF!,#REF!, 1)-1,0,2), OFFSET(#REF!, MATCH(#REF!,#REF!, 1)-1,0,2))*LCDMTotalBulgeMass</f>
        <v>#REF!</v>
      </c>
      <c r="D182" s="6" t="e">
        <f t="shared" ca="1" si="17"/>
        <v>#REF!</v>
      </c>
      <c r="E182" s="6">
        <v>229.1</v>
      </c>
      <c r="H182" s="2"/>
      <c r="I182"/>
      <c r="R182"/>
      <c r="S182"/>
    </row>
    <row r="183" spans="1:19" x14ac:dyDescent="0.25">
      <c r="A183" s="6">
        <v>24.75</v>
      </c>
      <c r="B183" s="1">
        <f t="shared" si="18"/>
        <v>7.6370520105000003E+20</v>
      </c>
      <c r="C183" s="1" t="e">
        <f ca="1">FORECAST(#REF!, OFFSET(#REF!, MATCH(#REF!,#REF!, 1)-1,0,2), OFFSET(#REF!, MATCH(#REF!,#REF!, 1)-1,0,2))*LCDMTotalBulgeMass</f>
        <v>#REF!</v>
      </c>
      <c r="D183" s="6" t="e">
        <f t="shared" ca="1" si="17"/>
        <v>#REF!</v>
      </c>
      <c r="E183" s="6">
        <v>227.9</v>
      </c>
      <c r="H183" s="2"/>
      <c r="I183"/>
      <c r="R183"/>
      <c r="S183"/>
    </row>
    <row r="184" spans="1:19" x14ac:dyDescent="0.25">
      <c r="A184" s="6">
        <v>25.13</v>
      </c>
      <c r="B184" s="1">
        <f t="shared" si="18"/>
        <v>7.7543077585399998E+20</v>
      </c>
      <c r="C184" s="1" t="e">
        <f ca="1">FORECAST(#REF!, OFFSET(#REF!, MATCH(#REF!,#REF!, 1)-1,0,2), OFFSET(#REF!, MATCH(#REF!,#REF!, 1)-1,0,2))*LCDMTotalBulgeMass</f>
        <v>#REF!</v>
      </c>
      <c r="D184" s="6" t="e">
        <f t="shared" ca="1" si="17"/>
        <v>#REF!</v>
      </c>
      <c r="E184" s="6">
        <v>226.9</v>
      </c>
      <c r="H184" s="2"/>
      <c r="I184"/>
      <c r="R184"/>
      <c r="S184"/>
    </row>
    <row r="185" spans="1:19" x14ac:dyDescent="0.25">
      <c r="A185" s="6">
        <v>25.51</v>
      </c>
      <c r="B185" s="1">
        <f t="shared" si="18"/>
        <v>7.8715635065800006E+20</v>
      </c>
      <c r="C185" s="1" t="e">
        <f ca="1">FORECAST(#REF!, OFFSET(#REF!, MATCH(#REF!,#REF!, 1)-1,0,2), OFFSET(#REF!, MATCH(#REF!,#REF!, 1)-1,0,2))*LCDMTotalBulgeMass</f>
        <v>#REF!</v>
      </c>
      <c r="D185" s="6" t="e">
        <f t="shared" ref="D185:D218" ca="1" si="19">_xlfn.SINGLE(BulgeMass)+_xlfn.SINGLE(DiskMass)+_xlfn.SINGLE(HaloMass)</f>
        <v>#REF!</v>
      </c>
      <c r="E185" s="6">
        <v>225.1</v>
      </c>
      <c r="H185" s="2"/>
      <c r="I185"/>
      <c r="R185"/>
      <c r="S185"/>
    </row>
    <row r="186" spans="1:19" x14ac:dyDescent="0.25">
      <c r="A186" s="6">
        <v>25.89</v>
      </c>
      <c r="B186" s="1">
        <f t="shared" ref="B186:B218" si="20">A186*kpc</f>
        <v>7.9888192546200001E+20</v>
      </c>
      <c r="C186" s="1" t="e">
        <f ca="1">FORECAST(#REF!, OFFSET(#REF!, MATCH(#REF!,#REF!, 1)-1,0,2), OFFSET(#REF!, MATCH(#REF!,#REF!, 1)-1,0,2))*LCDMTotalBulgeMass</f>
        <v>#REF!</v>
      </c>
      <c r="D186" s="6" t="e">
        <f t="shared" ca="1" si="19"/>
        <v>#REF!</v>
      </c>
      <c r="E186" s="6">
        <v>225.4</v>
      </c>
      <c r="H186" s="2"/>
      <c r="I186"/>
      <c r="R186"/>
      <c r="S186"/>
    </row>
    <row r="187" spans="1:19" x14ac:dyDescent="0.25">
      <c r="A187" s="6">
        <v>26.27</v>
      </c>
      <c r="B187" s="1">
        <f t="shared" si="20"/>
        <v>8.1060750026599996E+20</v>
      </c>
      <c r="C187" s="1" t="e">
        <f ca="1">FORECAST(#REF!, OFFSET(#REF!, MATCH(#REF!,#REF!, 1)-1,0,2), OFFSET(#REF!, MATCH(#REF!,#REF!, 1)-1,0,2))*LCDMTotalBulgeMass</f>
        <v>#REF!</v>
      </c>
      <c r="D187" s="6" t="e">
        <f t="shared" ca="1" si="19"/>
        <v>#REF!</v>
      </c>
      <c r="E187" s="6">
        <v>230.3</v>
      </c>
      <c r="H187" s="2"/>
      <c r="I187"/>
      <c r="R187"/>
      <c r="S187"/>
    </row>
    <row r="188" spans="1:19" x14ac:dyDescent="0.25">
      <c r="A188" s="6">
        <v>26.65</v>
      </c>
      <c r="B188" s="1">
        <f t="shared" si="20"/>
        <v>8.2233307506999991E+20</v>
      </c>
      <c r="C188" s="1" t="e">
        <f ca="1">FORECAST(#REF!, OFFSET(#REF!, MATCH(#REF!,#REF!, 1)-1,0,2), OFFSET(#REF!, MATCH(#REF!,#REF!, 1)-1,0,2))*LCDMTotalBulgeMass</f>
        <v>#REF!</v>
      </c>
      <c r="D188" s="6" t="e">
        <f t="shared" ca="1" si="19"/>
        <v>#REF!</v>
      </c>
      <c r="E188" s="6">
        <v>229</v>
      </c>
      <c r="H188" s="2"/>
      <c r="I188"/>
      <c r="R188"/>
      <c r="S188"/>
    </row>
    <row r="189" spans="1:19" x14ac:dyDescent="0.25">
      <c r="A189" s="6">
        <v>27.03</v>
      </c>
      <c r="B189" s="1">
        <f t="shared" si="20"/>
        <v>8.3405864987399999E+20</v>
      </c>
      <c r="C189" s="1" t="e">
        <f ca="1">FORECAST(#REF!, OFFSET(#REF!, MATCH(#REF!,#REF!, 1)-1,0,2), OFFSET(#REF!, MATCH(#REF!,#REF!, 1)-1,0,2))*LCDMTotalBulgeMass</f>
        <v>#REF!</v>
      </c>
      <c r="D189" s="6" t="e">
        <f t="shared" ca="1" si="19"/>
        <v>#REF!</v>
      </c>
      <c r="E189" s="6">
        <v>229.9</v>
      </c>
      <c r="H189" s="2"/>
      <c r="I189"/>
      <c r="R189"/>
      <c r="S189"/>
    </row>
    <row r="190" spans="1:19" x14ac:dyDescent="0.25">
      <c r="A190" s="6">
        <v>27.41</v>
      </c>
      <c r="B190" s="1">
        <f t="shared" si="20"/>
        <v>8.4578422467800007E+20</v>
      </c>
      <c r="C190" s="1" t="e">
        <f ca="1">FORECAST(#REF!, OFFSET(#REF!, MATCH(#REF!,#REF!, 1)-1,0,2), OFFSET(#REF!, MATCH(#REF!,#REF!, 1)-1,0,2))*LCDMTotalBulgeMass</f>
        <v>#REF!</v>
      </c>
      <c r="D190" s="6" t="e">
        <f t="shared" ca="1" si="19"/>
        <v>#REF!</v>
      </c>
      <c r="E190" s="6">
        <v>230.1</v>
      </c>
      <c r="H190" s="2"/>
      <c r="I190"/>
      <c r="R190"/>
      <c r="S190"/>
    </row>
    <row r="191" spans="1:19" x14ac:dyDescent="0.25">
      <c r="A191" s="6">
        <v>27.79</v>
      </c>
      <c r="B191" s="1">
        <f t="shared" si="20"/>
        <v>8.5750979948200002E+20</v>
      </c>
      <c r="C191" s="1" t="e">
        <f ca="1">FORECAST(#REF!, OFFSET(#REF!, MATCH(#REF!,#REF!, 1)-1,0,2), OFFSET(#REF!, MATCH(#REF!,#REF!, 1)-1,0,2))*LCDMTotalBulgeMass</f>
        <v>#REF!</v>
      </c>
      <c r="D191" s="6" t="e">
        <f t="shared" ca="1" si="19"/>
        <v>#REF!</v>
      </c>
      <c r="E191" s="6">
        <v>229.8</v>
      </c>
      <c r="H191" s="2"/>
      <c r="I191"/>
      <c r="R191"/>
      <c r="S191"/>
    </row>
    <row r="192" spans="1:19" x14ac:dyDescent="0.25">
      <c r="A192" s="6">
        <v>28.17</v>
      </c>
      <c r="B192" s="1">
        <f t="shared" si="20"/>
        <v>8.692353742860001E+20</v>
      </c>
      <c r="C192" s="1" t="e">
        <f ca="1">FORECAST(#REF!, OFFSET(#REF!, MATCH(#REF!,#REF!, 1)-1,0,2), OFFSET(#REF!, MATCH(#REF!,#REF!, 1)-1,0,2))*LCDMTotalBulgeMass</f>
        <v>#REF!</v>
      </c>
      <c r="D192" s="6" t="e">
        <f t="shared" ca="1" si="19"/>
        <v>#REF!</v>
      </c>
      <c r="E192" s="6">
        <v>230.4</v>
      </c>
      <c r="H192" s="2"/>
      <c r="I192"/>
      <c r="R192"/>
      <c r="S192"/>
    </row>
    <row r="193" spans="1:19" x14ac:dyDescent="0.25">
      <c r="A193" s="6">
        <v>28.56</v>
      </c>
      <c r="B193" s="1">
        <f t="shared" si="20"/>
        <v>8.8126951684800001E+20</v>
      </c>
      <c r="C193" s="1" t="e">
        <f ca="1">FORECAST(#REF!, OFFSET(#REF!, MATCH(#REF!,#REF!, 1)-1,0,2), OFFSET(#REF!, MATCH(#REF!,#REF!, 1)-1,0,2))*LCDMTotalBulgeMass</f>
        <v>#REF!</v>
      </c>
      <c r="D193" s="6" t="e">
        <f t="shared" ca="1" si="19"/>
        <v>#REF!</v>
      </c>
      <c r="E193" s="6">
        <v>230.9</v>
      </c>
      <c r="H193" s="2"/>
      <c r="I193"/>
      <c r="R193"/>
      <c r="S193"/>
    </row>
    <row r="194" spans="1:19" x14ac:dyDescent="0.25">
      <c r="A194" s="6">
        <v>28.94</v>
      </c>
      <c r="B194" s="1">
        <f t="shared" si="20"/>
        <v>8.9299509165200009E+20</v>
      </c>
      <c r="C194" s="1" t="e">
        <f ca="1">FORECAST(#REF!, OFFSET(#REF!, MATCH(#REF!,#REF!, 1)-1,0,2), OFFSET(#REF!, MATCH(#REF!,#REF!, 1)-1,0,2))*LCDMTotalBulgeMass</f>
        <v>#REF!</v>
      </c>
      <c r="D194" s="6" t="e">
        <f t="shared" ca="1" si="19"/>
        <v>#REF!</v>
      </c>
      <c r="E194" s="6">
        <v>229.8</v>
      </c>
      <c r="H194" s="2"/>
      <c r="I194"/>
      <c r="R194"/>
      <c r="S194"/>
    </row>
    <row r="195" spans="1:19" x14ac:dyDescent="0.25">
      <c r="A195" s="6">
        <v>29.32</v>
      </c>
      <c r="B195" s="1">
        <f t="shared" si="20"/>
        <v>9.0472066645600004E+20</v>
      </c>
      <c r="C195" s="1" t="e">
        <f ca="1">FORECAST(#REF!, OFFSET(#REF!, MATCH(#REF!,#REF!, 1)-1,0,2), OFFSET(#REF!, MATCH(#REF!,#REF!, 1)-1,0,2))*LCDMTotalBulgeMass</f>
        <v>#REF!</v>
      </c>
      <c r="D195" s="6" t="e">
        <f t="shared" ca="1" si="19"/>
        <v>#REF!</v>
      </c>
      <c r="E195" s="6">
        <v>228.8</v>
      </c>
      <c r="H195" s="2"/>
      <c r="I195"/>
      <c r="R195"/>
      <c r="S195"/>
    </row>
    <row r="196" spans="1:19" x14ac:dyDescent="0.25">
      <c r="A196" s="6">
        <v>29.7</v>
      </c>
      <c r="B196" s="1">
        <f t="shared" si="20"/>
        <v>9.1644624125999999E+20</v>
      </c>
      <c r="C196" s="1" t="e">
        <f ca="1">FORECAST(#REF!, OFFSET(#REF!, MATCH(#REF!,#REF!, 1)-1,0,2), OFFSET(#REF!, MATCH(#REF!,#REF!, 1)-1,0,2))*LCDMTotalBulgeMass</f>
        <v>#REF!</v>
      </c>
      <c r="D196" s="6" t="e">
        <f t="shared" ca="1" si="19"/>
        <v>#REF!</v>
      </c>
      <c r="E196" s="6">
        <v>238.3</v>
      </c>
      <c r="H196" s="2"/>
      <c r="I196"/>
      <c r="R196"/>
      <c r="S196"/>
    </row>
    <row r="197" spans="1:19" x14ac:dyDescent="0.25">
      <c r="A197" s="6">
        <v>30.08</v>
      </c>
      <c r="B197" s="1">
        <f t="shared" si="20"/>
        <v>9.2817181606399993E+20</v>
      </c>
      <c r="C197" s="1" t="e">
        <f ca="1">FORECAST(#REF!, OFFSET(#REF!, MATCH(#REF!,#REF!, 1)-1,0,2), OFFSET(#REF!, MATCH(#REF!,#REF!, 1)-1,0,2))*LCDMTotalBulgeMass</f>
        <v>#REF!</v>
      </c>
      <c r="D197" s="6" t="e">
        <f t="shared" ca="1" si="19"/>
        <v>#REF!</v>
      </c>
      <c r="E197" s="6">
        <v>243.6</v>
      </c>
      <c r="H197" s="2"/>
      <c r="I197"/>
      <c r="R197"/>
      <c r="S197"/>
    </row>
    <row r="198" spans="1:19" x14ac:dyDescent="0.25">
      <c r="A198" s="6">
        <v>30.46</v>
      </c>
      <c r="B198" s="1">
        <f t="shared" si="20"/>
        <v>9.3989739086800001E+20</v>
      </c>
      <c r="C198" s="1" t="e">
        <f ca="1">FORECAST(#REF!, OFFSET(#REF!, MATCH(#REF!,#REF!, 1)-1,0,2), OFFSET(#REF!, MATCH(#REF!,#REF!, 1)-1,0,2))*LCDMTotalBulgeMass</f>
        <v>#REF!</v>
      </c>
      <c r="D198" s="6" t="e">
        <f t="shared" ca="1" si="19"/>
        <v>#REF!</v>
      </c>
      <c r="E198" s="6">
        <v>247.3</v>
      </c>
      <c r="H198" s="2"/>
      <c r="I198"/>
      <c r="R198"/>
      <c r="S198"/>
    </row>
    <row r="199" spans="1:19" x14ac:dyDescent="0.25">
      <c r="A199" s="6">
        <v>30.84</v>
      </c>
      <c r="B199" s="1">
        <f t="shared" si="20"/>
        <v>9.5162296567199996E+20</v>
      </c>
      <c r="C199" s="1" t="e">
        <f ca="1">FORECAST(#REF!, OFFSET(#REF!, MATCH(#REF!,#REF!, 1)-1,0,2), OFFSET(#REF!, MATCH(#REF!,#REF!, 1)-1,0,2))*LCDMTotalBulgeMass</f>
        <v>#REF!</v>
      </c>
      <c r="D199" s="6" t="e">
        <f t="shared" ca="1" si="19"/>
        <v>#REF!</v>
      </c>
      <c r="E199" s="6">
        <v>247.8</v>
      </c>
      <c r="H199" s="2"/>
      <c r="I199"/>
      <c r="R199"/>
      <c r="S199"/>
    </row>
    <row r="200" spans="1:19" x14ac:dyDescent="0.25">
      <c r="A200" s="6">
        <v>31.22</v>
      </c>
      <c r="B200" s="1">
        <f t="shared" si="20"/>
        <v>9.6334854047599991E+20</v>
      </c>
      <c r="C200" s="1" t="e">
        <f ca="1">FORECAST(#REF!, OFFSET(#REF!, MATCH(#REF!,#REF!, 1)-1,0,2), OFFSET(#REF!, MATCH(#REF!,#REF!, 1)-1,0,2))*LCDMTotalBulgeMass</f>
        <v>#REF!</v>
      </c>
      <c r="D200" s="6" t="e">
        <f t="shared" ca="1" si="19"/>
        <v>#REF!</v>
      </c>
      <c r="E200" s="6">
        <v>248.4</v>
      </c>
      <c r="H200" s="2"/>
      <c r="I200"/>
      <c r="R200"/>
      <c r="S200"/>
    </row>
    <row r="201" spans="1:19" x14ac:dyDescent="0.25">
      <c r="A201" s="6">
        <v>31.61</v>
      </c>
      <c r="B201" s="1">
        <f t="shared" si="20"/>
        <v>9.7538268303799996E+20</v>
      </c>
      <c r="C201" s="1" t="e">
        <f ca="1">FORECAST(#REF!, OFFSET(#REF!, MATCH(#REF!,#REF!, 1)-1,0,2), OFFSET(#REF!, MATCH(#REF!,#REF!, 1)-1,0,2))*LCDMTotalBulgeMass</f>
        <v>#REF!</v>
      </c>
      <c r="D201" s="6" t="e">
        <f t="shared" ca="1" si="19"/>
        <v>#REF!</v>
      </c>
      <c r="E201" s="6">
        <v>248.1</v>
      </c>
      <c r="H201" s="2"/>
      <c r="I201"/>
      <c r="R201"/>
      <c r="S201"/>
    </row>
    <row r="202" spans="1:19" x14ac:dyDescent="0.25">
      <c r="A202" s="6">
        <v>31.99</v>
      </c>
      <c r="B202" s="1">
        <f t="shared" si="20"/>
        <v>9.871082578419999E+20</v>
      </c>
      <c r="C202" s="1" t="e">
        <f ca="1">FORECAST(#REF!, OFFSET(#REF!, MATCH(#REF!,#REF!, 1)-1,0,2), OFFSET(#REF!, MATCH(#REF!,#REF!, 1)-1,0,2))*LCDMTotalBulgeMass</f>
        <v>#REF!</v>
      </c>
      <c r="D202" s="6" t="e">
        <f t="shared" ca="1" si="19"/>
        <v>#REF!</v>
      </c>
      <c r="E202" s="6">
        <v>244.5</v>
      </c>
      <c r="H202" s="2"/>
      <c r="I202"/>
      <c r="R202"/>
      <c r="S202"/>
    </row>
    <row r="203" spans="1:19" x14ac:dyDescent="0.25">
      <c r="A203" s="6">
        <v>32.369999999999997</v>
      </c>
      <c r="B203" s="1">
        <f t="shared" si="20"/>
        <v>9.9883383264599998E+20</v>
      </c>
      <c r="C203" s="1" t="e">
        <f ca="1">FORECAST(#REF!, OFFSET(#REF!, MATCH(#REF!,#REF!, 1)-1,0,2), OFFSET(#REF!, MATCH(#REF!,#REF!, 1)-1,0,2))*LCDMTotalBulgeMass</f>
        <v>#REF!</v>
      </c>
      <c r="D203" s="6" t="e">
        <f t="shared" ca="1" si="19"/>
        <v>#REF!</v>
      </c>
      <c r="E203" s="6">
        <v>244.4</v>
      </c>
      <c r="H203" s="2"/>
      <c r="I203"/>
      <c r="R203"/>
      <c r="S203"/>
    </row>
    <row r="204" spans="1:19" x14ac:dyDescent="0.25">
      <c r="A204" s="6">
        <v>32.75</v>
      </c>
      <c r="B204" s="1">
        <f t="shared" si="20"/>
        <v>1.0105594074500001E+21</v>
      </c>
      <c r="C204" s="1" t="e">
        <f ca="1">FORECAST(#REF!, OFFSET(#REF!, MATCH(#REF!,#REF!, 1)-1,0,2), OFFSET(#REF!, MATCH(#REF!,#REF!, 1)-1,0,2))*LCDMTotalBulgeMass</f>
        <v>#REF!</v>
      </c>
      <c r="D204" s="6" t="e">
        <f t="shared" ca="1" si="19"/>
        <v>#REF!</v>
      </c>
      <c r="E204" s="6">
        <v>241.7</v>
      </c>
      <c r="H204" s="2"/>
      <c r="I204"/>
      <c r="R204"/>
      <c r="S204"/>
    </row>
    <row r="205" spans="1:19" x14ac:dyDescent="0.25">
      <c r="A205" s="6">
        <v>33.130000000000003</v>
      </c>
      <c r="B205" s="1">
        <f t="shared" si="20"/>
        <v>1.0222849822540001E+21</v>
      </c>
      <c r="C205" s="1" t="e">
        <f ca="1">FORECAST(#REF!, OFFSET(#REF!, MATCH(#REF!,#REF!, 1)-1,0,2), OFFSET(#REF!, MATCH(#REF!,#REF!, 1)-1,0,2))*LCDMTotalBulgeMass</f>
        <v>#REF!</v>
      </c>
      <c r="D205" s="6" t="e">
        <f t="shared" ca="1" si="19"/>
        <v>#REF!</v>
      </c>
      <c r="E205" s="6">
        <v>237.7</v>
      </c>
      <c r="H205" s="2"/>
      <c r="I205"/>
      <c r="R205"/>
      <c r="S205"/>
    </row>
    <row r="206" spans="1:19" x14ac:dyDescent="0.25">
      <c r="A206" s="6">
        <v>33.51</v>
      </c>
      <c r="B206" s="1">
        <f t="shared" si="20"/>
        <v>1.034010557058E+21</v>
      </c>
      <c r="C206" s="1" t="e">
        <f ca="1">FORECAST(#REF!, OFFSET(#REF!, MATCH(#REF!,#REF!, 1)-1,0,2), OFFSET(#REF!, MATCH(#REF!,#REF!, 1)-1,0,2))*LCDMTotalBulgeMass</f>
        <v>#REF!</v>
      </c>
      <c r="D206" s="6" t="e">
        <f t="shared" ca="1" si="19"/>
        <v>#REF!</v>
      </c>
      <c r="E206" s="6">
        <v>237.6</v>
      </c>
      <c r="H206" s="2"/>
      <c r="I206"/>
      <c r="R206"/>
      <c r="S206"/>
    </row>
    <row r="207" spans="1:19" x14ac:dyDescent="0.25">
      <c r="A207" s="6">
        <v>33.89</v>
      </c>
      <c r="B207" s="1">
        <f t="shared" si="20"/>
        <v>1.045736131862E+21</v>
      </c>
      <c r="C207" s="1" t="e">
        <f ca="1">FORECAST(#REF!, OFFSET(#REF!, MATCH(#REF!,#REF!, 1)-1,0,2), OFFSET(#REF!, MATCH(#REF!,#REF!, 1)-1,0,2))*LCDMTotalBulgeMass</f>
        <v>#REF!</v>
      </c>
      <c r="D207" s="6" t="e">
        <f t="shared" ca="1" si="19"/>
        <v>#REF!</v>
      </c>
      <c r="E207" s="6">
        <v>244.9</v>
      </c>
      <c r="H207" s="2"/>
      <c r="I207"/>
      <c r="R207"/>
      <c r="S207"/>
    </row>
    <row r="208" spans="1:19" x14ac:dyDescent="0.25">
      <c r="A208" s="6">
        <v>34.270000000000003</v>
      </c>
      <c r="B208" s="1">
        <f t="shared" si="20"/>
        <v>1.0574617066660001E+21</v>
      </c>
      <c r="C208" s="1" t="e">
        <f ca="1">FORECAST(#REF!, OFFSET(#REF!, MATCH(#REF!,#REF!, 1)-1,0,2), OFFSET(#REF!, MATCH(#REF!,#REF!, 1)-1,0,2))*LCDMTotalBulgeMass</f>
        <v>#REF!</v>
      </c>
      <c r="D208" s="6" t="e">
        <f t="shared" ca="1" si="19"/>
        <v>#REF!</v>
      </c>
      <c r="E208" s="6">
        <v>247.9</v>
      </c>
      <c r="H208" s="2"/>
      <c r="I208"/>
      <c r="R208"/>
      <c r="S208"/>
    </row>
    <row r="209" spans="1:19" x14ac:dyDescent="0.25">
      <c r="A209" s="6">
        <v>34.659999999999997</v>
      </c>
      <c r="B209" s="1">
        <f t="shared" si="20"/>
        <v>1.0694958492279999E+21</v>
      </c>
      <c r="C209" s="1" t="e">
        <f ca="1">FORECAST(#REF!, OFFSET(#REF!, MATCH(#REF!,#REF!, 1)-1,0,2), OFFSET(#REF!, MATCH(#REF!,#REF!, 1)-1,0,2))*LCDMTotalBulgeMass</f>
        <v>#REF!</v>
      </c>
      <c r="D209" s="6" t="e">
        <f t="shared" ca="1" si="19"/>
        <v>#REF!</v>
      </c>
      <c r="E209" s="6">
        <v>256.3</v>
      </c>
      <c r="H209" s="2"/>
      <c r="I209"/>
      <c r="R209"/>
      <c r="S209"/>
    </row>
    <row r="210" spans="1:19" x14ac:dyDescent="0.25">
      <c r="A210" s="6">
        <v>35.04</v>
      </c>
      <c r="B210" s="1">
        <f t="shared" si="20"/>
        <v>1.081221424032E+21</v>
      </c>
      <c r="C210" s="1" t="e">
        <f ca="1">FORECAST(#REF!, OFFSET(#REF!, MATCH(#REF!,#REF!, 1)-1,0,2), OFFSET(#REF!, MATCH(#REF!,#REF!, 1)-1,0,2))*LCDMTotalBulgeMass</f>
        <v>#REF!</v>
      </c>
      <c r="D210" s="6" t="e">
        <f t="shared" ca="1" si="19"/>
        <v>#REF!</v>
      </c>
      <c r="E210" s="6">
        <v>253.5</v>
      </c>
      <c r="H210" s="2"/>
      <c r="I210"/>
      <c r="R210"/>
      <c r="S210"/>
    </row>
    <row r="211" spans="1:19" x14ac:dyDescent="0.25">
      <c r="A211" s="6">
        <v>35.42</v>
      </c>
      <c r="B211" s="1">
        <f t="shared" si="20"/>
        <v>1.0929469988360001E+21</v>
      </c>
      <c r="C211" s="1" t="e">
        <f ca="1">FORECAST(#REF!, OFFSET(#REF!, MATCH(#REF!,#REF!, 1)-1,0,2), OFFSET(#REF!, MATCH(#REF!,#REF!, 1)-1,0,2))*LCDMTotalBulgeMass</f>
        <v>#REF!</v>
      </c>
      <c r="D211" s="6" t="e">
        <f t="shared" ca="1" si="19"/>
        <v>#REF!</v>
      </c>
      <c r="E211" s="6">
        <v>244.3</v>
      </c>
      <c r="H211" s="2"/>
      <c r="I211"/>
      <c r="R211"/>
      <c r="S211"/>
    </row>
    <row r="212" spans="1:19" x14ac:dyDescent="0.25">
      <c r="A212" s="6">
        <v>35.799999999999997</v>
      </c>
      <c r="B212" s="1">
        <f t="shared" si="20"/>
        <v>1.1046725736399999E+21</v>
      </c>
      <c r="C212" s="1" t="e">
        <f ca="1">FORECAST(#REF!, OFFSET(#REF!, MATCH(#REF!,#REF!, 1)-1,0,2), OFFSET(#REF!, MATCH(#REF!,#REF!, 1)-1,0,2))*LCDMTotalBulgeMass</f>
        <v>#REF!</v>
      </c>
      <c r="D212" s="6" t="e">
        <f t="shared" ca="1" si="19"/>
        <v>#REF!</v>
      </c>
      <c r="E212" s="6">
        <v>249.3</v>
      </c>
      <c r="H212" s="2"/>
      <c r="I212"/>
      <c r="R212"/>
      <c r="S212"/>
    </row>
    <row r="213" spans="1:19" x14ac:dyDescent="0.25">
      <c r="A213" s="6">
        <v>36.18</v>
      </c>
      <c r="B213" s="1">
        <f t="shared" si="20"/>
        <v>1.116398148444E+21</v>
      </c>
      <c r="C213" s="1" t="e">
        <f ca="1">FORECAST(#REF!, OFFSET(#REF!, MATCH(#REF!,#REF!, 1)-1,0,2), OFFSET(#REF!, MATCH(#REF!,#REF!, 1)-1,0,2))*LCDMTotalBulgeMass</f>
        <v>#REF!</v>
      </c>
      <c r="D213" s="6" t="e">
        <f t="shared" ca="1" si="19"/>
        <v>#REF!</v>
      </c>
      <c r="E213" s="6">
        <v>255.7</v>
      </c>
      <c r="H213" s="2"/>
      <c r="I213"/>
      <c r="R213"/>
      <c r="S213"/>
    </row>
    <row r="214" spans="1:19" x14ac:dyDescent="0.25">
      <c r="A214" s="6">
        <v>36.56</v>
      </c>
      <c r="B214" s="1">
        <f t="shared" si="20"/>
        <v>1.128123723248E+21</v>
      </c>
      <c r="C214" s="1" t="e">
        <f ca="1">FORECAST(#REF!, OFFSET(#REF!, MATCH(#REF!,#REF!, 1)-1,0,2), OFFSET(#REF!, MATCH(#REF!,#REF!, 1)-1,0,2))*LCDMTotalBulgeMass</f>
        <v>#REF!</v>
      </c>
      <c r="D214" s="6" t="e">
        <f t="shared" ca="1" si="19"/>
        <v>#REF!</v>
      </c>
      <c r="E214" s="6">
        <v>255</v>
      </c>
      <c r="H214" s="2"/>
      <c r="I214"/>
      <c r="R214"/>
      <c r="S214"/>
    </row>
    <row r="215" spans="1:19" x14ac:dyDescent="0.25">
      <c r="A215" s="6">
        <v>36.94</v>
      </c>
      <c r="B215" s="1">
        <f t="shared" si="20"/>
        <v>1.139849298052E+21</v>
      </c>
      <c r="C215" s="1" t="e">
        <f ca="1">FORECAST(#REF!, OFFSET(#REF!, MATCH(#REF!,#REF!, 1)-1,0,2), OFFSET(#REF!, MATCH(#REF!,#REF!, 1)-1,0,2))*LCDMTotalBulgeMass</f>
        <v>#REF!</v>
      </c>
      <c r="D215" s="6" t="e">
        <f t="shared" ca="1" si="19"/>
        <v>#REF!</v>
      </c>
      <c r="E215" s="6">
        <v>271.10000000000002</v>
      </c>
      <c r="H215" s="2"/>
      <c r="I215"/>
      <c r="R215"/>
      <c r="S215"/>
    </row>
    <row r="216" spans="1:19" x14ac:dyDescent="0.25">
      <c r="A216" s="6">
        <v>37.32</v>
      </c>
      <c r="B216" s="1">
        <f t="shared" si="20"/>
        <v>1.1515748728560001E+21</v>
      </c>
      <c r="C216" s="1" t="e">
        <f ca="1">FORECAST(#REF!, OFFSET(#REF!, MATCH(#REF!,#REF!, 1)-1,0,2), OFFSET(#REF!, MATCH(#REF!,#REF!, 1)-1,0,2))*LCDMTotalBulgeMass</f>
        <v>#REF!</v>
      </c>
      <c r="D216" s="6" t="e">
        <f t="shared" ca="1" si="19"/>
        <v>#REF!</v>
      </c>
      <c r="E216" s="6">
        <v>269.8</v>
      </c>
      <c r="H216" s="2"/>
      <c r="I216"/>
      <c r="R216"/>
      <c r="S216"/>
    </row>
    <row r="217" spans="1:19" x14ac:dyDescent="0.25">
      <c r="A217" s="6">
        <v>37.71</v>
      </c>
      <c r="B217" s="1">
        <f t="shared" si="20"/>
        <v>1.163609015418E+21</v>
      </c>
      <c r="C217" s="1" t="e">
        <f ca="1">FORECAST(#REF!, OFFSET(#REF!, MATCH(#REF!,#REF!, 1)-1,0,2), OFFSET(#REF!, MATCH(#REF!,#REF!, 1)-1,0,2))*LCDMTotalBulgeMass</f>
        <v>#REF!</v>
      </c>
      <c r="D217" s="6" t="e">
        <f t="shared" ca="1" si="19"/>
        <v>#REF!</v>
      </c>
      <c r="E217" s="6">
        <v>258.2</v>
      </c>
      <c r="H217" s="2"/>
      <c r="I217"/>
      <c r="R217"/>
      <c r="S217"/>
    </row>
    <row r="218" spans="1:19" x14ac:dyDescent="0.25">
      <c r="A218" s="6">
        <v>38.090000000000003</v>
      </c>
      <c r="B218" s="1">
        <f t="shared" si="20"/>
        <v>1.1753345902220001E+21</v>
      </c>
      <c r="C218" s="1" t="e">
        <f ca="1">FORECAST(#REF!, OFFSET(#REF!, MATCH(#REF!,#REF!, 1)-1,0,2), OFFSET(#REF!, MATCH(#REF!,#REF!, 1)-1,0,2))*LCDMTotalBulgeMass</f>
        <v>#REF!</v>
      </c>
      <c r="D218" s="6" t="e">
        <f t="shared" ca="1" si="19"/>
        <v>#REF!</v>
      </c>
      <c r="E218" s="6">
        <v>275.10000000000002</v>
      </c>
      <c r="H218" s="2"/>
      <c r="I218"/>
      <c r="R218"/>
      <c r="S218"/>
    </row>
    <row r="219" spans="1:19" x14ac:dyDescent="0.25">
      <c r="G219"/>
      <c r="H219" s="2"/>
      <c r="I219"/>
      <c r="R219"/>
      <c r="S219"/>
    </row>
    <row r="220" spans="1:19" x14ac:dyDescent="0.25">
      <c r="G220"/>
      <c r="H220" s="6"/>
      <c r="I220"/>
      <c r="R220"/>
      <c r="S220"/>
    </row>
    <row r="221" spans="1:19" x14ac:dyDescent="0.25">
      <c r="H221" s="2"/>
      <c r="R221"/>
      <c r="S221"/>
    </row>
    <row r="222" spans="1:19" x14ac:dyDescent="0.25">
      <c r="H222" s="2"/>
      <c r="R222"/>
      <c r="S222"/>
    </row>
    <row r="223" spans="1:19" x14ac:dyDescent="0.25">
      <c r="H223" s="2"/>
      <c r="R223"/>
      <c r="S223"/>
    </row>
    <row r="224" spans="1:19" x14ac:dyDescent="0.25">
      <c r="H224" s="2"/>
    </row>
    <row r="225" spans="2:25" x14ac:dyDescent="0.25">
      <c r="H225" s="2"/>
    </row>
    <row r="226" spans="2:25" x14ac:dyDescent="0.25">
      <c r="H226" s="2"/>
    </row>
    <row r="227" spans="2:25" x14ac:dyDescent="0.25">
      <c r="H227" s="2"/>
    </row>
    <row r="228" spans="2:25" s="6" customFormat="1" x14ac:dyDescent="0.25">
      <c r="B228" s="1"/>
      <c r="C228" s="1"/>
      <c r="F228" s="2"/>
      <c r="G228" s="12"/>
      <c r="H228" s="2"/>
      <c r="J228"/>
      <c r="K228"/>
      <c r="L228"/>
      <c r="M228"/>
      <c r="N228"/>
      <c r="O228"/>
      <c r="P228"/>
      <c r="Q228"/>
      <c r="R228" s="2"/>
      <c r="S228" s="2"/>
      <c r="T228"/>
      <c r="U228"/>
      <c r="V228"/>
      <c r="W228"/>
      <c r="X228"/>
      <c r="Y228"/>
    </row>
    <row r="229" spans="2:25" s="6" customFormat="1" x14ac:dyDescent="0.25">
      <c r="B229" s="1"/>
      <c r="C229" s="1"/>
      <c r="F229" s="2"/>
      <c r="G229" s="12"/>
      <c r="H229" s="2"/>
      <c r="J229"/>
      <c r="K229"/>
      <c r="L229"/>
      <c r="M229"/>
      <c r="N229"/>
      <c r="O229"/>
      <c r="P229"/>
      <c r="Q229"/>
      <c r="R229" s="2"/>
      <c r="S229" s="2"/>
      <c r="T229"/>
      <c r="U229"/>
      <c r="V229"/>
      <c r="W229"/>
      <c r="X229"/>
      <c r="Y229"/>
    </row>
    <row r="230" spans="2:25" s="6" customFormat="1" x14ac:dyDescent="0.25">
      <c r="B230" s="1"/>
      <c r="C230" s="1"/>
      <c r="F230" s="2"/>
      <c r="G230" s="12"/>
      <c r="H230" s="2"/>
      <c r="J230"/>
      <c r="K230"/>
      <c r="L230"/>
      <c r="M230"/>
      <c r="N230"/>
      <c r="O230"/>
      <c r="P230"/>
      <c r="Q230"/>
      <c r="R230" s="2"/>
      <c r="S230" s="2"/>
      <c r="T230"/>
      <c r="U230"/>
      <c r="V230"/>
      <c r="W230"/>
      <c r="X230"/>
      <c r="Y230"/>
    </row>
    <row r="231" spans="2:25" s="6" customFormat="1" x14ac:dyDescent="0.25">
      <c r="B231" s="1"/>
      <c r="C231" s="1"/>
      <c r="F231" s="2"/>
      <c r="G231" s="12"/>
      <c r="H231" s="2"/>
      <c r="J231"/>
      <c r="K231"/>
      <c r="L231"/>
      <c r="M231"/>
      <c r="N231"/>
      <c r="O231"/>
      <c r="P231"/>
      <c r="Q231"/>
      <c r="R231" s="2"/>
      <c r="S231" s="2"/>
      <c r="T231"/>
      <c r="U231"/>
      <c r="V231"/>
      <c r="W231"/>
      <c r="X231"/>
      <c r="Y231"/>
    </row>
    <row r="232" spans="2:25" s="6" customFormat="1" x14ac:dyDescent="0.25">
      <c r="B232" s="1"/>
      <c r="C232" s="1"/>
      <c r="F232" s="2"/>
      <c r="G232" s="12"/>
      <c r="H232" s="2"/>
      <c r="J232"/>
      <c r="K232"/>
      <c r="L232"/>
      <c r="M232"/>
      <c r="N232"/>
      <c r="O232"/>
      <c r="P232"/>
      <c r="Q232"/>
      <c r="R232" s="2"/>
      <c r="S232" s="2"/>
      <c r="T232"/>
      <c r="U232"/>
      <c r="V232"/>
      <c r="W232"/>
      <c r="X232"/>
      <c r="Y232"/>
    </row>
    <row r="233" spans="2:25" s="6" customFormat="1" x14ac:dyDescent="0.25">
      <c r="B233" s="1"/>
      <c r="C233" s="1"/>
      <c r="F233" s="2"/>
      <c r="G233" s="12"/>
      <c r="H233" s="2"/>
      <c r="J233"/>
      <c r="K233"/>
      <c r="L233"/>
      <c r="M233"/>
      <c r="N233"/>
      <c r="O233"/>
      <c r="P233"/>
      <c r="Q233"/>
      <c r="R233" s="2"/>
      <c r="S233" s="2"/>
      <c r="T233"/>
      <c r="U233"/>
      <c r="V233"/>
      <c r="W233"/>
      <c r="X233"/>
      <c r="Y233"/>
    </row>
    <row r="234" spans="2:25" s="6" customFormat="1" x14ac:dyDescent="0.25">
      <c r="B234" s="1"/>
      <c r="C234" s="1"/>
      <c r="F234" s="2"/>
      <c r="G234" s="12"/>
      <c r="H234" s="2"/>
      <c r="J234"/>
      <c r="K234"/>
      <c r="L234"/>
      <c r="M234"/>
      <c r="N234"/>
      <c r="O234"/>
      <c r="P234"/>
      <c r="Q234"/>
      <c r="R234" s="2"/>
      <c r="S234" s="2"/>
      <c r="T234"/>
      <c r="U234"/>
      <c r="V234"/>
      <c r="W234"/>
      <c r="X234"/>
      <c r="Y234"/>
    </row>
    <row r="235" spans="2:25" s="6" customFormat="1" x14ac:dyDescent="0.25">
      <c r="B235" s="1"/>
      <c r="C235" s="1"/>
      <c r="F235" s="2"/>
      <c r="G235" s="12"/>
      <c r="H235" s="2"/>
      <c r="J235"/>
      <c r="K235"/>
      <c r="L235"/>
      <c r="M235"/>
      <c r="N235"/>
      <c r="O235"/>
      <c r="P235"/>
      <c r="Q235"/>
      <c r="R235" s="2"/>
      <c r="S235" s="2"/>
      <c r="T235"/>
      <c r="U235"/>
      <c r="V235"/>
      <c r="W235"/>
      <c r="X235"/>
      <c r="Y235"/>
    </row>
    <row r="236" spans="2:25" s="6" customFormat="1" x14ac:dyDescent="0.25">
      <c r="B236" s="1"/>
      <c r="C236" s="1"/>
      <c r="F236" s="2"/>
      <c r="G236" s="12"/>
      <c r="H236" s="2"/>
      <c r="J236"/>
      <c r="K236"/>
      <c r="L236"/>
      <c r="M236"/>
      <c r="N236"/>
      <c r="O236"/>
      <c r="P236"/>
      <c r="Q236"/>
      <c r="R236" s="2"/>
      <c r="S236" s="2"/>
      <c r="T236"/>
      <c r="U236"/>
      <c r="V236"/>
      <c r="W236"/>
      <c r="X236"/>
      <c r="Y236"/>
    </row>
    <row r="237" spans="2:25" s="6" customFormat="1" x14ac:dyDescent="0.25">
      <c r="B237" s="1"/>
      <c r="C237" s="1"/>
      <c r="F237" s="2"/>
      <c r="G237" s="12"/>
      <c r="H237" s="2"/>
      <c r="J237"/>
      <c r="K237"/>
      <c r="L237"/>
      <c r="M237"/>
      <c r="N237"/>
      <c r="O237"/>
      <c r="P237"/>
      <c r="Q237"/>
      <c r="R237" s="2"/>
      <c r="S237" s="2"/>
      <c r="T237"/>
      <c r="U237"/>
      <c r="V237"/>
      <c r="W237"/>
      <c r="X237"/>
      <c r="Y237"/>
    </row>
    <row r="238" spans="2:25" s="6" customFormat="1" x14ac:dyDescent="0.25">
      <c r="B238" s="1"/>
      <c r="C238" s="1"/>
      <c r="F238" s="2"/>
      <c r="G238" s="12"/>
      <c r="H238" s="2"/>
      <c r="J238"/>
      <c r="K238"/>
      <c r="L238"/>
      <c r="M238"/>
      <c r="N238"/>
      <c r="O238"/>
      <c r="P238"/>
      <c r="Q238"/>
      <c r="R238" s="2"/>
      <c r="S238" s="2"/>
      <c r="T238"/>
      <c r="U238"/>
      <c r="V238"/>
      <c r="W238"/>
      <c r="X238"/>
      <c r="Y238"/>
    </row>
    <row r="239" spans="2:25" s="6" customFormat="1" x14ac:dyDescent="0.25">
      <c r="B239" s="1"/>
      <c r="C239" s="1"/>
      <c r="F239" s="2"/>
      <c r="G239" s="12"/>
      <c r="H239" s="2"/>
      <c r="J239"/>
      <c r="K239"/>
      <c r="L239"/>
      <c r="M239"/>
      <c r="N239"/>
      <c r="O239"/>
      <c r="P239"/>
      <c r="Q239"/>
      <c r="R239" s="2"/>
      <c r="S239" s="2"/>
      <c r="T239"/>
      <c r="U239"/>
      <c r="V239"/>
      <c r="W239"/>
      <c r="X239"/>
      <c r="Y239"/>
    </row>
    <row r="240" spans="2:25" s="6" customFormat="1" x14ac:dyDescent="0.25">
      <c r="B240" s="1"/>
      <c r="C240" s="1"/>
      <c r="F240" s="2"/>
      <c r="G240" s="12"/>
      <c r="H240" s="2"/>
      <c r="J240"/>
      <c r="K240"/>
      <c r="L240"/>
      <c r="M240"/>
      <c r="N240"/>
      <c r="O240"/>
      <c r="P240"/>
      <c r="Q240"/>
      <c r="R240" s="2"/>
      <c r="S240" s="2"/>
      <c r="T240"/>
      <c r="U240"/>
      <c r="V240"/>
      <c r="W240"/>
      <c r="X240"/>
      <c r="Y240"/>
    </row>
    <row r="241" spans="2:25" s="6" customFormat="1" x14ac:dyDescent="0.25">
      <c r="B241" s="1"/>
      <c r="C241" s="1"/>
      <c r="F241" s="2"/>
      <c r="G241" s="12"/>
      <c r="H241" s="2"/>
      <c r="J241"/>
      <c r="K241"/>
      <c r="L241"/>
      <c r="M241"/>
      <c r="N241"/>
      <c r="O241"/>
      <c r="P241"/>
      <c r="Q241"/>
      <c r="R241" s="2"/>
      <c r="S241" s="2"/>
      <c r="T241"/>
      <c r="U241"/>
      <c r="V241"/>
      <c r="W241"/>
      <c r="X241"/>
      <c r="Y241"/>
    </row>
    <row r="242" spans="2:25" s="6" customFormat="1" x14ac:dyDescent="0.25">
      <c r="B242" s="1"/>
      <c r="C242" s="1"/>
      <c r="F242" s="2"/>
      <c r="G242" s="12"/>
      <c r="H242" s="2"/>
      <c r="J242"/>
      <c r="K242"/>
      <c r="L242"/>
      <c r="M242"/>
      <c r="N242"/>
      <c r="O242"/>
      <c r="P242"/>
      <c r="Q242"/>
      <c r="R242" s="2"/>
      <c r="S242" s="2"/>
      <c r="T242"/>
      <c r="U242"/>
      <c r="V242"/>
      <c r="W242"/>
      <c r="X242"/>
      <c r="Y242"/>
    </row>
    <row r="243" spans="2:25" s="6" customFormat="1" x14ac:dyDescent="0.25">
      <c r="B243" s="1"/>
      <c r="C243" s="1"/>
      <c r="F243" s="2"/>
      <c r="G243" s="12"/>
      <c r="H243" s="2"/>
      <c r="J243"/>
      <c r="K243"/>
      <c r="L243"/>
      <c r="M243"/>
      <c r="N243"/>
      <c r="O243"/>
      <c r="P243"/>
      <c r="Q243"/>
      <c r="R243" s="2"/>
      <c r="S243" s="2"/>
      <c r="T243"/>
      <c r="U243"/>
      <c r="V243"/>
      <c r="W243"/>
      <c r="X243"/>
      <c r="Y243"/>
    </row>
    <row r="244" spans="2:25" s="6" customFormat="1" x14ac:dyDescent="0.25">
      <c r="B244" s="1"/>
      <c r="C244" s="1"/>
      <c r="F244" s="2"/>
      <c r="G244" s="12"/>
      <c r="H244" s="2"/>
      <c r="J244"/>
      <c r="K244"/>
      <c r="L244"/>
      <c r="M244"/>
      <c r="N244"/>
      <c r="O244"/>
      <c r="P244"/>
      <c r="Q244"/>
      <c r="R244" s="2"/>
      <c r="S244" s="2"/>
      <c r="T244"/>
      <c r="U244"/>
      <c r="V244"/>
      <c r="W244"/>
      <c r="X244"/>
      <c r="Y244"/>
    </row>
    <row r="245" spans="2:25" s="6" customFormat="1" x14ac:dyDescent="0.25">
      <c r="B245" s="1"/>
      <c r="C245" s="1"/>
      <c r="F245" s="2"/>
      <c r="G245" s="12"/>
      <c r="H245" s="2"/>
      <c r="J245"/>
      <c r="K245"/>
      <c r="L245"/>
      <c r="M245"/>
      <c r="N245"/>
      <c r="O245"/>
      <c r="P245"/>
      <c r="Q245"/>
      <c r="R245" s="2"/>
      <c r="S245" s="2"/>
      <c r="T245"/>
      <c r="U245"/>
      <c r="V245"/>
      <c r="W245"/>
      <c r="X245"/>
      <c r="Y245"/>
    </row>
    <row r="246" spans="2:25" s="6" customFormat="1" x14ac:dyDescent="0.25">
      <c r="B246" s="1"/>
      <c r="C246" s="1"/>
      <c r="F246" s="2"/>
      <c r="G246" s="12"/>
      <c r="H246" s="2"/>
      <c r="J246"/>
      <c r="K246"/>
      <c r="L246"/>
      <c r="M246"/>
      <c r="N246"/>
      <c r="O246"/>
      <c r="P246"/>
      <c r="Q246"/>
      <c r="R246" s="2"/>
      <c r="S246" s="2"/>
      <c r="T246"/>
      <c r="U246"/>
      <c r="V246"/>
      <c r="W246"/>
      <c r="X246"/>
      <c r="Y246"/>
    </row>
    <row r="247" spans="2:25" s="6" customFormat="1" x14ac:dyDescent="0.25">
      <c r="B247" s="1"/>
      <c r="C247" s="1"/>
      <c r="F247" s="2"/>
      <c r="G247" s="12"/>
      <c r="H247" s="2"/>
      <c r="J247"/>
      <c r="K247"/>
      <c r="L247"/>
      <c r="M247"/>
      <c r="N247"/>
      <c r="O247"/>
      <c r="P247"/>
      <c r="Q247"/>
      <c r="R247" s="2"/>
      <c r="S247" s="2"/>
      <c r="T247"/>
      <c r="U247"/>
      <c r="V247"/>
      <c r="W247"/>
      <c r="X247"/>
      <c r="Y247"/>
    </row>
    <row r="248" spans="2:25" s="6" customFormat="1" x14ac:dyDescent="0.25">
      <c r="B248" s="1"/>
      <c r="C248" s="1"/>
      <c r="F248" s="2"/>
      <c r="G248" s="12"/>
      <c r="H248" s="2"/>
      <c r="J248"/>
      <c r="K248"/>
      <c r="L248"/>
      <c r="M248"/>
      <c r="N248"/>
      <c r="O248"/>
      <c r="P248"/>
      <c r="Q248"/>
      <c r="R248" s="2"/>
      <c r="S248" s="2"/>
      <c r="T248"/>
      <c r="U248"/>
      <c r="V248"/>
      <c r="W248"/>
      <c r="X248"/>
      <c r="Y248"/>
    </row>
    <row r="249" spans="2:25" s="6" customFormat="1" x14ac:dyDescent="0.25">
      <c r="B249" s="1"/>
      <c r="C249" s="1"/>
      <c r="F249" s="2"/>
      <c r="G249" s="12"/>
      <c r="H249" s="2"/>
      <c r="J249"/>
      <c r="K249"/>
      <c r="L249"/>
      <c r="M249"/>
      <c r="N249"/>
      <c r="O249"/>
      <c r="P249"/>
      <c r="Q249"/>
      <c r="R249" s="2"/>
      <c r="S249" s="2"/>
      <c r="T249"/>
      <c r="U249"/>
      <c r="V249"/>
      <c r="W249"/>
      <c r="X249"/>
      <c r="Y249"/>
    </row>
    <row r="250" spans="2:25" s="6" customFormat="1" x14ac:dyDescent="0.25">
      <c r="B250" s="1"/>
      <c r="C250" s="1"/>
      <c r="F250" s="2"/>
      <c r="G250" s="12"/>
      <c r="H250" s="2"/>
      <c r="J250"/>
      <c r="K250"/>
      <c r="L250"/>
      <c r="M250"/>
      <c r="N250"/>
      <c r="O250"/>
      <c r="P250"/>
      <c r="Q250"/>
      <c r="R250" s="2"/>
      <c r="S250" s="2"/>
      <c r="T250"/>
      <c r="U250"/>
      <c r="V250"/>
      <c r="W250"/>
      <c r="X250"/>
      <c r="Y250"/>
    </row>
    <row r="251" spans="2:25" s="6" customFormat="1" x14ac:dyDescent="0.25">
      <c r="B251" s="1"/>
      <c r="C251" s="1"/>
      <c r="F251" s="2"/>
      <c r="G251" s="12"/>
      <c r="H251" s="2"/>
      <c r="J251"/>
      <c r="K251"/>
      <c r="L251"/>
      <c r="M251"/>
      <c r="N251"/>
      <c r="O251"/>
      <c r="P251"/>
      <c r="Q251"/>
      <c r="R251" s="2"/>
      <c r="S251" s="2"/>
      <c r="T251"/>
      <c r="U251"/>
      <c r="V251"/>
      <c r="W251"/>
      <c r="X251"/>
      <c r="Y251"/>
    </row>
    <row r="252" spans="2:25" s="6" customFormat="1" x14ac:dyDescent="0.25">
      <c r="B252" s="1"/>
      <c r="C252" s="1"/>
      <c r="F252" s="2"/>
      <c r="G252" s="12"/>
      <c r="H252" s="2"/>
      <c r="J252"/>
      <c r="K252"/>
      <c r="L252"/>
      <c r="M252"/>
      <c r="N252"/>
      <c r="O252"/>
      <c r="P252"/>
      <c r="Q252"/>
      <c r="R252" s="2"/>
      <c r="S252" s="2"/>
      <c r="T252"/>
      <c r="U252"/>
      <c r="V252"/>
      <c r="W252"/>
      <c r="X252"/>
      <c r="Y252"/>
    </row>
    <row r="253" spans="2:25" s="6" customFormat="1" x14ac:dyDescent="0.25">
      <c r="B253" s="1"/>
      <c r="C253" s="1"/>
      <c r="F253" s="2"/>
      <c r="G253" s="12"/>
      <c r="H253" s="2"/>
      <c r="J253"/>
      <c r="K253"/>
      <c r="L253"/>
      <c r="M253"/>
      <c r="N253"/>
      <c r="O253"/>
      <c r="P253"/>
      <c r="Q253"/>
      <c r="R253" s="2"/>
      <c r="S253" s="2"/>
      <c r="T253"/>
      <c r="U253"/>
      <c r="V253"/>
      <c r="W253"/>
      <c r="X253"/>
      <c r="Y253"/>
    </row>
    <row r="254" spans="2:25" s="6" customFormat="1" x14ac:dyDescent="0.25">
      <c r="B254" s="1"/>
      <c r="C254" s="1"/>
      <c r="F254" s="2"/>
      <c r="G254" s="12"/>
      <c r="H254" s="2"/>
      <c r="J254"/>
      <c r="K254"/>
      <c r="L254"/>
      <c r="M254"/>
      <c r="N254"/>
      <c r="O254"/>
      <c r="P254"/>
      <c r="Q254"/>
      <c r="R254" s="2"/>
      <c r="S254" s="2"/>
      <c r="T254"/>
      <c r="U254"/>
      <c r="V254"/>
      <c r="W254"/>
      <c r="X254"/>
      <c r="Y254"/>
    </row>
    <row r="255" spans="2:25" s="6" customFormat="1" x14ac:dyDescent="0.25">
      <c r="B255" s="1"/>
      <c r="C255" s="1"/>
      <c r="F255" s="2"/>
      <c r="G255" s="12"/>
      <c r="H255" s="2"/>
      <c r="J255"/>
      <c r="K255"/>
      <c r="L255"/>
      <c r="M255"/>
      <c r="N255"/>
      <c r="O255"/>
      <c r="P255"/>
      <c r="Q255"/>
      <c r="R255" s="2"/>
      <c r="S255" s="2"/>
      <c r="T255"/>
      <c r="U255"/>
      <c r="V255"/>
      <c r="W255"/>
      <c r="X255"/>
      <c r="Y255"/>
    </row>
    <row r="256" spans="2:25" s="6" customFormat="1" x14ac:dyDescent="0.25">
      <c r="B256" s="1"/>
      <c r="C256" s="1"/>
      <c r="F256" s="2"/>
      <c r="G256" s="12"/>
      <c r="H256" s="2"/>
      <c r="J256"/>
      <c r="K256"/>
      <c r="L256"/>
      <c r="M256"/>
      <c r="N256"/>
      <c r="O256"/>
      <c r="P256"/>
      <c r="Q256"/>
      <c r="R256" s="2"/>
      <c r="S256" s="2"/>
      <c r="T256"/>
      <c r="U256"/>
      <c r="V256"/>
      <c r="W256"/>
      <c r="X256"/>
      <c r="Y256"/>
    </row>
    <row r="257" spans="2:25" s="6" customFormat="1" x14ac:dyDescent="0.25">
      <c r="B257" s="1"/>
      <c r="C257" s="1"/>
      <c r="F257" s="2"/>
      <c r="G257" s="12"/>
      <c r="H257" s="2"/>
      <c r="J257"/>
      <c r="K257"/>
      <c r="L257"/>
      <c r="M257"/>
      <c r="N257"/>
      <c r="O257"/>
      <c r="P257"/>
      <c r="Q257"/>
      <c r="R257" s="2"/>
      <c r="S257" s="2"/>
      <c r="T257"/>
      <c r="U257"/>
      <c r="V257"/>
      <c r="W257"/>
      <c r="X257"/>
      <c r="Y257"/>
    </row>
    <row r="258" spans="2:25" s="6" customFormat="1" x14ac:dyDescent="0.25">
      <c r="B258" s="1"/>
      <c r="C258" s="1"/>
      <c r="F258" s="2"/>
      <c r="G258" s="12"/>
      <c r="H258" s="2"/>
      <c r="J258"/>
      <c r="K258"/>
      <c r="L258"/>
      <c r="M258"/>
      <c r="N258"/>
      <c r="O258"/>
      <c r="P258"/>
      <c r="Q258"/>
      <c r="R258" s="2"/>
      <c r="S258" s="2"/>
      <c r="T258"/>
      <c r="U258"/>
      <c r="V258"/>
      <c r="W258"/>
      <c r="X258"/>
      <c r="Y258"/>
    </row>
    <row r="259" spans="2:25" s="6" customFormat="1" x14ac:dyDescent="0.25">
      <c r="B259" s="1"/>
      <c r="C259" s="1"/>
      <c r="F259" s="2"/>
      <c r="G259" s="12"/>
      <c r="H259" s="2"/>
      <c r="J259"/>
      <c r="K259"/>
      <c r="L259"/>
      <c r="M259"/>
      <c r="N259"/>
      <c r="O259"/>
      <c r="P259"/>
      <c r="Q259"/>
      <c r="R259" s="2"/>
      <c r="S259" s="2"/>
      <c r="T259"/>
      <c r="U259"/>
      <c r="V259"/>
      <c r="W259"/>
      <c r="X259"/>
      <c r="Y259"/>
    </row>
    <row r="260" spans="2:25" s="6" customFormat="1" x14ac:dyDescent="0.25">
      <c r="B260" s="1"/>
      <c r="C260" s="1"/>
      <c r="F260" s="2"/>
      <c r="G260" s="12"/>
      <c r="H260" s="2"/>
      <c r="J260"/>
      <c r="K260"/>
      <c r="L260"/>
      <c r="M260"/>
      <c r="N260"/>
      <c r="O260"/>
      <c r="P260"/>
      <c r="Q260"/>
      <c r="R260" s="2"/>
      <c r="S260" s="2"/>
      <c r="T260"/>
      <c r="U260"/>
      <c r="V260"/>
      <c r="W260"/>
      <c r="X260"/>
      <c r="Y260"/>
    </row>
    <row r="261" spans="2:25" s="6" customFormat="1" x14ac:dyDescent="0.25">
      <c r="B261" s="1"/>
      <c r="C261" s="1"/>
      <c r="F261" s="2"/>
      <c r="G261" s="12"/>
      <c r="H261" s="2"/>
      <c r="J261"/>
      <c r="K261"/>
      <c r="L261"/>
      <c r="M261"/>
      <c r="N261"/>
      <c r="O261"/>
      <c r="P261"/>
      <c r="Q261"/>
      <c r="R261" s="2"/>
      <c r="S261" s="2"/>
      <c r="T261"/>
      <c r="U261"/>
      <c r="V261"/>
      <c r="W261"/>
      <c r="X261"/>
      <c r="Y261"/>
    </row>
    <row r="262" spans="2:25" s="6" customFormat="1" x14ac:dyDescent="0.25">
      <c r="B262" s="1"/>
      <c r="C262" s="1"/>
      <c r="F262" s="2"/>
      <c r="G262" s="12"/>
      <c r="H262" s="2"/>
      <c r="J262"/>
      <c r="K262"/>
      <c r="L262"/>
      <c r="M262"/>
      <c r="N262"/>
      <c r="O262"/>
      <c r="P262"/>
      <c r="Q262"/>
      <c r="R262" s="2"/>
      <c r="S262" s="2"/>
      <c r="T262"/>
      <c r="U262"/>
      <c r="V262"/>
      <c r="W262"/>
      <c r="X262"/>
      <c r="Y262"/>
    </row>
    <row r="263" spans="2:25" s="6" customFormat="1" x14ac:dyDescent="0.25">
      <c r="B263" s="1"/>
      <c r="C263" s="1"/>
      <c r="F263" s="2"/>
      <c r="G263" s="12"/>
      <c r="H263" s="2"/>
      <c r="J263"/>
      <c r="K263"/>
      <c r="L263"/>
      <c r="M263"/>
      <c r="N263"/>
      <c r="O263"/>
      <c r="P263"/>
      <c r="Q263"/>
      <c r="R263" s="2"/>
      <c r="S263" s="2"/>
      <c r="T263"/>
      <c r="U263"/>
      <c r="V263"/>
      <c r="W263"/>
      <c r="X263"/>
      <c r="Y263"/>
    </row>
    <row r="264" spans="2:25" s="6" customFormat="1" x14ac:dyDescent="0.25">
      <c r="B264" s="1"/>
      <c r="C264" s="1"/>
      <c r="F264" s="2"/>
      <c r="G264" s="12"/>
      <c r="H264" s="2"/>
      <c r="J264"/>
      <c r="K264"/>
      <c r="L264"/>
      <c r="M264"/>
      <c r="N264"/>
      <c r="O264"/>
      <c r="P264"/>
      <c r="Q264"/>
      <c r="R264" s="2"/>
      <c r="S264" s="2"/>
      <c r="T264"/>
      <c r="U264"/>
      <c r="V264"/>
      <c r="W264"/>
      <c r="X264"/>
      <c r="Y264"/>
    </row>
    <row r="265" spans="2:25" s="6" customFormat="1" x14ac:dyDescent="0.25">
      <c r="B265" s="1"/>
      <c r="C265" s="1"/>
      <c r="F265" s="2"/>
      <c r="G265" s="12"/>
      <c r="H265" s="2"/>
      <c r="J265"/>
      <c r="K265"/>
      <c r="L265"/>
      <c r="M265"/>
      <c r="N265"/>
      <c r="O265"/>
      <c r="P265"/>
      <c r="Q265"/>
      <c r="R265" s="2"/>
      <c r="S265" s="2"/>
      <c r="T265"/>
      <c r="U265"/>
      <c r="V265"/>
      <c r="W265"/>
      <c r="X265"/>
      <c r="Y265"/>
    </row>
    <row r="266" spans="2:25" s="6" customFormat="1" x14ac:dyDescent="0.25">
      <c r="B266" s="1"/>
      <c r="C266" s="1"/>
      <c r="F266" s="2"/>
      <c r="G266" s="12"/>
      <c r="H266" s="2"/>
      <c r="J266"/>
      <c r="K266"/>
      <c r="L266"/>
      <c r="M266"/>
      <c r="N266"/>
      <c r="O266"/>
      <c r="P266"/>
      <c r="Q266"/>
      <c r="R266" s="2"/>
      <c r="S266" s="2"/>
      <c r="T266"/>
      <c r="U266"/>
      <c r="V266"/>
      <c r="W266"/>
      <c r="X266"/>
      <c r="Y266"/>
    </row>
    <row r="267" spans="2:25" s="6" customFormat="1" x14ac:dyDescent="0.25">
      <c r="B267" s="1"/>
      <c r="C267" s="1"/>
      <c r="F267" s="2"/>
      <c r="G267" s="12"/>
      <c r="H267" s="2"/>
      <c r="J267"/>
      <c r="K267"/>
      <c r="L267"/>
      <c r="M267"/>
      <c r="N267"/>
      <c r="O267"/>
      <c r="P267"/>
      <c r="Q267"/>
      <c r="R267" s="2"/>
      <c r="S267" s="2"/>
      <c r="T267"/>
      <c r="U267"/>
      <c r="V267"/>
      <c r="W267"/>
      <c r="X267"/>
      <c r="Y267"/>
    </row>
    <row r="268" spans="2:25" s="6" customFormat="1" x14ac:dyDescent="0.25">
      <c r="B268" s="1"/>
      <c r="C268" s="1"/>
      <c r="F268" s="2"/>
      <c r="G268" s="12"/>
      <c r="H268" s="2"/>
      <c r="J268"/>
      <c r="K268"/>
      <c r="L268"/>
      <c r="M268"/>
      <c r="N268"/>
      <c r="O268"/>
      <c r="P268"/>
      <c r="Q268"/>
      <c r="R268" s="2"/>
      <c r="S268" s="2"/>
      <c r="T268"/>
      <c r="U268"/>
      <c r="V268"/>
      <c r="W268"/>
      <c r="X268"/>
      <c r="Y268"/>
    </row>
    <row r="269" spans="2:25" s="6" customFormat="1" x14ac:dyDescent="0.25">
      <c r="B269" s="1"/>
      <c r="C269" s="1"/>
      <c r="F269" s="2"/>
      <c r="G269" s="12"/>
      <c r="H269" s="2"/>
      <c r="J269"/>
      <c r="K269"/>
      <c r="L269"/>
      <c r="M269"/>
      <c r="N269"/>
      <c r="O269"/>
      <c r="P269"/>
      <c r="Q269"/>
      <c r="R269" s="2"/>
      <c r="S269" s="2"/>
      <c r="T269"/>
      <c r="U269"/>
      <c r="V269"/>
      <c r="W269"/>
      <c r="X269"/>
      <c r="Y269"/>
    </row>
    <row r="270" spans="2:25" s="6" customFormat="1" x14ac:dyDescent="0.25">
      <c r="B270" s="1"/>
      <c r="C270" s="1"/>
      <c r="F270" s="2"/>
      <c r="G270" s="12"/>
      <c r="H270" s="2"/>
      <c r="J270"/>
      <c r="K270"/>
      <c r="L270"/>
      <c r="M270"/>
      <c r="N270"/>
      <c r="O270"/>
      <c r="P270"/>
      <c r="Q270"/>
      <c r="R270" s="2"/>
      <c r="S270" s="2"/>
      <c r="T270"/>
      <c r="U270"/>
      <c r="V270"/>
      <c r="W270"/>
      <c r="X270"/>
      <c r="Y270"/>
    </row>
    <row r="271" spans="2:25" s="6" customFormat="1" x14ac:dyDescent="0.25">
      <c r="B271" s="1"/>
      <c r="C271" s="1"/>
      <c r="F271" s="2"/>
      <c r="G271" s="12"/>
      <c r="H271" s="2"/>
      <c r="J271"/>
      <c r="K271"/>
      <c r="L271"/>
      <c r="M271"/>
      <c r="N271"/>
      <c r="O271"/>
      <c r="P271"/>
      <c r="Q271"/>
      <c r="R271" s="2"/>
      <c r="S271" s="2"/>
      <c r="T271"/>
      <c r="U271"/>
      <c r="V271"/>
      <c r="W271"/>
      <c r="X271"/>
      <c r="Y271"/>
    </row>
    <row r="272" spans="2:25" s="6" customFormat="1" x14ac:dyDescent="0.25">
      <c r="B272" s="1"/>
      <c r="C272" s="1"/>
      <c r="F272" s="2"/>
      <c r="G272" s="12"/>
      <c r="H272" s="2"/>
      <c r="J272"/>
      <c r="K272"/>
      <c r="L272"/>
      <c r="M272"/>
      <c r="N272"/>
      <c r="O272"/>
      <c r="P272"/>
      <c r="Q272"/>
      <c r="R272" s="2"/>
      <c r="S272" s="2"/>
      <c r="T272"/>
      <c r="U272"/>
      <c r="V272"/>
      <c r="W272"/>
      <c r="X272"/>
      <c r="Y272"/>
    </row>
    <row r="273" spans="2:25" s="6" customFormat="1" x14ac:dyDescent="0.25">
      <c r="B273" s="1"/>
      <c r="C273" s="1"/>
      <c r="F273" s="2"/>
      <c r="G273" s="12"/>
      <c r="H273" s="2"/>
      <c r="J273"/>
      <c r="K273"/>
      <c r="L273"/>
      <c r="M273"/>
      <c r="N273"/>
      <c r="O273"/>
      <c r="P273"/>
      <c r="Q273"/>
      <c r="R273" s="2"/>
      <c r="S273" s="2"/>
      <c r="T273"/>
      <c r="U273"/>
      <c r="V273"/>
      <c r="W273"/>
      <c r="X273"/>
      <c r="Y273"/>
    </row>
    <row r="274" spans="2:25" s="6" customFormat="1" x14ac:dyDescent="0.25">
      <c r="B274" s="1"/>
      <c r="C274" s="1"/>
      <c r="F274" s="2"/>
      <c r="G274" s="12"/>
      <c r="H274" s="2"/>
      <c r="J274"/>
      <c r="K274"/>
      <c r="L274"/>
      <c r="M274"/>
      <c r="N274"/>
      <c r="O274"/>
      <c r="P274"/>
      <c r="Q274"/>
      <c r="R274" s="2"/>
      <c r="S274" s="2"/>
      <c r="T274"/>
      <c r="U274"/>
      <c r="V274"/>
      <c r="W274"/>
      <c r="X274"/>
      <c r="Y274"/>
    </row>
    <row r="275" spans="2:25" s="6" customFormat="1" x14ac:dyDescent="0.25">
      <c r="B275" s="1"/>
      <c r="C275" s="1"/>
      <c r="F275" s="2"/>
      <c r="G275" s="12"/>
      <c r="H275" s="2"/>
      <c r="J275"/>
      <c r="K275"/>
      <c r="L275"/>
      <c r="M275"/>
      <c r="N275"/>
      <c r="O275"/>
      <c r="P275"/>
      <c r="Q275"/>
      <c r="R275" s="2"/>
      <c r="S275" s="2"/>
      <c r="T275"/>
      <c r="U275"/>
      <c r="V275"/>
      <c r="W275"/>
      <c r="X275"/>
      <c r="Y275"/>
    </row>
    <row r="276" spans="2:25" s="6" customFormat="1" x14ac:dyDescent="0.25">
      <c r="B276" s="1"/>
      <c r="C276" s="1"/>
      <c r="F276" s="2"/>
      <c r="G276" s="12"/>
      <c r="H276" s="2"/>
      <c r="J276"/>
      <c r="K276"/>
      <c r="L276"/>
      <c r="M276"/>
      <c r="N276"/>
      <c r="O276"/>
      <c r="P276"/>
      <c r="Q276"/>
      <c r="R276" s="2"/>
      <c r="S276" s="2"/>
      <c r="T276"/>
      <c r="U276"/>
      <c r="V276"/>
      <c r="W276"/>
      <c r="X276"/>
      <c r="Y276"/>
    </row>
    <row r="277" spans="2:25" s="6" customFormat="1" x14ac:dyDescent="0.25">
      <c r="B277" s="1"/>
      <c r="C277" s="1"/>
      <c r="F277" s="2"/>
      <c r="G277" s="12"/>
      <c r="H277" s="2"/>
      <c r="J277"/>
      <c r="K277"/>
      <c r="L277"/>
      <c r="M277"/>
      <c r="N277"/>
      <c r="O277"/>
      <c r="P277"/>
      <c r="Q277"/>
      <c r="R277" s="2"/>
      <c r="S277" s="2"/>
      <c r="T277"/>
      <c r="U277"/>
      <c r="V277"/>
      <c r="W277"/>
      <c r="X277"/>
      <c r="Y277"/>
    </row>
    <row r="278" spans="2:25" s="6" customFormat="1" x14ac:dyDescent="0.25">
      <c r="B278" s="1"/>
      <c r="C278" s="1"/>
      <c r="F278" s="2"/>
      <c r="G278" s="12"/>
      <c r="H278" s="2"/>
      <c r="J278"/>
      <c r="K278"/>
      <c r="L278"/>
      <c r="M278"/>
      <c r="N278"/>
      <c r="O278"/>
      <c r="P278"/>
      <c r="Q278"/>
      <c r="R278" s="2"/>
      <c r="S278" s="2"/>
      <c r="T278"/>
      <c r="U278"/>
      <c r="V278"/>
      <c r="W278"/>
      <c r="X278"/>
      <c r="Y278"/>
    </row>
    <row r="279" spans="2:25" s="6" customFormat="1" x14ac:dyDescent="0.25">
      <c r="B279" s="1"/>
      <c r="C279" s="1"/>
      <c r="F279" s="2"/>
      <c r="G279" s="12"/>
      <c r="H279" s="2"/>
      <c r="J279"/>
      <c r="K279"/>
      <c r="L279"/>
      <c r="M279"/>
      <c r="N279"/>
      <c r="O279"/>
      <c r="P279"/>
      <c r="Q279"/>
      <c r="R279" s="2"/>
      <c r="S279" s="2"/>
      <c r="T279"/>
      <c r="U279"/>
      <c r="V279"/>
      <c r="W279"/>
      <c r="X279"/>
      <c r="Y279"/>
    </row>
    <row r="280" spans="2:25" s="6" customFormat="1" x14ac:dyDescent="0.25">
      <c r="B280" s="1"/>
      <c r="C280" s="1"/>
      <c r="F280" s="2"/>
      <c r="G280" s="12"/>
      <c r="H280" s="2"/>
      <c r="J280"/>
      <c r="K280"/>
      <c r="L280"/>
      <c r="M280"/>
      <c r="N280"/>
      <c r="O280"/>
      <c r="P280"/>
      <c r="Q280"/>
      <c r="R280" s="2"/>
      <c r="S280" s="2"/>
      <c r="T280"/>
      <c r="U280"/>
      <c r="V280"/>
      <c r="W280"/>
      <c r="X280"/>
      <c r="Y280"/>
    </row>
    <row r="281" spans="2:25" s="6" customFormat="1" x14ac:dyDescent="0.25">
      <c r="B281" s="1"/>
      <c r="C281" s="1"/>
      <c r="F281" s="2"/>
      <c r="G281" s="12"/>
      <c r="H281" s="2"/>
      <c r="J281"/>
      <c r="K281"/>
      <c r="L281"/>
      <c r="M281"/>
      <c r="N281"/>
      <c r="O281"/>
      <c r="P281"/>
      <c r="Q281"/>
      <c r="R281" s="2"/>
      <c r="S281" s="2"/>
      <c r="T281"/>
      <c r="U281"/>
      <c r="V281"/>
      <c r="W281"/>
      <c r="X281"/>
      <c r="Y281"/>
    </row>
    <row r="282" spans="2:25" s="6" customFormat="1" x14ac:dyDescent="0.25">
      <c r="B282" s="1"/>
      <c r="C282" s="1"/>
      <c r="F282" s="2"/>
      <c r="G282" s="12"/>
      <c r="H282" s="2"/>
      <c r="J282"/>
      <c r="K282"/>
      <c r="L282"/>
      <c r="M282"/>
      <c r="N282"/>
      <c r="O282"/>
      <c r="P282"/>
      <c r="Q282"/>
      <c r="R282" s="2"/>
      <c r="S282" s="2"/>
      <c r="T282"/>
      <c r="U282"/>
      <c r="V282"/>
      <c r="W282"/>
      <c r="X282"/>
      <c r="Y282"/>
    </row>
    <row r="283" spans="2:25" s="6" customFormat="1" x14ac:dyDescent="0.25">
      <c r="B283" s="1"/>
      <c r="C283" s="1"/>
      <c r="F283" s="2"/>
      <c r="G283" s="12"/>
      <c r="H283" s="2"/>
      <c r="J283"/>
      <c r="K283"/>
      <c r="L283"/>
      <c r="M283"/>
      <c r="N283"/>
      <c r="O283"/>
      <c r="P283"/>
      <c r="Q283"/>
      <c r="R283" s="2"/>
      <c r="S283" s="2"/>
      <c r="T283"/>
      <c r="U283"/>
      <c r="V283"/>
      <c r="W283"/>
      <c r="X283"/>
      <c r="Y283"/>
    </row>
    <row r="284" spans="2:25" s="6" customFormat="1" x14ac:dyDescent="0.25">
      <c r="B284" s="1"/>
      <c r="C284" s="1"/>
      <c r="F284" s="2"/>
      <c r="G284" s="12"/>
      <c r="H284" s="2"/>
      <c r="J284"/>
      <c r="K284"/>
      <c r="L284"/>
      <c r="M284"/>
      <c r="N284"/>
      <c r="O284"/>
      <c r="P284"/>
      <c r="Q284"/>
      <c r="R284" s="2"/>
      <c r="S284" s="2"/>
      <c r="T284"/>
      <c r="U284"/>
      <c r="V284"/>
      <c r="W284"/>
      <c r="X284"/>
      <c r="Y284"/>
    </row>
    <row r="285" spans="2:25" s="6" customFormat="1" x14ac:dyDescent="0.25">
      <c r="B285" s="1"/>
      <c r="C285" s="1"/>
      <c r="F285" s="2"/>
      <c r="G285" s="12"/>
      <c r="H285" s="2"/>
      <c r="J285"/>
      <c r="K285"/>
      <c r="L285"/>
      <c r="M285"/>
      <c r="N285"/>
      <c r="O285"/>
      <c r="P285"/>
      <c r="Q285"/>
      <c r="R285" s="2"/>
      <c r="S285" s="2"/>
      <c r="T285"/>
      <c r="U285"/>
      <c r="V285"/>
      <c r="W285"/>
      <c r="X285"/>
      <c r="Y285"/>
    </row>
    <row r="286" spans="2:25" s="6" customFormat="1" x14ac:dyDescent="0.25">
      <c r="B286" s="1"/>
      <c r="C286" s="1"/>
      <c r="F286" s="2"/>
      <c r="G286" s="12"/>
      <c r="H286" s="2"/>
      <c r="J286"/>
      <c r="K286"/>
      <c r="L286"/>
      <c r="M286"/>
      <c r="N286"/>
      <c r="O286"/>
      <c r="P286"/>
      <c r="Q286"/>
      <c r="R286" s="2"/>
      <c r="S286" s="2"/>
      <c r="T286"/>
      <c r="U286"/>
      <c r="V286"/>
      <c r="W286"/>
      <c r="X286"/>
      <c r="Y286"/>
    </row>
    <row r="287" spans="2:25" s="6" customFormat="1" x14ac:dyDescent="0.25">
      <c r="B287" s="1"/>
      <c r="C287" s="1"/>
      <c r="F287" s="2"/>
      <c r="G287" s="12"/>
      <c r="H287" s="2"/>
      <c r="J287"/>
      <c r="K287"/>
      <c r="L287"/>
      <c r="M287"/>
      <c r="N287"/>
      <c r="O287"/>
      <c r="P287"/>
      <c r="Q287"/>
      <c r="R287" s="2"/>
      <c r="S287" s="2"/>
      <c r="T287"/>
      <c r="U287"/>
      <c r="V287"/>
      <c r="W287"/>
      <c r="X287"/>
      <c r="Y287"/>
    </row>
    <row r="288" spans="2:25" s="6" customFormat="1" x14ac:dyDescent="0.25">
      <c r="B288" s="1"/>
      <c r="C288" s="1"/>
      <c r="F288" s="2"/>
      <c r="G288" s="12"/>
      <c r="H288" s="2"/>
      <c r="J288"/>
      <c r="K288"/>
      <c r="L288"/>
      <c r="M288"/>
      <c r="N288"/>
      <c r="O288"/>
      <c r="P288"/>
      <c r="Q288"/>
      <c r="R288" s="2"/>
      <c r="S288" s="2"/>
      <c r="T288"/>
      <c r="U288"/>
      <c r="V288"/>
      <c r="W288"/>
      <c r="X288"/>
      <c r="Y288"/>
    </row>
    <row r="289" spans="2:25" s="6" customFormat="1" x14ac:dyDescent="0.25">
      <c r="B289" s="1"/>
      <c r="C289" s="1"/>
      <c r="F289" s="2"/>
      <c r="G289" s="12"/>
      <c r="H289" s="2"/>
      <c r="J289"/>
      <c r="K289"/>
      <c r="L289"/>
      <c r="M289"/>
      <c r="N289"/>
      <c r="O289"/>
      <c r="P289"/>
      <c r="Q289"/>
      <c r="R289" s="2"/>
      <c r="S289" s="2"/>
      <c r="T289"/>
      <c r="U289"/>
      <c r="V289"/>
      <c r="W289"/>
      <c r="X289"/>
      <c r="Y289"/>
    </row>
    <row r="290" spans="2:25" s="6" customFormat="1" x14ac:dyDescent="0.25">
      <c r="B290" s="1"/>
      <c r="C290" s="1"/>
      <c r="F290" s="2"/>
      <c r="G290" s="12"/>
      <c r="H290" s="2"/>
      <c r="J290"/>
      <c r="K290"/>
      <c r="L290"/>
      <c r="M290"/>
      <c r="N290"/>
      <c r="O290"/>
      <c r="P290"/>
      <c r="Q290"/>
      <c r="R290" s="2"/>
      <c r="S290" s="2"/>
      <c r="T290"/>
      <c r="U290"/>
      <c r="V290"/>
      <c r="W290"/>
      <c r="X290"/>
      <c r="Y290"/>
    </row>
    <row r="291" spans="2:25" s="6" customFormat="1" x14ac:dyDescent="0.25">
      <c r="B291" s="1"/>
      <c r="C291" s="1"/>
      <c r="F291" s="2"/>
      <c r="G291" s="12"/>
      <c r="H291" s="2"/>
      <c r="J291"/>
      <c r="K291"/>
      <c r="L291"/>
      <c r="M291"/>
      <c r="N291"/>
      <c r="O291"/>
      <c r="P291"/>
      <c r="Q291"/>
      <c r="R291" s="2"/>
      <c r="S291" s="2"/>
      <c r="T291"/>
      <c r="U291"/>
      <c r="V291"/>
      <c r="W291"/>
      <c r="X291"/>
      <c r="Y291"/>
    </row>
    <row r="292" spans="2:25" s="6" customFormat="1" x14ac:dyDescent="0.25">
      <c r="B292" s="1"/>
      <c r="C292" s="1"/>
      <c r="F292" s="2"/>
      <c r="G292" s="12"/>
      <c r="H292" s="2"/>
      <c r="J292"/>
      <c r="K292"/>
      <c r="L292"/>
      <c r="M292"/>
      <c r="N292"/>
      <c r="O292"/>
      <c r="P292"/>
      <c r="Q292"/>
      <c r="R292" s="2"/>
      <c r="S292" s="2"/>
      <c r="T292"/>
      <c r="U292"/>
      <c r="V292"/>
      <c r="W292"/>
      <c r="X292"/>
      <c r="Y292"/>
    </row>
    <row r="293" spans="2:25" s="6" customFormat="1" x14ac:dyDescent="0.25">
      <c r="B293" s="1"/>
      <c r="C293" s="1"/>
      <c r="F293" s="2"/>
      <c r="G293" s="12"/>
      <c r="H293" s="2"/>
      <c r="J293"/>
      <c r="K293"/>
      <c r="L293"/>
      <c r="M293"/>
      <c r="N293"/>
      <c r="O293"/>
      <c r="P293"/>
      <c r="Q293"/>
      <c r="R293" s="2"/>
      <c r="S293" s="2"/>
      <c r="T293"/>
      <c r="U293"/>
      <c r="V293"/>
      <c r="W293"/>
      <c r="X293"/>
      <c r="Y293"/>
    </row>
    <row r="294" spans="2:25" s="6" customFormat="1" x14ac:dyDescent="0.25">
      <c r="B294" s="1"/>
      <c r="C294" s="1"/>
      <c r="F294" s="2"/>
      <c r="G294" s="12"/>
      <c r="H294" s="2"/>
      <c r="J294"/>
      <c r="K294"/>
      <c r="L294"/>
      <c r="M294"/>
      <c r="N294"/>
      <c r="O294"/>
      <c r="P294"/>
      <c r="Q294"/>
      <c r="R294" s="2"/>
      <c r="S294" s="2"/>
      <c r="T294"/>
      <c r="U294"/>
      <c r="V294"/>
      <c r="W294"/>
      <c r="X294"/>
      <c r="Y294"/>
    </row>
    <row r="295" spans="2:25" s="6" customFormat="1" x14ac:dyDescent="0.25">
      <c r="B295" s="1"/>
      <c r="C295" s="1"/>
      <c r="F295" s="2"/>
      <c r="G295" s="12"/>
      <c r="H295" s="2"/>
      <c r="J295"/>
      <c r="K295"/>
      <c r="L295"/>
      <c r="M295"/>
      <c r="N295"/>
      <c r="O295"/>
      <c r="P295"/>
      <c r="Q295"/>
      <c r="R295" s="2"/>
      <c r="S295" s="2"/>
      <c r="T295"/>
      <c r="U295"/>
      <c r="V295"/>
      <c r="W295"/>
      <c r="X295"/>
      <c r="Y295"/>
    </row>
    <row r="296" spans="2:25" s="6" customFormat="1" x14ac:dyDescent="0.25">
      <c r="B296" s="1"/>
      <c r="C296" s="1"/>
      <c r="F296" s="2"/>
      <c r="G296" s="12"/>
      <c r="H296" s="2"/>
      <c r="J296"/>
      <c r="K296"/>
      <c r="L296"/>
      <c r="M296"/>
      <c r="N296"/>
      <c r="O296"/>
      <c r="P296"/>
      <c r="Q296"/>
      <c r="R296" s="2"/>
      <c r="S296" s="2"/>
      <c r="T296"/>
      <c r="U296"/>
      <c r="V296"/>
      <c r="W296"/>
      <c r="X296"/>
      <c r="Y296"/>
    </row>
    <row r="297" spans="2:25" s="6" customFormat="1" x14ac:dyDescent="0.25">
      <c r="B297" s="1"/>
      <c r="C297" s="1"/>
      <c r="F297" s="2"/>
      <c r="G297" s="12"/>
      <c r="H297" s="2"/>
      <c r="J297"/>
      <c r="K297"/>
      <c r="L297"/>
      <c r="M297"/>
      <c r="N297"/>
      <c r="O297"/>
      <c r="P297"/>
      <c r="Q297"/>
      <c r="R297" s="2"/>
      <c r="S297" s="2"/>
      <c r="T297"/>
      <c r="U297"/>
      <c r="V297"/>
      <c r="W297"/>
      <c r="X297"/>
      <c r="Y297"/>
    </row>
    <row r="298" spans="2:25" s="6" customFormat="1" x14ac:dyDescent="0.25">
      <c r="B298" s="1"/>
      <c r="C298" s="1"/>
      <c r="F298" s="2"/>
      <c r="G298" s="12"/>
      <c r="H298" s="2"/>
      <c r="J298"/>
      <c r="K298"/>
      <c r="L298"/>
      <c r="M298"/>
      <c r="N298"/>
      <c r="O298"/>
      <c r="P298"/>
      <c r="Q298"/>
      <c r="R298" s="2"/>
      <c r="S298" s="2"/>
      <c r="T298"/>
      <c r="U298"/>
      <c r="V298"/>
      <c r="W298"/>
      <c r="X298"/>
      <c r="Y298"/>
    </row>
    <row r="299" spans="2:25" s="6" customFormat="1" x14ac:dyDescent="0.25">
      <c r="B299" s="1"/>
      <c r="C299" s="1"/>
      <c r="F299" s="2"/>
      <c r="G299" s="12"/>
      <c r="H299" s="2"/>
      <c r="J299"/>
      <c r="K299"/>
      <c r="L299"/>
      <c r="M299"/>
      <c r="N299"/>
      <c r="O299"/>
      <c r="P299"/>
      <c r="Q299"/>
      <c r="R299" s="2"/>
      <c r="S299" s="2"/>
      <c r="T299"/>
      <c r="U299"/>
      <c r="V299"/>
      <c r="W299"/>
      <c r="X299"/>
      <c r="Y299"/>
    </row>
    <row r="300" spans="2:25" s="6" customFormat="1" x14ac:dyDescent="0.25">
      <c r="B300" s="1"/>
      <c r="C300" s="1"/>
      <c r="F300" s="2"/>
      <c r="G300" s="12"/>
      <c r="H300" s="2"/>
      <c r="J300"/>
      <c r="K300"/>
      <c r="L300"/>
      <c r="M300"/>
      <c r="N300"/>
      <c r="O300"/>
      <c r="P300"/>
      <c r="Q300"/>
      <c r="R300" s="2"/>
      <c r="S300" s="2"/>
      <c r="T300"/>
      <c r="U300"/>
      <c r="V300"/>
      <c r="W300"/>
      <c r="X300"/>
      <c r="Y300"/>
    </row>
    <row r="301" spans="2:25" s="6" customFormat="1" x14ac:dyDescent="0.25">
      <c r="B301" s="1"/>
      <c r="C301" s="1"/>
      <c r="F301" s="2"/>
      <c r="G301" s="12"/>
      <c r="H301" s="2"/>
      <c r="J301"/>
      <c r="K301"/>
      <c r="L301"/>
      <c r="M301"/>
      <c r="N301"/>
      <c r="O301"/>
      <c r="P301"/>
      <c r="Q301"/>
      <c r="R301" s="2"/>
      <c r="S301" s="2"/>
      <c r="T301"/>
      <c r="U301"/>
      <c r="V301"/>
      <c r="W301"/>
      <c r="X301"/>
      <c r="Y301"/>
    </row>
    <row r="302" spans="2:25" s="6" customFormat="1" x14ac:dyDescent="0.25">
      <c r="B302" s="1"/>
      <c r="C302" s="1"/>
      <c r="F302" s="2"/>
      <c r="G302" s="12"/>
      <c r="H302" s="2"/>
      <c r="J302"/>
      <c r="K302"/>
      <c r="L302"/>
      <c r="M302"/>
      <c r="N302"/>
      <c r="O302"/>
      <c r="P302"/>
      <c r="Q302"/>
      <c r="R302" s="2"/>
      <c r="S302" s="2"/>
      <c r="T302"/>
      <c r="U302"/>
      <c r="V302"/>
      <c r="W302"/>
      <c r="X302"/>
      <c r="Y302"/>
    </row>
    <row r="303" spans="2:25" s="6" customFormat="1" x14ac:dyDescent="0.25">
      <c r="B303" s="1"/>
      <c r="C303" s="1"/>
      <c r="F303" s="2"/>
      <c r="G303" s="12"/>
      <c r="H303" s="2"/>
      <c r="J303"/>
      <c r="K303"/>
      <c r="L303"/>
      <c r="M303"/>
      <c r="N303"/>
      <c r="O303"/>
      <c r="P303"/>
      <c r="Q303"/>
      <c r="R303" s="2"/>
      <c r="S303" s="2"/>
      <c r="T303"/>
      <c r="U303"/>
      <c r="V303"/>
      <c r="W303"/>
      <c r="X303"/>
      <c r="Y303"/>
    </row>
    <row r="304" spans="2:25" s="6" customFormat="1" x14ac:dyDescent="0.25">
      <c r="B304" s="1"/>
      <c r="C304" s="1"/>
      <c r="F304" s="2"/>
      <c r="G304" s="12"/>
      <c r="H304" s="2"/>
      <c r="J304"/>
      <c r="K304"/>
      <c r="L304"/>
      <c r="M304"/>
      <c r="N304"/>
      <c r="O304"/>
      <c r="P304"/>
      <c r="Q304"/>
      <c r="R304" s="2"/>
      <c r="S304" s="2"/>
      <c r="T304"/>
      <c r="U304"/>
      <c r="V304"/>
      <c r="W304"/>
      <c r="X304"/>
      <c r="Y304"/>
    </row>
    <row r="305" spans="2:25" s="6" customFormat="1" x14ac:dyDescent="0.25">
      <c r="B305" s="1"/>
      <c r="C305" s="1"/>
      <c r="F305" s="2"/>
      <c r="G305" s="12"/>
      <c r="H305" s="2"/>
      <c r="J305"/>
      <c r="K305"/>
      <c r="L305"/>
      <c r="M305"/>
      <c r="N305"/>
      <c r="O305"/>
      <c r="P305"/>
      <c r="Q305"/>
      <c r="R305" s="2"/>
      <c r="S305" s="2"/>
      <c r="T305"/>
      <c r="U305"/>
      <c r="V305"/>
      <c r="W305"/>
      <c r="X305"/>
      <c r="Y305"/>
    </row>
    <row r="306" spans="2:25" s="6" customFormat="1" x14ac:dyDescent="0.25">
      <c r="B306" s="1"/>
      <c r="C306" s="1"/>
      <c r="F306" s="2"/>
      <c r="G306" s="12"/>
      <c r="H306" s="2"/>
      <c r="J306"/>
      <c r="K306"/>
      <c r="L306"/>
      <c r="M306"/>
      <c r="N306"/>
      <c r="O306"/>
      <c r="P306"/>
      <c r="Q306"/>
      <c r="R306" s="2"/>
      <c r="S306" s="2"/>
      <c r="T306"/>
      <c r="U306"/>
      <c r="V306"/>
      <c r="W306"/>
      <c r="X306"/>
      <c r="Y306"/>
    </row>
    <row r="307" spans="2:25" s="6" customFormat="1" x14ac:dyDescent="0.25">
      <c r="B307" s="1"/>
      <c r="C307" s="1"/>
      <c r="F307" s="2"/>
      <c r="G307" s="12"/>
      <c r="H307" s="2"/>
      <c r="J307"/>
      <c r="K307"/>
      <c r="L307"/>
      <c r="M307"/>
      <c r="N307"/>
      <c r="O307"/>
      <c r="P307"/>
      <c r="Q307"/>
      <c r="R307" s="2"/>
      <c r="S307" s="2"/>
      <c r="T307"/>
      <c r="U307"/>
      <c r="V307"/>
      <c r="W307"/>
      <c r="X307"/>
      <c r="Y307"/>
    </row>
    <row r="308" spans="2:25" s="6" customFormat="1" x14ac:dyDescent="0.25">
      <c r="B308" s="1"/>
      <c r="C308" s="1"/>
      <c r="F308" s="2"/>
      <c r="G308" s="12"/>
      <c r="H308" s="2"/>
      <c r="J308"/>
      <c r="K308"/>
      <c r="L308"/>
      <c r="M308"/>
      <c r="N308"/>
      <c r="O308"/>
      <c r="P308"/>
      <c r="Q308"/>
      <c r="R308" s="2"/>
      <c r="S308" s="2"/>
      <c r="T308"/>
      <c r="U308"/>
      <c r="V308"/>
      <c r="W308"/>
      <c r="X308"/>
      <c r="Y308"/>
    </row>
    <row r="309" spans="2:25" s="6" customFormat="1" x14ac:dyDescent="0.25">
      <c r="B309" s="1"/>
      <c r="C309" s="1"/>
      <c r="F309" s="2"/>
      <c r="G309" s="12"/>
      <c r="H309" s="2"/>
      <c r="J309"/>
      <c r="K309"/>
      <c r="L309"/>
      <c r="M309"/>
      <c r="N309"/>
      <c r="O309"/>
      <c r="P309"/>
      <c r="Q309"/>
      <c r="R309" s="2"/>
      <c r="S309" s="2"/>
      <c r="T309"/>
      <c r="U309"/>
      <c r="V309"/>
      <c r="W309"/>
      <c r="X309"/>
      <c r="Y309"/>
    </row>
    <row r="310" spans="2:25" s="6" customFormat="1" x14ac:dyDescent="0.25">
      <c r="B310" s="1"/>
      <c r="C310" s="1"/>
      <c r="F310" s="2"/>
      <c r="G310" s="12"/>
      <c r="H310" s="2"/>
      <c r="J310"/>
      <c r="K310"/>
      <c r="L310"/>
      <c r="M310"/>
      <c r="N310"/>
      <c r="O310"/>
      <c r="P310"/>
      <c r="Q310"/>
      <c r="R310" s="2"/>
      <c r="S310" s="2"/>
      <c r="T310"/>
      <c r="U310"/>
      <c r="V310"/>
      <c r="W310"/>
      <c r="X310"/>
      <c r="Y310"/>
    </row>
    <row r="311" spans="2:25" s="6" customFormat="1" x14ac:dyDescent="0.25">
      <c r="B311" s="1"/>
      <c r="C311" s="1"/>
      <c r="F311" s="2"/>
      <c r="G311" s="12"/>
      <c r="H311" s="2"/>
      <c r="J311"/>
      <c r="K311"/>
      <c r="L311"/>
      <c r="M311"/>
      <c r="N311"/>
      <c r="O311"/>
      <c r="P311"/>
      <c r="Q311"/>
      <c r="R311" s="2"/>
      <c r="S311" s="2"/>
      <c r="T311"/>
      <c r="U311"/>
      <c r="V311"/>
      <c r="W311"/>
      <c r="X311"/>
      <c r="Y311"/>
    </row>
    <row r="312" spans="2:25" s="6" customFormat="1" x14ac:dyDescent="0.25">
      <c r="B312" s="1"/>
      <c r="C312" s="1"/>
      <c r="F312" s="2"/>
      <c r="G312" s="12"/>
      <c r="H312" s="2"/>
      <c r="J312"/>
      <c r="K312"/>
      <c r="L312"/>
      <c r="M312"/>
      <c r="N312"/>
      <c r="O312"/>
      <c r="P312"/>
      <c r="Q312"/>
      <c r="R312" s="2"/>
      <c r="S312" s="2"/>
      <c r="T312"/>
      <c r="U312"/>
      <c r="V312"/>
      <c r="W312"/>
      <c r="X312"/>
      <c r="Y312"/>
    </row>
    <row r="313" spans="2:25" s="6" customFormat="1" x14ac:dyDescent="0.25">
      <c r="B313" s="1"/>
      <c r="C313" s="1"/>
      <c r="F313" s="2"/>
      <c r="G313" s="12"/>
      <c r="H313" s="2"/>
      <c r="J313"/>
      <c r="K313"/>
      <c r="L313"/>
      <c r="M313"/>
      <c r="N313"/>
      <c r="O313"/>
      <c r="P313"/>
      <c r="Q313"/>
      <c r="R313" s="2"/>
      <c r="S313" s="2"/>
      <c r="T313"/>
      <c r="U313"/>
      <c r="V313"/>
      <c r="W313"/>
      <c r="X313"/>
      <c r="Y313"/>
    </row>
    <row r="314" spans="2:25" s="6" customFormat="1" x14ac:dyDescent="0.25">
      <c r="B314" s="1"/>
      <c r="C314" s="1"/>
      <c r="F314" s="2"/>
      <c r="G314" s="12"/>
      <c r="H314" s="2"/>
      <c r="J314"/>
      <c r="K314"/>
      <c r="L314"/>
      <c r="M314"/>
      <c r="N314"/>
      <c r="O314"/>
      <c r="P314"/>
      <c r="Q314"/>
      <c r="R314" s="2"/>
      <c r="S314" s="2"/>
      <c r="T314"/>
      <c r="U314"/>
      <c r="V314"/>
      <c r="W314"/>
      <c r="X314"/>
      <c r="Y314"/>
    </row>
    <row r="315" spans="2:25" s="6" customFormat="1" x14ac:dyDescent="0.25">
      <c r="B315" s="1"/>
      <c r="C315" s="1"/>
      <c r="F315" s="2"/>
      <c r="G315" s="12"/>
      <c r="H315" s="2"/>
      <c r="J315"/>
      <c r="K315"/>
      <c r="L315"/>
      <c r="M315"/>
      <c r="N315"/>
      <c r="O315"/>
      <c r="P315"/>
      <c r="Q315"/>
      <c r="R315" s="2"/>
      <c r="S315" s="2"/>
      <c r="T315"/>
      <c r="U315"/>
      <c r="V315"/>
      <c r="W315"/>
      <c r="X315"/>
      <c r="Y315"/>
    </row>
    <row r="316" spans="2:25" s="6" customFormat="1" x14ac:dyDescent="0.25">
      <c r="B316" s="1"/>
      <c r="C316" s="1"/>
      <c r="F316" s="2"/>
      <c r="G316" s="12"/>
      <c r="H316" s="2"/>
      <c r="J316"/>
      <c r="K316"/>
      <c r="L316"/>
      <c r="M316"/>
      <c r="N316"/>
      <c r="O316"/>
      <c r="P316"/>
      <c r="Q316"/>
      <c r="R316" s="2"/>
      <c r="S316" s="2"/>
      <c r="T316"/>
      <c r="U316"/>
      <c r="V316"/>
      <c r="W316"/>
      <c r="X316"/>
      <c r="Y316"/>
    </row>
    <row r="317" spans="2:25" s="6" customFormat="1" x14ac:dyDescent="0.25">
      <c r="B317" s="1"/>
      <c r="C317" s="1"/>
      <c r="F317" s="2"/>
      <c r="G317" s="12"/>
      <c r="H317" s="2"/>
      <c r="J317"/>
      <c r="K317"/>
      <c r="L317"/>
      <c r="M317"/>
      <c r="N317"/>
      <c r="O317"/>
      <c r="P317"/>
      <c r="Q317"/>
      <c r="R317" s="2"/>
      <c r="S317" s="2"/>
      <c r="T317"/>
      <c r="U317"/>
      <c r="V317"/>
      <c r="W317"/>
      <c r="X317"/>
      <c r="Y317"/>
    </row>
    <row r="318" spans="2:25" s="6" customFormat="1" x14ac:dyDescent="0.25">
      <c r="B318" s="1"/>
      <c r="C318" s="1"/>
      <c r="F318" s="2"/>
      <c r="G318" s="12"/>
      <c r="H318" s="2"/>
      <c r="J318"/>
      <c r="K318"/>
      <c r="L318"/>
      <c r="M318"/>
      <c r="N318"/>
      <c r="O318"/>
      <c r="P318"/>
      <c r="Q318"/>
      <c r="R318" s="2"/>
      <c r="S318" s="2"/>
      <c r="T318"/>
      <c r="U318"/>
      <c r="V318"/>
      <c r="W318"/>
      <c r="X318"/>
      <c r="Y318"/>
    </row>
    <row r="319" spans="2:25" s="6" customFormat="1" x14ac:dyDescent="0.25">
      <c r="B319" s="1"/>
      <c r="C319" s="1"/>
      <c r="F319" s="2"/>
      <c r="G319" s="12"/>
      <c r="H319" s="2"/>
      <c r="J319"/>
      <c r="K319"/>
      <c r="L319"/>
      <c r="M319"/>
      <c r="N319"/>
      <c r="O319"/>
      <c r="P319"/>
      <c r="Q319"/>
      <c r="R319" s="2"/>
      <c r="S319" s="2"/>
      <c r="T319"/>
      <c r="U319"/>
      <c r="V319"/>
      <c r="W319"/>
      <c r="X319"/>
      <c r="Y319"/>
    </row>
    <row r="320" spans="2:25" s="6" customFormat="1" x14ac:dyDescent="0.25">
      <c r="B320" s="1"/>
      <c r="C320" s="1"/>
      <c r="F320" s="2"/>
      <c r="G320" s="12"/>
      <c r="H320" s="2"/>
      <c r="J320"/>
      <c r="K320"/>
      <c r="L320"/>
      <c r="M320"/>
      <c r="N320"/>
      <c r="O320"/>
      <c r="P320"/>
      <c r="Q320"/>
      <c r="R320" s="2"/>
      <c r="S320" s="2"/>
      <c r="T320"/>
      <c r="U320"/>
      <c r="V320"/>
      <c r="W320"/>
      <c r="X320"/>
      <c r="Y320"/>
    </row>
    <row r="321" spans="2:25" s="6" customFormat="1" x14ac:dyDescent="0.25">
      <c r="B321" s="1"/>
      <c r="C321" s="1"/>
      <c r="F321" s="2"/>
      <c r="G321" s="12"/>
      <c r="H321" s="2"/>
      <c r="J321"/>
      <c r="K321"/>
      <c r="L321"/>
      <c r="M321"/>
      <c r="N321"/>
      <c r="O321"/>
      <c r="P321"/>
      <c r="Q321"/>
      <c r="R321" s="2"/>
      <c r="S321" s="2"/>
      <c r="T321"/>
      <c r="U321"/>
      <c r="V321"/>
      <c r="W321"/>
      <c r="X321"/>
      <c r="Y321"/>
    </row>
    <row r="322" spans="2:25" s="6" customFormat="1" x14ac:dyDescent="0.25">
      <c r="B322" s="1"/>
      <c r="C322" s="1"/>
      <c r="F322" s="2"/>
      <c r="G322" s="12"/>
      <c r="H322" s="2"/>
      <c r="J322"/>
      <c r="K322"/>
      <c r="L322"/>
      <c r="M322"/>
      <c r="N322"/>
      <c r="O322"/>
      <c r="P322"/>
      <c r="Q322"/>
      <c r="R322" s="2"/>
      <c r="S322" s="2"/>
      <c r="T322"/>
      <c r="U322"/>
      <c r="V322"/>
      <c r="W322"/>
      <c r="X322"/>
      <c r="Y322"/>
    </row>
    <row r="323" spans="2:25" s="6" customFormat="1" x14ac:dyDescent="0.25">
      <c r="B323" s="1"/>
      <c r="C323" s="1"/>
      <c r="F323" s="2"/>
      <c r="G323" s="12"/>
      <c r="H323" s="2"/>
      <c r="J323"/>
      <c r="K323"/>
      <c r="L323"/>
      <c r="M323"/>
      <c r="N323"/>
      <c r="O323"/>
      <c r="P323"/>
      <c r="Q323"/>
      <c r="R323" s="2"/>
      <c r="S323" s="2"/>
      <c r="T323"/>
      <c r="U323"/>
      <c r="V323"/>
      <c r="W323"/>
      <c r="X323"/>
      <c r="Y323"/>
    </row>
    <row r="324" spans="2:25" s="6" customFormat="1" x14ac:dyDescent="0.25">
      <c r="B324" s="1"/>
      <c r="C324" s="1"/>
      <c r="F324" s="2"/>
      <c r="G324" s="12"/>
      <c r="H324" s="2"/>
      <c r="J324"/>
      <c r="K324"/>
      <c r="L324"/>
      <c r="M324"/>
      <c r="N324"/>
      <c r="O324"/>
      <c r="P324"/>
      <c r="Q324"/>
      <c r="R324" s="2"/>
      <c r="S324" s="2"/>
      <c r="T324"/>
      <c r="U324"/>
      <c r="V324"/>
      <c r="W324"/>
      <c r="X324"/>
      <c r="Y324"/>
    </row>
    <row r="325" spans="2:25" s="6" customFormat="1" x14ac:dyDescent="0.25">
      <c r="B325" s="1"/>
      <c r="C325" s="1"/>
      <c r="F325" s="2"/>
      <c r="G325" s="12"/>
      <c r="H325" s="2"/>
      <c r="J325"/>
      <c r="K325"/>
      <c r="L325"/>
      <c r="M325"/>
      <c r="N325"/>
      <c r="O325"/>
      <c r="P325"/>
      <c r="Q325"/>
      <c r="R325" s="2"/>
      <c r="S325" s="2"/>
      <c r="T325"/>
      <c r="U325"/>
      <c r="V325"/>
      <c r="W325"/>
      <c r="X325"/>
      <c r="Y325"/>
    </row>
    <row r="326" spans="2:25" s="6" customFormat="1" x14ac:dyDescent="0.25">
      <c r="B326" s="1"/>
      <c r="C326" s="1"/>
      <c r="F326" s="2"/>
      <c r="G326" s="12"/>
      <c r="H326" s="2"/>
      <c r="J326"/>
      <c r="K326"/>
      <c r="L326"/>
      <c r="M326"/>
      <c r="N326"/>
      <c r="O326"/>
      <c r="P326"/>
      <c r="Q326"/>
      <c r="R326" s="2"/>
      <c r="S326" s="2"/>
      <c r="T326"/>
      <c r="U326"/>
      <c r="V326"/>
      <c r="W326"/>
      <c r="X326"/>
      <c r="Y326"/>
    </row>
    <row r="327" spans="2:25" s="6" customFormat="1" x14ac:dyDescent="0.25">
      <c r="B327" s="1"/>
      <c r="C327" s="1"/>
      <c r="F327" s="2"/>
      <c r="G327" s="12"/>
      <c r="H327" s="2"/>
      <c r="J327"/>
      <c r="K327"/>
      <c r="L327"/>
      <c r="M327"/>
      <c r="N327"/>
      <c r="O327"/>
      <c r="P327"/>
      <c r="Q327"/>
      <c r="R327" s="2"/>
      <c r="S327" s="2"/>
      <c r="T327"/>
      <c r="U327"/>
      <c r="V327"/>
      <c r="W327"/>
      <c r="X327"/>
      <c r="Y327"/>
    </row>
    <row r="328" spans="2:25" s="6" customFormat="1" x14ac:dyDescent="0.25">
      <c r="B328" s="1"/>
      <c r="C328" s="1"/>
      <c r="F328" s="2"/>
      <c r="G328" s="12"/>
      <c r="H328" s="2"/>
      <c r="J328"/>
      <c r="K328"/>
      <c r="L328"/>
      <c r="M328"/>
      <c r="N328"/>
      <c r="O328"/>
      <c r="P328"/>
      <c r="Q328"/>
      <c r="R328" s="2"/>
      <c r="S328" s="2"/>
      <c r="T328"/>
      <c r="U328"/>
      <c r="V328"/>
      <c r="W328"/>
      <c r="X328"/>
      <c r="Y328"/>
    </row>
    <row r="329" spans="2:25" s="6" customFormat="1" x14ac:dyDescent="0.25">
      <c r="B329" s="1"/>
      <c r="C329" s="1"/>
      <c r="F329" s="2"/>
      <c r="G329" s="12"/>
      <c r="H329" s="2"/>
      <c r="J329"/>
      <c r="K329"/>
      <c r="L329"/>
      <c r="M329"/>
      <c r="N329"/>
      <c r="O329"/>
      <c r="P329"/>
      <c r="Q329"/>
      <c r="R329" s="2"/>
      <c r="S329" s="2"/>
      <c r="T329"/>
      <c r="U329"/>
      <c r="V329"/>
      <c r="W329"/>
      <c r="X329"/>
      <c r="Y329"/>
    </row>
    <row r="330" spans="2:25" s="6" customFormat="1" x14ac:dyDescent="0.25">
      <c r="B330" s="1"/>
      <c r="C330" s="1"/>
      <c r="F330" s="2"/>
      <c r="G330" s="12"/>
      <c r="H330" s="2"/>
      <c r="J330"/>
      <c r="K330"/>
      <c r="L330"/>
      <c r="M330"/>
      <c r="N330"/>
      <c r="O330"/>
      <c r="P330"/>
      <c r="Q330"/>
      <c r="R330" s="2"/>
      <c r="S330" s="2"/>
      <c r="T330"/>
      <c r="U330"/>
      <c r="V330"/>
      <c r="W330"/>
      <c r="X330"/>
      <c r="Y330"/>
    </row>
    <row r="331" spans="2:25" s="6" customFormat="1" x14ac:dyDescent="0.25">
      <c r="B331" s="1"/>
      <c r="C331" s="1"/>
      <c r="F331" s="2"/>
      <c r="G331" s="12"/>
      <c r="H331" s="2"/>
      <c r="J331"/>
      <c r="K331"/>
      <c r="L331"/>
      <c r="M331"/>
      <c r="N331"/>
      <c r="O331"/>
      <c r="P331"/>
      <c r="Q331"/>
      <c r="R331" s="2"/>
      <c r="S331" s="2"/>
      <c r="T331"/>
      <c r="U331"/>
      <c r="V331"/>
      <c r="W331"/>
      <c r="X331"/>
      <c r="Y331"/>
    </row>
    <row r="332" spans="2:25" s="6" customFormat="1" x14ac:dyDescent="0.25">
      <c r="B332" s="1"/>
      <c r="C332" s="1"/>
      <c r="F332" s="2"/>
      <c r="G332" s="12"/>
      <c r="H332" s="2"/>
      <c r="J332"/>
      <c r="K332"/>
      <c r="L332"/>
      <c r="M332"/>
      <c r="N332"/>
      <c r="O332"/>
      <c r="P332"/>
      <c r="Q332"/>
      <c r="R332" s="2"/>
      <c r="S332" s="2"/>
      <c r="T332"/>
      <c r="U332"/>
      <c r="V332"/>
      <c r="W332"/>
      <c r="X332"/>
      <c r="Y332"/>
    </row>
    <row r="333" spans="2:25" s="6" customFormat="1" x14ac:dyDescent="0.25">
      <c r="B333" s="1"/>
      <c r="C333" s="1"/>
      <c r="F333" s="2"/>
      <c r="G333" s="12"/>
      <c r="H333" s="2"/>
      <c r="J333"/>
      <c r="K333"/>
      <c r="L333"/>
      <c r="M333"/>
      <c r="N333"/>
      <c r="O333"/>
      <c r="P333"/>
      <c r="Q333"/>
      <c r="R333" s="2"/>
      <c r="S333" s="2"/>
      <c r="T333"/>
      <c r="U333"/>
      <c r="V333"/>
      <c r="W333"/>
      <c r="X333"/>
      <c r="Y333"/>
    </row>
    <row r="334" spans="2:25" s="6" customFormat="1" x14ac:dyDescent="0.25">
      <c r="B334" s="1"/>
      <c r="C334" s="1"/>
      <c r="F334" s="2"/>
      <c r="G334" s="12"/>
      <c r="H334" s="2"/>
      <c r="J334"/>
      <c r="K334"/>
      <c r="L334"/>
      <c r="M334"/>
      <c r="N334"/>
      <c r="O334"/>
      <c r="P334"/>
      <c r="Q334"/>
      <c r="R334" s="2"/>
      <c r="S334" s="2"/>
      <c r="T334"/>
      <c r="U334"/>
      <c r="V334"/>
      <c r="W334"/>
      <c r="X334"/>
      <c r="Y334"/>
    </row>
    <row r="335" spans="2:25" s="6" customFormat="1" x14ac:dyDescent="0.25">
      <c r="B335" s="1"/>
      <c r="C335" s="1"/>
      <c r="F335" s="2"/>
      <c r="G335" s="12"/>
      <c r="H335" s="2"/>
      <c r="J335"/>
      <c r="K335"/>
      <c r="L335"/>
      <c r="M335"/>
      <c r="N335"/>
      <c r="O335"/>
      <c r="P335"/>
      <c r="Q335"/>
      <c r="R335" s="2"/>
      <c r="S335" s="2"/>
      <c r="T335"/>
      <c r="U335"/>
      <c r="V335"/>
      <c r="W335"/>
      <c r="X335"/>
      <c r="Y335"/>
    </row>
    <row r="336" spans="2:25" s="6" customFormat="1" x14ac:dyDescent="0.25">
      <c r="B336" s="1"/>
      <c r="C336" s="1"/>
      <c r="F336" s="2"/>
      <c r="G336" s="12"/>
      <c r="H336" s="2"/>
      <c r="J336"/>
      <c r="K336"/>
      <c r="L336"/>
      <c r="M336"/>
      <c r="N336"/>
      <c r="O336"/>
      <c r="P336"/>
      <c r="Q336"/>
      <c r="R336" s="2"/>
      <c r="S336" s="2"/>
      <c r="T336"/>
      <c r="U336"/>
      <c r="V336"/>
      <c r="W336"/>
      <c r="X336"/>
      <c r="Y336"/>
    </row>
    <row r="337" spans="2:25" s="6" customFormat="1" x14ac:dyDescent="0.25">
      <c r="B337" s="1"/>
      <c r="C337" s="1"/>
      <c r="F337" s="2"/>
      <c r="G337" s="12"/>
      <c r="H337" s="2"/>
      <c r="J337"/>
      <c r="K337"/>
      <c r="L337"/>
      <c r="M337"/>
      <c r="N337"/>
      <c r="O337"/>
      <c r="P337"/>
      <c r="Q337"/>
      <c r="R337" s="2"/>
      <c r="S337" s="2"/>
      <c r="T337"/>
      <c r="U337"/>
      <c r="V337"/>
      <c r="W337"/>
      <c r="X337"/>
      <c r="Y337"/>
    </row>
    <row r="338" spans="2:25" s="6" customFormat="1" x14ac:dyDescent="0.25">
      <c r="B338" s="1"/>
      <c r="C338" s="1"/>
      <c r="F338" s="2"/>
      <c r="G338" s="12"/>
      <c r="H338" s="2"/>
      <c r="J338"/>
      <c r="K338"/>
      <c r="L338"/>
      <c r="M338"/>
      <c r="N338"/>
      <c r="O338"/>
      <c r="P338"/>
      <c r="Q338"/>
      <c r="R338" s="2"/>
      <c r="S338" s="2"/>
      <c r="T338"/>
      <c r="U338"/>
      <c r="V338"/>
      <c r="W338"/>
      <c r="X338"/>
      <c r="Y338"/>
    </row>
    <row r="339" spans="2:25" s="6" customFormat="1" x14ac:dyDescent="0.25">
      <c r="B339" s="1"/>
      <c r="C339" s="1"/>
      <c r="F339" s="2"/>
      <c r="G339" s="12"/>
      <c r="H339" s="2"/>
      <c r="J339"/>
      <c r="K339"/>
      <c r="L339"/>
      <c r="M339"/>
      <c r="N339"/>
      <c r="O339"/>
      <c r="P339"/>
      <c r="Q339"/>
      <c r="R339" s="2"/>
      <c r="S339" s="2"/>
      <c r="T339"/>
      <c r="U339"/>
      <c r="V339"/>
      <c r="W339"/>
      <c r="X339"/>
      <c r="Y339"/>
    </row>
    <row r="340" spans="2:25" s="6" customFormat="1" x14ac:dyDescent="0.25">
      <c r="B340" s="1"/>
      <c r="C340" s="1"/>
      <c r="F340" s="2"/>
      <c r="G340" s="12"/>
      <c r="H340" s="2"/>
      <c r="J340"/>
      <c r="K340"/>
      <c r="L340"/>
      <c r="M340"/>
      <c r="N340"/>
      <c r="O340"/>
      <c r="P340"/>
      <c r="Q340"/>
      <c r="R340" s="2"/>
      <c r="S340" s="2"/>
      <c r="T340"/>
      <c r="U340"/>
      <c r="V340"/>
      <c r="W340"/>
      <c r="X340"/>
      <c r="Y340"/>
    </row>
    <row r="341" spans="2:25" s="6" customFormat="1" x14ac:dyDescent="0.25">
      <c r="B341" s="1"/>
      <c r="C341" s="1"/>
      <c r="F341" s="2"/>
      <c r="G341" s="12"/>
      <c r="H341" s="2"/>
      <c r="J341"/>
      <c r="K341"/>
      <c r="L341"/>
      <c r="M341"/>
      <c r="N341"/>
      <c r="O341"/>
      <c r="P341"/>
      <c r="Q341"/>
      <c r="R341" s="2"/>
      <c r="S341" s="2"/>
      <c r="T341"/>
      <c r="U341"/>
      <c r="V341"/>
      <c r="W341"/>
      <c r="X341"/>
      <c r="Y341"/>
    </row>
    <row r="342" spans="2:25" s="6" customFormat="1" x14ac:dyDescent="0.25">
      <c r="B342" s="1"/>
      <c r="C342" s="1"/>
      <c r="F342" s="2"/>
      <c r="G342" s="12"/>
      <c r="H342" s="2"/>
      <c r="J342"/>
      <c r="K342"/>
      <c r="L342"/>
      <c r="M342"/>
      <c r="N342"/>
      <c r="O342"/>
      <c r="P342"/>
      <c r="Q342"/>
      <c r="R342" s="2"/>
      <c r="S342" s="2"/>
      <c r="T342"/>
      <c r="U342"/>
      <c r="V342"/>
      <c r="W342"/>
      <c r="X342"/>
      <c r="Y342"/>
    </row>
    <row r="343" spans="2:25" s="6" customFormat="1" x14ac:dyDescent="0.25">
      <c r="B343" s="1"/>
      <c r="C343" s="1"/>
      <c r="F343" s="2"/>
      <c r="G343" s="12"/>
      <c r="H343" s="2"/>
      <c r="J343"/>
      <c r="K343"/>
      <c r="L343"/>
      <c r="M343"/>
      <c r="N343"/>
      <c r="O343"/>
      <c r="P343"/>
      <c r="Q343"/>
      <c r="R343" s="2"/>
      <c r="S343" s="2"/>
      <c r="T343"/>
      <c r="U343"/>
      <c r="V343"/>
      <c r="W343"/>
      <c r="X343"/>
      <c r="Y343"/>
    </row>
    <row r="344" spans="2:25" s="6" customFormat="1" x14ac:dyDescent="0.25">
      <c r="B344" s="1"/>
      <c r="C344" s="1"/>
      <c r="F344" s="2"/>
      <c r="G344" s="12"/>
      <c r="H344" s="2"/>
      <c r="J344"/>
      <c r="K344"/>
      <c r="L344"/>
      <c r="M344"/>
      <c r="N344"/>
      <c r="O344"/>
      <c r="P344"/>
      <c r="Q344"/>
      <c r="R344" s="2"/>
      <c r="S344" s="2"/>
      <c r="T344"/>
      <c r="U344"/>
      <c r="V344"/>
      <c r="W344"/>
      <c r="X344"/>
      <c r="Y344"/>
    </row>
    <row r="345" spans="2:25" s="6" customFormat="1" x14ac:dyDescent="0.25">
      <c r="B345" s="1"/>
      <c r="C345" s="1"/>
      <c r="F345" s="2"/>
      <c r="G345" s="12"/>
      <c r="H345" s="2"/>
      <c r="J345"/>
      <c r="K345"/>
      <c r="L345"/>
      <c r="M345"/>
      <c r="N345"/>
      <c r="O345"/>
      <c r="P345"/>
      <c r="Q345"/>
      <c r="R345" s="2"/>
      <c r="S345" s="2"/>
      <c r="T345"/>
      <c r="U345"/>
      <c r="V345"/>
      <c r="W345"/>
      <c r="X345"/>
      <c r="Y345"/>
    </row>
    <row r="346" spans="2:25" s="6" customFormat="1" x14ac:dyDescent="0.25">
      <c r="B346" s="1"/>
      <c r="C346" s="1"/>
      <c r="F346" s="2"/>
      <c r="G346" s="12"/>
      <c r="H346" s="2"/>
      <c r="J346"/>
      <c r="K346"/>
      <c r="L346"/>
      <c r="M346"/>
      <c r="N346"/>
      <c r="O346"/>
      <c r="P346"/>
      <c r="Q346"/>
      <c r="R346" s="2"/>
      <c r="S346" s="2"/>
      <c r="T346"/>
      <c r="U346"/>
      <c r="V346"/>
      <c r="W346"/>
      <c r="X346"/>
      <c r="Y346"/>
    </row>
    <row r="347" spans="2:25" s="6" customFormat="1" x14ac:dyDescent="0.25">
      <c r="B347" s="1"/>
      <c r="C347" s="1"/>
      <c r="F347" s="2"/>
      <c r="G347" s="12"/>
      <c r="H347" s="2"/>
      <c r="J347"/>
      <c r="K347"/>
      <c r="L347"/>
      <c r="M347"/>
      <c r="N347"/>
      <c r="O347"/>
      <c r="P347"/>
      <c r="Q347"/>
      <c r="R347" s="2"/>
      <c r="S347" s="2"/>
      <c r="T347"/>
      <c r="U347"/>
      <c r="V347"/>
      <c r="W347"/>
      <c r="X347"/>
      <c r="Y347"/>
    </row>
    <row r="348" spans="2:25" s="6" customFormat="1" x14ac:dyDescent="0.25">
      <c r="B348" s="1"/>
      <c r="C348" s="1"/>
      <c r="F348" s="2"/>
      <c r="G348" s="12"/>
      <c r="H348" s="2"/>
      <c r="J348"/>
      <c r="K348"/>
      <c r="L348"/>
      <c r="M348"/>
      <c r="N348"/>
      <c r="O348"/>
      <c r="P348"/>
      <c r="Q348"/>
      <c r="R348" s="2"/>
      <c r="S348" s="2"/>
      <c r="T348"/>
      <c r="U348"/>
      <c r="V348"/>
      <c r="W348"/>
      <c r="X348"/>
      <c r="Y348"/>
    </row>
    <row r="349" spans="2:25" s="6" customFormat="1" x14ac:dyDescent="0.25">
      <c r="B349" s="1"/>
      <c r="C349" s="1"/>
      <c r="F349" s="2"/>
      <c r="G349" s="12"/>
      <c r="H349" s="2"/>
      <c r="J349"/>
      <c r="K349"/>
      <c r="L349"/>
      <c r="M349"/>
      <c r="N349"/>
      <c r="O349"/>
      <c r="P349"/>
      <c r="Q349"/>
      <c r="R349" s="2"/>
      <c r="S349" s="2"/>
      <c r="T349"/>
      <c r="U349"/>
      <c r="V349"/>
      <c r="W349"/>
      <c r="X349"/>
      <c r="Y349"/>
    </row>
    <row r="350" spans="2:25" s="6" customFormat="1" x14ac:dyDescent="0.25">
      <c r="B350" s="1"/>
      <c r="C350" s="1"/>
      <c r="F350" s="2"/>
      <c r="G350" s="12"/>
      <c r="H350" s="2"/>
      <c r="J350"/>
      <c r="K350"/>
      <c r="L350"/>
      <c r="M350"/>
      <c r="N350"/>
      <c r="O350"/>
      <c r="P350"/>
      <c r="Q350"/>
      <c r="R350" s="2"/>
      <c r="S350" s="2"/>
      <c r="T350"/>
      <c r="U350"/>
      <c r="V350"/>
      <c r="W350"/>
      <c r="X350"/>
      <c r="Y350"/>
    </row>
    <row r="351" spans="2:25" s="6" customFormat="1" x14ac:dyDescent="0.25">
      <c r="B351" s="1"/>
      <c r="C351" s="1"/>
      <c r="F351" s="2"/>
      <c r="G351" s="12"/>
      <c r="H351" s="2"/>
      <c r="J351"/>
      <c r="K351"/>
      <c r="L351"/>
      <c r="M351"/>
      <c r="N351"/>
      <c r="O351"/>
      <c r="P351"/>
      <c r="Q351"/>
      <c r="R351" s="2"/>
      <c r="S351" s="2"/>
      <c r="T351"/>
      <c r="U351"/>
      <c r="V351"/>
      <c r="W351"/>
      <c r="X351"/>
      <c r="Y351"/>
    </row>
    <row r="352" spans="2:25" s="6" customFormat="1" x14ac:dyDescent="0.25">
      <c r="B352" s="1"/>
      <c r="C352" s="1"/>
      <c r="F352" s="2"/>
      <c r="G352" s="12"/>
      <c r="H352" s="2"/>
      <c r="J352"/>
      <c r="K352"/>
      <c r="L352"/>
      <c r="M352"/>
      <c r="N352"/>
      <c r="O352"/>
      <c r="P352"/>
      <c r="Q352"/>
      <c r="R352" s="2"/>
      <c r="S352" s="2"/>
      <c r="T352"/>
      <c r="U352"/>
      <c r="V352"/>
      <c r="W352"/>
      <c r="X352"/>
      <c r="Y352"/>
    </row>
    <row r="353" spans="2:25" s="6" customFormat="1" x14ac:dyDescent="0.25">
      <c r="B353" s="1"/>
      <c r="C353" s="1"/>
      <c r="F353" s="2"/>
      <c r="G353" s="12"/>
      <c r="H353" s="2"/>
      <c r="J353"/>
      <c r="K353"/>
      <c r="L353"/>
      <c r="M353"/>
      <c r="N353"/>
      <c r="O353"/>
      <c r="P353"/>
      <c r="Q353"/>
      <c r="R353" s="2"/>
      <c r="S353" s="2"/>
      <c r="T353"/>
      <c r="U353"/>
      <c r="V353"/>
      <c r="W353"/>
      <c r="X353"/>
      <c r="Y353"/>
    </row>
    <row r="354" spans="2:25" s="6" customFormat="1" x14ac:dyDescent="0.25">
      <c r="B354" s="1"/>
      <c r="C354" s="1"/>
      <c r="F354" s="2"/>
      <c r="G354" s="12"/>
      <c r="H354" s="2"/>
      <c r="J354"/>
      <c r="K354"/>
      <c r="L354"/>
      <c r="M354"/>
      <c r="N354"/>
      <c r="O354"/>
      <c r="P354"/>
      <c r="Q354"/>
      <c r="R354" s="2"/>
      <c r="S354" s="2"/>
      <c r="T354"/>
      <c r="U354"/>
      <c r="V354"/>
      <c r="W354"/>
      <c r="X354"/>
      <c r="Y354"/>
    </row>
    <row r="355" spans="2:25" s="6" customFormat="1" x14ac:dyDescent="0.25">
      <c r="B355" s="1"/>
      <c r="C355" s="1"/>
      <c r="F355" s="2"/>
      <c r="G355" s="12"/>
      <c r="H355" s="2"/>
      <c r="J355"/>
      <c r="K355"/>
      <c r="L355"/>
      <c r="M355"/>
      <c r="N355"/>
      <c r="O355"/>
      <c r="P355"/>
      <c r="Q355"/>
      <c r="R355" s="2"/>
      <c r="S355" s="2"/>
      <c r="T355"/>
      <c r="U355"/>
      <c r="V355"/>
      <c r="W355"/>
      <c r="X355"/>
      <c r="Y355"/>
    </row>
    <row r="356" spans="2:25" s="6" customFormat="1" x14ac:dyDescent="0.25">
      <c r="B356" s="1"/>
      <c r="C356" s="1"/>
      <c r="F356" s="2"/>
      <c r="G356" s="12"/>
      <c r="H356" s="2"/>
      <c r="J356"/>
      <c r="K356"/>
      <c r="L356"/>
      <c r="M356"/>
      <c r="N356"/>
      <c r="O356"/>
      <c r="P356"/>
      <c r="Q356"/>
      <c r="R356" s="2"/>
      <c r="S356" s="2"/>
      <c r="T356"/>
      <c r="U356"/>
      <c r="V356"/>
      <c r="W356"/>
      <c r="X356"/>
      <c r="Y356"/>
    </row>
    <row r="357" spans="2:25" s="6" customFormat="1" x14ac:dyDescent="0.25">
      <c r="B357" s="1"/>
      <c r="C357" s="1"/>
      <c r="F357" s="2"/>
      <c r="G357" s="12"/>
      <c r="H357" s="2"/>
      <c r="J357"/>
      <c r="K357"/>
      <c r="L357"/>
      <c r="M357"/>
      <c r="N357"/>
      <c r="O357"/>
      <c r="P357"/>
      <c r="Q357"/>
      <c r="R357" s="2"/>
      <c r="S357" s="2"/>
      <c r="T357"/>
      <c r="U357"/>
      <c r="V357"/>
      <c r="W357"/>
      <c r="X357"/>
      <c r="Y357"/>
    </row>
    <row r="358" spans="2:25" s="6" customFormat="1" x14ac:dyDescent="0.25">
      <c r="B358" s="1"/>
      <c r="C358" s="1"/>
      <c r="F358" s="2"/>
      <c r="G358" s="12"/>
      <c r="H358" s="2"/>
      <c r="J358"/>
      <c r="K358"/>
      <c r="L358"/>
      <c r="M358"/>
      <c r="N358"/>
      <c r="O358"/>
      <c r="P358"/>
      <c r="Q358"/>
      <c r="R358" s="2"/>
      <c r="S358" s="2"/>
      <c r="T358"/>
      <c r="U358"/>
      <c r="V358"/>
      <c r="W358"/>
      <c r="X358"/>
      <c r="Y358"/>
    </row>
    <row r="359" spans="2:25" s="6" customFormat="1" x14ac:dyDescent="0.25">
      <c r="B359" s="1"/>
      <c r="C359" s="1"/>
      <c r="F359" s="2"/>
      <c r="G359" s="12"/>
      <c r="H359" s="2"/>
      <c r="J359"/>
      <c r="K359"/>
      <c r="L359"/>
      <c r="M359"/>
      <c r="N359"/>
      <c r="O359"/>
      <c r="P359"/>
      <c r="Q359"/>
      <c r="R359" s="2"/>
      <c r="S359" s="2"/>
      <c r="T359"/>
      <c r="U359"/>
      <c r="V359"/>
      <c r="W359"/>
      <c r="X359"/>
      <c r="Y359"/>
    </row>
    <row r="360" spans="2:25" s="6" customFormat="1" x14ac:dyDescent="0.25">
      <c r="B360" s="1"/>
      <c r="C360" s="1"/>
      <c r="F360" s="2"/>
      <c r="G360" s="12"/>
      <c r="H360" s="2"/>
      <c r="J360"/>
      <c r="K360"/>
      <c r="L360"/>
      <c r="M360"/>
      <c r="N360"/>
      <c r="O360"/>
      <c r="P360"/>
      <c r="Q360"/>
      <c r="R360" s="2"/>
      <c r="S360" s="2"/>
      <c r="T360"/>
      <c r="U360"/>
      <c r="V360"/>
      <c r="W360"/>
      <c r="X360"/>
      <c r="Y360"/>
    </row>
    <row r="361" spans="2:25" s="6" customFormat="1" x14ac:dyDescent="0.25">
      <c r="B361" s="1"/>
      <c r="C361" s="1"/>
      <c r="F361" s="2"/>
      <c r="G361" s="12"/>
      <c r="H361" s="2"/>
      <c r="J361"/>
      <c r="K361"/>
      <c r="L361"/>
      <c r="M361"/>
      <c r="N361"/>
      <c r="O361"/>
      <c r="P361"/>
      <c r="Q361"/>
      <c r="R361" s="2"/>
      <c r="S361" s="2"/>
      <c r="T361"/>
      <c r="U361"/>
      <c r="V361"/>
      <c r="W361"/>
      <c r="X361"/>
      <c r="Y361"/>
    </row>
    <row r="362" spans="2:25" s="6" customFormat="1" x14ac:dyDescent="0.25">
      <c r="B362" s="1"/>
      <c r="C362" s="1"/>
      <c r="F362" s="2"/>
      <c r="G362" s="12"/>
      <c r="H362" s="2"/>
      <c r="J362"/>
      <c r="K362"/>
      <c r="L362"/>
      <c r="M362"/>
      <c r="N362"/>
      <c r="O362"/>
      <c r="P362"/>
      <c r="Q362"/>
      <c r="R362" s="2"/>
      <c r="S362" s="2"/>
      <c r="T362"/>
      <c r="U362"/>
      <c r="V362"/>
      <c r="W362"/>
      <c r="X362"/>
      <c r="Y362"/>
    </row>
    <row r="363" spans="2:25" s="6" customFormat="1" x14ac:dyDescent="0.25">
      <c r="B363" s="1"/>
      <c r="C363" s="1"/>
      <c r="F363" s="2"/>
      <c r="G363" s="12"/>
      <c r="H363" s="2"/>
      <c r="J363"/>
      <c r="K363"/>
      <c r="L363"/>
      <c r="M363"/>
      <c r="N363"/>
      <c r="O363"/>
      <c r="P363"/>
      <c r="Q363"/>
      <c r="R363" s="2"/>
      <c r="S363" s="2"/>
      <c r="T363"/>
      <c r="U363"/>
      <c r="V363"/>
      <c r="W363"/>
      <c r="X363"/>
      <c r="Y363"/>
    </row>
    <row r="364" spans="2:25" s="6" customFormat="1" x14ac:dyDescent="0.25">
      <c r="B364" s="1"/>
      <c r="C364" s="1"/>
      <c r="F364" s="2"/>
      <c r="G364" s="12"/>
      <c r="H364" s="2"/>
      <c r="J364"/>
      <c r="K364"/>
      <c r="L364"/>
      <c r="M364"/>
      <c r="N364"/>
      <c r="O364"/>
      <c r="P364"/>
      <c r="Q364"/>
      <c r="R364" s="2"/>
      <c r="S364" s="2"/>
      <c r="T364"/>
      <c r="U364"/>
      <c r="V364"/>
      <c r="W364"/>
      <c r="X364"/>
      <c r="Y364"/>
    </row>
    <row r="365" spans="2:25" s="6" customFormat="1" x14ac:dyDescent="0.25">
      <c r="B365" s="1"/>
      <c r="C365" s="1"/>
      <c r="F365" s="2"/>
      <c r="G365" s="12"/>
      <c r="H365" s="2"/>
      <c r="J365"/>
      <c r="K365"/>
      <c r="L365"/>
      <c r="M365"/>
      <c r="N365"/>
      <c r="O365"/>
      <c r="P365"/>
      <c r="Q365"/>
      <c r="R365" s="2"/>
      <c r="S365" s="2"/>
      <c r="T365"/>
      <c r="U365"/>
      <c r="V365"/>
      <c r="W365"/>
      <c r="X365"/>
      <c r="Y365"/>
    </row>
    <row r="366" spans="2:25" s="6" customFormat="1" x14ac:dyDescent="0.25">
      <c r="B366" s="1"/>
      <c r="C366" s="1"/>
      <c r="F366" s="2"/>
      <c r="G366" s="12"/>
      <c r="H366" s="2"/>
      <c r="J366"/>
      <c r="K366"/>
      <c r="L366"/>
      <c r="M366"/>
      <c r="N366"/>
      <c r="O366"/>
      <c r="P366"/>
      <c r="Q366"/>
      <c r="R366" s="2"/>
      <c r="S366" s="2"/>
      <c r="T366"/>
      <c r="U366"/>
      <c r="V366"/>
      <c r="W366"/>
      <c r="X366"/>
      <c r="Y366"/>
    </row>
    <row r="367" spans="2:25" s="6" customFormat="1" x14ac:dyDescent="0.25">
      <c r="B367" s="1"/>
      <c r="C367" s="1"/>
      <c r="F367" s="2"/>
      <c r="G367" s="12"/>
      <c r="H367" s="2"/>
      <c r="J367"/>
      <c r="K367"/>
      <c r="L367"/>
      <c r="M367"/>
      <c r="N367"/>
      <c r="O367"/>
      <c r="P367"/>
      <c r="Q367"/>
      <c r="R367" s="2"/>
      <c r="S367" s="2"/>
      <c r="T367"/>
      <c r="U367"/>
      <c r="V367"/>
      <c r="W367"/>
      <c r="X367"/>
      <c r="Y367"/>
    </row>
    <row r="368" spans="2:25" s="6" customFormat="1" x14ac:dyDescent="0.25">
      <c r="B368" s="1"/>
      <c r="C368" s="1"/>
      <c r="F368" s="2"/>
      <c r="G368" s="12"/>
      <c r="H368" s="2"/>
      <c r="J368"/>
      <c r="K368"/>
      <c r="L368"/>
      <c r="M368"/>
      <c r="N368"/>
      <c r="O368"/>
      <c r="P368"/>
      <c r="Q368"/>
      <c r="R368" s="2"/>
      <c r="S368" s="2"/>
      <c r="T368"/>
      <c r="U368"/>
      <c r="V368"/>
      <c r="W368"/>
      <c r="X368"/>
      <c r="Y368"/>
    </row>
    <row r="369" spans="2:25" s="6" customFormat="1" x14ac:dyDescent="0.25">
      <c r="B369" s="1"/>
      <c r="C369" s="1"/>
      <c r="F369" s="2"/>
      <c r="G369" s="12"/>
      <c r="H369" s="2"/>
      <c r="J369"/>
      <c r="K369"/>
      <c r="L369"/>
      <c r="M369"/>
      <c r="N369"/>
      <c r="O369"/>
      <c r="P369"/>
      <c r="Q369"/>
      <c r="R369" s="2"/>
      <c r="S369" s="2"/>
      <c r="T369"/>
      <c r="U369"/>
      <c r="V369"/>
      <c r="W369"/>
      <c r="X369"/>
      <c r="Y369"/>
    </row>
    <row r="370" spans="2:25" s="6" customFormat="1" x14ac:dyDescent="0.25">
      <c r="B370" s="1"/>
      <c r="C370" s="1"/>
      <c r="F370" s="2"/>
      <c r="G370" s="12"/>
      <c r="H370" s="2"/>
      <c r="J370"/>
      <c r="K370"/>
      <c r="L370"/>
      <c r="M370"/>
      <c r="N370"/>
      <c r="O370"/>
      <c r="P370"/>
      <c r="Q370"/>
      <c r="R370" s="2"/>
      <c r="S370" s="2"/>
      <c r="T370"/>
      <c r="U370"/>
      <c r="V370"/>
      <c r="W370"/>
      <c r="X370"/>
      <c r="Y370"/>
    </row>
    <row r="371" spans="2:25" s="6" customFormat="1" x14ac:dyDescent="0.25">
      <c r="B371" s="1"/>
      <c r="C371" s="1"/>
      <c r="F371" s="2"/>
      <c r="G371" s="12"/>
      <c r="H371" s="2"/>
      <c r="J371"/>
      <c r="K371"/>
      <c r="L371"/>
      <c r="M371"/>
      <c r="N371"/>
      <c r="O371"/>
      <c r="P371"/>
      <c r="Q371"/>
      <c r="R371" s="2"/>
      <c r="S371" s="2"/>
      <c r="T371"/>
      <c r="U371"/>
      <c r="V371"/>
      <c r="W371"/>
      <c r="X371"/>
      <c r="Y371"/>
    </row>
    <row r="372" spans="2:25" s="6" customFormat="1" x14ac:dyDescent="0.25">
      <c r="B372" s="1"/>
      <c r="C372" s="1"/>
      <c r="F372" s="2"/>
      <c r="G372" s="12"/>
      <c r="H372" s="2"/>
      <c r="J372"/>
      <c r="K372"/>
      <c r="L372"/>
      <c r="M372"/>
      <c r="N372"/>
      <c r="O372"/>
      <c r="P372"/>
      <c r="Q372"/>
      <c r="R372" s="2"/>
      <c r="S372" s="2"/>
      <c r="T372"/>
      <c r="U372"/>
      <c r="V372"/>
      <c r="W372"/>
      <c r="X372"/>
      <c r="Y372"/>
    </row>
    <row r="373" spans="2:25" s="6" customFormat="1" x14ac:dyDescent="0.25">
      <c r="B373" s="1"/>
      <c r="C373" s="1"/>
      <c r="F373" s="2"/>
      <c r="G373" s="12"/>
      <c r="H373" s="2"/>
      <c r="J373"/>
      <c r="K373"/>
      <c r="L373"/>
      <c r="M373"/>
      <c r="N373"/>
      <c r="O373"/>
      <c r="P373"/>
      <c r="Q373"/>
      <c r="R373" s="2"/>
      <c r="S373" s="2"/>
      <c r="T373"/>
      <c r="U373"/>
      <c r="V373"/>
      <c r="W373"/>
      <c r="X373"/>
      <c r="Y373"/>
    </row>
    <row r="374" spans="2:25" s="6" customFormat="1" x14ac:dyDescent="0.25">
      <c r="B374" s="1"/>
      <c r="C374" s="1"/>
      <c r="F374" s="2"/>
      <c r="G374" s="12"/>
      <c r="H374" s="2"/>
      <c r="J374"/>
      <c r="K374"/>
      <c r="L374"/>
      <c r="M374"/>
      <c r="N374"/>
      <c r="O374"/>
      <c r="P374"/>
      <c r="Q374"/>
      <c r="R374" s="2"/>
      <c r="S374" s="2"/>
      <c r="T374"/>
      <c r="U374"/>
      <c r="V374"/>
      <c r="W374"/>
      <c r="X374"/>
      <c r="Y374"/>
    </row>
    <row r="375" spans="2:25" s="6" customFormat="1" x14ac:dyDescent="0.25">
      <c r="B375" s="1"/>
      <c r="C375" s="1"/>
      <c r="F375" s="2"/>
      <c r="G375" s="12"/>
      <c r="H375" s="2"/>
      <c r="J375"/>
      <c r="K375"/>
      <c r="L375"/>
      <c r="M375"/>
      <c r="N375"/>
      <c r="O375"/>
      <c r="P375"/>
      <c r="Q375"/>
      <c r="R375" s="2"/>
      <c r="S375" s="2"/>
      <c r="T375"/>
      <c r="U375"/>
      <c r="V375"/>
      <c r="W375"/>
      <c r="X375"/>
      <c r="Y375"/>
    </row>
    <row r="376" spans="2:25" s="6" customFormat="1" x14ac:dyDescent="0.25">
      <c r="B376" s="1"/>
      <c r="C376" s="1"/>
      <c r="F376" s="2"/>
      <c r="G376" s="12"/>
      <c r="H376" s="2"/>
      <c r="J376"/>
      <c r="K376"/>
      <c r="L376"/>
      <c r="M376"/>
      <c r="N376"/>
      <c r="O376"/>
      <c r="P376"/>
      <c r="Q376"/>
      <c r="R376" s="2"/>
      <c r="S376" s="2"/>
      <c r="T376"/>
      <c r="U376"/>
      <c r="V376"/>
      <c r="W376"/>
      <c r="X376"/>
      <c r="Y376"/>
    </row>
    <row r="377" spans="2:25" s="6" customFormat="1" x14ac:dyDescent="0.25">
      <c r="B377" s="1"/>
      <c r="C377" s="1"/>
      <c r="F377" s="2"/>
      <c r="G377" s="12"/>
      <c r="H377" s="2"/>
      <c r="J377"/>
      <c r="K377"/>
      <c r="L377"/>
      <c r="M377"/>
      <c r="N377"/>
      <c r="O377"/>
      <c r="P377"/>
      <c r="Q377"/>
      <c r="R377" s="2"/>
      <c r="S377" s="2"/>
      <c r="T377"/>
      <c r="U377"/>
      <c r="V377"/>
      <c r="W377"/>
      <c r="X377"/>
      <c r="Y377"/>
    </row>
    <row r="378" spans="2:25" s="6" customFormat="1" x14ac:dyDescent="0.25">
      <c r="B378" s="1"/>
      <c r="C378" s="1"/>
      <c r="F378" s="2"/>
      <c r="G378" s="12"/>
      <c r="H378" s="2"/>
      <c r="J378"/>
      <c r="K378"/>
      <c r="L378"/>
      <c r="M378"/>
      <c r="N378"/>
      <c r="O378"/>
      <c r="P378"/>
      <c r="Q378"/>
      <c r="R378" s="2"/>
      <c r="S378" s="2"/>
      <c r="T378"/>
      <c r="U378"/>
      <c r="V378"/>
      <c r="W378"/>
      <c r="X378"/>
      <c r="Y378"/>
    </row>
    <row r="379" spans="2:25" s="6" customFormat="1" x14ac:dyDescent="0.25">
      <c r="B379" s="1"/>
      <c r="C379" s="1"/>
      <c r="F379" s="2"/>
      <c r="G379" s="12"/>
      <c r="H379" s="2"/>
      <c r="J379"/>
      <c r="K379"/>
      <c r="L379"/>
      <c r="M379"/>
      <c r="N379"/>
      <c r="O379"/>
      <c r="P379"/>
      <c r="Q379"/>
      <c r="R379" s="2"/>
      <c r="S379" s="2"/>
      <c r="T379"/>
      <c r="U379"/>
      <c r="V379"/>
      <c r="W379"/>
      <c r="X379"/>
      <c r="Y379"/>
    </row>
    <row r="380" spans="2:25" s="6" customFormat="1" x14ac:dyDescent="0.25">
      <c r="B380" s="1"/>
      <c r="C380" s="1"/>
      <c r="F380" s="2"/>
      <c r="G380" s="12"/>
      <c r="H380" s="2"/>
      <c r="J380"/>
      <c r="K380"/>
      <c r="L380"/>
      <c r="M380"/>
      <c r="N380"/>
      <c r="O380"/>
      <c r="P380"/>
      <c r="Q380"/>
      <c r="R380" s="2"/>
      <c r="S380" s="2"/>
      <c r="T380"/>
      <c r="U380"/>
      <c r="V380"/>
      <c r="W380"/>
      <c r="X380"/>
      <c r="Y380"/>
    </row>
    <row r="381" spans="2:25" s="6" customFormat="1" x14ac:dyDescent="0.25">
      <c r="B381" s="1"/>
      <c r="C381" s="1"/>
      <c r="F381" s="2"/>
      <c r="G381" s="12"/>
      <c r="H381" s="2"/>
      <c r="J381"/>
      <c r="K381"/>
      <c r="L381"/>
      <c r="M381"/>
      <c r="N381"/>
      <c r="O381"/>
      <c r="P381"/>
      <c r="Q381"/>
      <c r="R381" s="2"/>
      <c r="S381" s="2"/>
      <c r="T381"/>
      <c r="U381"/>
      <c r="V381"/>
      <c r="W381"/>
      <c r="X381"/>
      <c r="Y381"/>
    </row>
    <row r="382" spans="2:25" s="6" customFormat="1" x14ac:dyDescent="0.25">
      <c r="B382" s="1"/>
      <c r="C382" s="1"/>
      <c r="F382" s="2"/>
      <c r="G382" s="12"/>
      <c r="H382" s="2"/>
      <c r="J382"/>
      <c r="K382"/>
      <c r="L382"/>
      <c r="M382"/>
      <c r="N382"/>
      <c r="O382"/>
      <c r="P382"/>
      <c r="Q382"/>
      <c r="R382" s="2"/>
      <c r="S382" s="2"/>
      <c r="T382"/>
      <c r="U382"/>
      <c r="V382"/>
      <c r="W382"/>
      <c r="X382"/>
      <c r="Y382"/>
    </row>
    <row r="383" spans="2:25" s="6" customFormat="1" x14ac:dyDescent="0.25">
      <c r="B383" s="1"/>
      <c r="C383" s="1"/>
      <c r="F383" s="2"/>
      <c r="G383" s="12"/>
      <c r="H383" s="2"/>
      <c r="J383"/>
      <c r="K383"/>
      <c r="L383"/>
      <c r="M383"/>
      <c r="N383"/>
      <c r="O383"/>
      <c r="P383"/>
      <c r="Q383"/>
      <c r="R383" s="2"/>
      <c r="S383" s="2"/>
      <c r="T383"/>
      <c r="U383"/>
      <c r="V383"/>
      <c r="W383"/>
      <c r="X383"/>
      <c r="Y383"/>
    </row>
    <row r="384" spans="2:25" s="6" customFormat="1" x14ac:dyDescent="0.25">
      <c r="B384" s="1"/>
      <c r="C384" s="1"/>
      <c r="F384" s="2"/>
      <c r="G384" s="12"/>
      <c r="H384" s="2"/>
      <c r="J384"/>
      <c r="K384"/>
      <c r="L384"/>
      <c r="M384"/>
      <c r="N384"/>
      <c r="O384"/>
      <c r="P384"/>
      <c r="Q384"/>
      <c r="R384" s="2"/>
      <c r="S384" s="2"/>
      <c r="T384"/>
      <c r="U384"/>
      <c r="V384"/>
      <c r="W384"/>
      <c r="X384"/>
      <c r="Y384"/>
    </row>
    <row r="385" spans="2:25" s="6" customFormat="1" x14ac:dyDescent="0.25">
      <c r="B385" s="1"/>
      <c r="C385" s="1"/>
      <c r="F385" s="2"/>
      <c r="G385" s="12"/>
      <c r="H385" s="2"/>
      <c r="J385"/>
      <c r="K385"/>
      <c r="L385"/>
      <c r="M385"/>
      <c r="N385"/>
      <c r="O385"/>
      <c r="P385"/>
      <c r="Q385"/>
      <c r="R385" s="2"/>
      <c r="S385" s="2"/>
      <c r="T385"/>
      <c r="U385"/>
      <c r="V385"/>
      <c r="W385"/>
      <c r="X385"/>
      <c r="Y385"/>
    </row>
    <row r="386" spans="2:25" s="6" customFormat="1" x14ac:dyDescent="0.25">
      <c r="B386" s="1"/>
      <c r="C386" s="1"/>
      <c r="F386" s="2"/>
      <c r="G386" s="12"/>
      <c r="H386" s="2"/>
      <c r="J386"/>
      <c r="K386"/>
      <c r="L386"/>
      <c r="M386"/>
      <c r="N386"/>
      <c r="O386"/>
      <c r="P386"/>
      <c r="Q386"/>
      <c r="R386" s="2"/>
      <c r="S386" s="2"/>
      <c r="T386"/>
      <c r="U386"/>
      <c r="V386"/>
      <c r="W386"/>
      <c r="X386"/>
      <c r="Y386"/>
    </row>
    <row r="387" spans="2:25" s="6" customFormat="1" x14ac:dyDescent="0.25">
      <c r="B387" s="1"/>
      <c r="C387" s="1"/>
      <c r="F387" s="2"/>
      <c r="G387" s="12"/>
      <c r="H387" s="2"/>
      <c r="J387"/>
      <c r="K387"/>
      <c r="L387"/>
      <c r="M387"/>
      <c r="N387"/>
      <c r="O387"/>
      <c r="P387"/>
      <c r="Q387"/>
      <c r="R387" s="2"/>
      <c r="S387" s="2"/>
      <c r="T387"/>
      <c r="U387"/>
      <c r="V387"/>
      <c r="W387"/>
      <c r="X387"/>
      <c r="Y387"/>
    </row>
    <row r="388" spans="2:25" s="6" customFormat="1" x14ac:dyDescent="0.25">
      <c r="B388" s="1"/>
      <c r="C388" s="1"/>
      <c r="F388" s="2"/>
      <c r="G388" s="12"/>
      <c r="H388" s="2"/>
      <c r="J388"/>
      <c r="K388"/>
      <c r="L388"/>
      <c r="M388"/>
      <c r="N388"/>
      <c r="O388"/>
      <c r="P388"/>
      <c r="Q388"/>
      <c r="R388" s="2"/>
      <c r="S388" s="2"/>
      <c r="T388"/>
      <c r="U388"/>
      <c r="V388"/>
      <c r="W388"/>
      <c r="X388"/>
      <c r="Y388"/>
    </row>
    <row r="389" spans="2:25" s="6" customFormat="1" x14ac:dyDescent="0.25">
      <c r="B389" s="1"/>
      <c r="C389" s="1"/>
      <c r="F389" s="2"/>
      <c r="G389" s="12"/>
      <c r="H389" s="2"/>
      <c r="J389"/>
      <c r="K389"/>
      <c r="L389"/>
      <c r="M389"/>
      <c r="N389"/>
      <c r="O389"/>
      <c r="P389"/>
      <c r="Q389"/>
      <c r="R389" s="2"/>
      <c r="S389" s="2"/>
      <c r="T389"/>
      <c r="U389"/>
      <c r="V389"/>
      <c r="W389"/>
      <c r="X389"/>
      <c r="Y389"/>
    </row>
    <row r="390" spans="2:25" s="6" customFormat="1" x14ac:dyDescent="0.25">
      <c r="B390" s="1"/>
      <c r="C390" s="1"/>
      <c r="F390" s="2"/>
      <c r="G390" s="12"/>
      <c r="H390" s="2"/>
      <c r="J390"/>
      <c r="K390"/>
      <c r="L390"/>
      <c r="M390"/>
      <c r="N390"/>
      <c r="O390"/>
      <c r="P390"/>
      <c r="Q390"/>
      <c r="R390" s="2"/>
      <c r="S390" s="2"/>
      <c r="T390"/>
      <c r="U390"/>
      <c r="V390"/>
      <c r="W390"/>
      <c r="X390"/>
      <c r="Y390"/>
    </row>
    <row r="391" spans="2:25" s="6" customFormat="1" x14ac:dyDescent="0.25">
      <c r="B391" s="1"/>
      <c r="C391" s="1"/>
      <c r="F391" s="2"/>
      <c r="G391" s="12"/>
      <c r="H391" s="2"/>
      <c r="J391"/>
      <c r="K391"/>
      <c r="L391"/>
      <c r="M391"/>
      <c r="N391"/>
      <c r="O391"/>
      <c r="P391"/>
      <c r="Q391"/>
      <c r="R391" s="2"/>
      <c r="S391" s="2"/>
      <c r="T391"/>
      <c r="U391"/>
      <c r="V391"/>
      <c r="W391"/>
      <c r="X391"/>
      <c r="Y391"/>
    </row>
    <row r="392" spans="2:25" s="6" customFormat="1" x14ac:dyDescent="0.25">
      <c r="B392" s="1"/>
      <c r="C392" s="1"/>
      <c r="F392" s="2"/>
      <c r="G392" s="12"/>
      <c r="H392" s="2"/>
      <c r="J392"/>
      <c r="K392"/>
      <c r="L392"/>
      <c r="M392"/>
      <c r="N392"/>
      <c r="O392"/>
      <c r="P392"/>
      <c r="Q392"/>
      <c r="R392" s="2"/>
      <c r="S392" s="2"/>
      <c r="T392"/>
      <c r="U392"/>
      <c r="V392"/>
      <c r="W392"/>
      <c r="X392"/>
      <c r="Y392"/>
    </row>
    <row r="393" spans="2:25" s="6" customFormat="1" x14ac:dyDescent="0.25">
      <c r="B393" s="1"/>
      <c r="C393" s="1"/>
      <c r="F393" s="2"/>
      <c r="G393" s="12"/>
      <c r="H393" s="2"/>
      <c r="J393"/>
      <c r="K393"/>
      <c r="L393"/>
      <c r="M393"/>
      <c r="N393"/>
      <c r="O393"/>
      <c r="P393"/>
      <c r="Q393"/>
      <c r="R393" s="2"/>
      <c r="S393" s="2"/>
      <c r="T393"/>
      <c r="U393"/>
      <c r="V393"/>
      <c r="W393"/>
      <c r="X393"/>
      <c r="Y393"/>
    </row>
    <row r="394" spans="2:25" s="6" customFormat="1" x14ac:dyDescent="0.25">
      <c r="B394" s="1"/>
      <c r="C394" s="1"/>
      <c r="F394" s="2"/>
      <c r="G394" s="12"/>
      <c r="H394" s="2"/>
      <c r="J394"/>
      <c r="K394"/>
      <c r="L394"/>
      <c r="M394"/>
      <c r="N394"/>
      <c r="O394"/>
      <c r="P394"/>
      <c r="Q394"/>
      <c r="R394" s="2"/>
      <c r="S394" s="2"/>
      <c r="T394"/>
      <c r="U394"/>
      <c r="V394"/>
      <c r="W394"/>
      <c r="X394"/>
      <c r="Y394"/>
    </row>
    <row r="395" spans="2:25" s="6" customFormat="1" x14ac:dyDescent="0.25">
      <c r="B395" s="1"/>
      <c r="C395" s="1"/>
      <c r="F395" s="2"/>
      <c r="G395" s="12"/>
      <c r="H395" s="2"/>
      <c r="J395"/>
      <c r="K395"/>
      <c r="L395"/>
      <c r="M395"/>
      <c r="N395"/>
      <c r="O395"/>
      <c r="P395"/>
      <c r="Q395"/>
      <c r="R395" s="2"/>
      <c r="S395" s="2"/>
      <c r="T395"/>
      <c r="U395"/>
      <c r="V395"/>
      <c r="W395"/>
      <c r="X395"/>
      <c r="Y395"/>
    </row>
    <row r="396" spans="2:25" s="6" customFormat="1" x14ac:dyDescent="0.25">
      <c r="B396" s="1"/>
      <c r="C396" s="1"/>
      <c r="F396" s="2"/>
      <c r="G396" s="12"/>
      <c r="H396" s="2"/>
      <c r="J396"/>
      <c r="K396"/>
      <c r="L396"/>
      <c r="M396"/>
      <c r="N396"/>
      <c r="O396"/>
      <c r="P396"/>
      <c r="Q396"/>
      <c r="R396" s="2"/>
      <c r="S396" s="2"/>
      <c r="T396"/>
      <c r="U396"/>
      <c r="V396"/>
      <c r="W396"/>
      <c r="X396"/>
      <c r="Y396"/>
    </row>
    <row r="397" spans="2:25" s="6" customFormat="1" x14ac:dyDescent="0.25">
      <c r="B397" s="1"/>
      <c r="C397" s="1"/>
      <c r="F397" s="2"/>
      <c r="G397" s="12"/>
      <c r="H397" s="2"/>
      <c r="J397"/>
      <c r="K397"/>
      <c r="L397"/>
      <c r="M397"/>
      <c r="N397"/>
      <c r="O397"/>
      <c r="P397"/>
      <c r="Q397"/>
      <c r="R397" s="2"/>
      <c r="S397" s="2"/>
      <c r="T397"/>
      <c r="U397"/>
      <c r="V397"/>
      <c r="W397"/>
      <c r="X397"/>
      <c r="Y397"/>
    </row>
    <row r="398" spans="2:25" s="6" customFormat="1" x14ac:dyDescent="0.25">
      <c r="B398" s="1"/>
      <c r="C398" s="1"/>
      <c r="F398" s="2"/>
      <c r="G398" s="12"/>
      <c r="H398" s="2"/>
      <c r="J398"/>
      <c r="K398"/>
      <c r="L398"/>
      <c r="M398"/>
      <c r="N398"/>
      <c r="O398"/>
      <c r="P398"/>
      <c r="Q398"/>
      <c r="R398" s="2"/>
      <c r="S398" s="2"/>
      <c r="T398"/>
      <c r="U398"/>
      <c r="V398"/>
      <c r="W398"/>
      <c r="X398"/>
      <c r="Y398"/>
    </row>
    <row r="399" spans="2:25" s="6" customFormat="1" x14ac:dyDescent="0.25">
      <c r="B399" s="1"/>
      <c r="C399" s="1"/>
      <c r="F399" s="2"/>
      <c r="G399" s="12"/>
      <c r="H399" s="2"/>
      <c r="J399"/>
      <c r="K399"/>
      <c r="L399"/>
      <c r="M399"/>
      <c r="N399"/>
      <c r="O399"/>
      <c r="P399"/>
      <c r="Q399"/>
      <c r="R399" s="2"/>
      <c r="S399" s="2"/>
      <c r="T399"/>
      <c r="U399"/>
      <c r="V399"/>
      <c r="W399"/>
      <c r="X399"/>
      <c r="Y399"/>
    </row>
    <row r="400" spans="2:25" s="6" customFormat="1" x14ac:dyDescent="0.25">
      <c r="B400" s="1"/>
      <c r="C400" s="1"/>
      <c r="F400" s="2"/>
      <c r="G400" s="12"/>
      <c r="H400" s="2"/>
      <c r="J400"/>
      <c r="K400"/>
      <c r="L400"/>
      <c r="M400"/>
      <c r="N400"/>
      <c r="O400"/>
      <c r="P400"/>
      <c r="Q400"/>
      <c r="R400" s="2"/>
      <c r="S400" s="2"/>
      <c r="T400"/>
      <c r="U400"/>
      <c r="V400"/>
      <c r="W400"/>
      <c r="X400"/>
      <c r="Y400"/>
    </row>
    <row r="401" spans="2:25" s="6" customFormat="1" x14ac:dyDescent="0.25">
      <c r="B401" s="1"/>
      <c r="C401" s="1"/>
      <c r="F401" s="2"/>
      <c r="G401" s="12"/>
      <c r="H401" s="2"/>
      <c r="J401"/>
      <c r="K401"/>
      <c r="L401"/>
      <c r="M401"/>
      <c r="N401"/>
      <c r="O401"/>
      <c r="P401"/>
      <c r="Q401"/>
      <c r="R401" s="2"/>
      <c r="S401" s="2"/>
      <c r="T401"/>
      <c r="U401"/>
      <c r="V401"/>
      <c r="W401"/>
      <c r="X401"/>
      <c r="Y401"/>
    </row>
    <row r="402" spans="2:25" s="6" customFormat="1" x14ac:dyDescent="0.25">
      <c r="B402" s="1"/>
      <c r="C402" s="1"/>
      <c r="F402" s="2"/>
      <c r="G402" s="12"/>
      <c r="H402" s="2"/>
      <c r="J402"/>
      <c r="K402"/>
      <c r="L402"/>
      <c r="M402"/>
      <c r="N402"/>
      <c r="O402"/>
      <c r="P402"/>
      <c r="Q402"/>
      <c r="R402" s="2"/>
      <c r="S402" s="2"/>
      <c r="T402"/>
      <c r="U402"/>
      <c r="V402"/>
      <c r="W402"/>
      <c r="X402"/>
      <c r="Y402"/>
    </row>
    <row r="403" spans="2:25" s="6" customFormat="1" x14ac:dyDescent="0.25">
      <c r="B403" s="1"/>
      <c r="C403" s="1"/>
      <c r="F403" s="2"/>
      <c r="G403" s="12"/>
      <c r="H403" s="2"/>
      <c r="J403"/>
      <c r="K403"/>
      <c r="L403"/>
      <c r="M403"/>
      <c r="N403"/>
      <c r="O403"/>
      <c r="P403"/>
      <c r="Q403"/>
      <c r="R403" s="2"/>
      <c r="S403" s="2"/>
      <c r="T403"/>
      <c r="U403"/>
      <c r="V403"/>
      <c r="W403"/>
      <c r="X403"/>
      <c r="Y403"/>
    </row>
    <row r="404" spans="2:25" s="6" customFormat="1" x14ac:dyDescent="0.25">
      <c r="B404" s="1"/>
      <c r="C404" s="1"/>
      <c r="F404" s="2"/>
      <c r="G404" s="12"/>
      <c r="H404" s="2"/>
      <c r="J404"/>
      <c r="K404"/>
      <c r="L404"/>
      <c r="M404"/>
      <c r="N404"/>
      <c r="O404"/>
      <c r="P404"/>
      <c r="Q404"/>
      <c r="R404" s="2"/>
      <c r="S404" s="2"/>
      <c r="T404"/>
      <c r="U404"/>
      <c r="V404"/>
      <c r="W404"/>
      <c r="X404"/>
      <c r="Y404"/>
    </row>
    <row r="405" spans="2:25" s="6" customFormat="1" x14ac:dyDescent="0.25">
      <c r="B405" s="1"/>
      <c r="C405" s="1"/>
      <c r="F405" s="2"/>
      <c r="G405" s="12"/>
      <c r="H405" s="2"/>
      <c r="J405"/>
      <c r="K405"/>
      <c r="L405"/>
      <c r="M405"/>
      <c r="N405"/>
      <c r="O405"/>
      <c r="P405"/>
      <c r="Q405"/>
      <c r="R405" s="2"/>
      <c r="S405" s="2"/>
      <c r="T405"/>
      <c r="U405"/>
      <c r="V405"/>
      <c r="W405"/>
      <c r="X405"/>
      <c r="Y405"/>
    </row>
    <row r="406" spans="2:25" s="6" customFormat="1" x14ac:dyDescent="0.25">
      <c r="B406" s="1"/>
      <c r="C406" s="1"/>
      <c r="F406" s="2"/>
      <c r="G406" s="12"/>
      <c r="H406" s="2"/>
      <c r="J406"/>
      <c r="K406"/>
      <c r="L406"/>
      <c r="M406"/>
      <c r="N406"/>
      <c r="O406"/>
      <c r="P406"/>
      <c r="Q406"/>
      <c r="R406" s="2"/>
      <c r="S406" s="2"/>
      <c r="T406"/>
      <c r="U406"/>
      <c r="V406"/>
      <c r="W406"/>
      <c r="X406"/>
      <c r="Y406"/>
    </row>
    <row r="407" spans="2:25" s="6" customFormat="1" x14ac:dyDescent="0.25">
      <c r="B407" s="1"/>
      <c r="C407" s="1"/>
      <c r="F407" s="2"/>
      <c r="G407" s="12"/>
      <c r="H407" s="2"/>
      <c r="J407"/>
      <c r="K407"/>
      <c r="L407"/>
      <c r="M407"/>
      <c r="N407"/>
      <c r="O407"/>
      <c r="P407"/>
      <c r="Q407"/>
      <c r="R407" s="2"/>
      <c r="S407" s="2"/>
      <c r="T407"/>
      <c r="U407"/>
      <c r="V407"/>
      <c r="W407"/>
      <c r="X407"/>
      <c r="Y407"/>
    </row>
    <row r="408" spans="2:25" s="6" customFormat="1" x14ac:dyDescent="0.25">
      <c r="B408" s="1"/>
      <c r="C408" s="1"/>
      <c r="F408" s="2"/>
      <c r="G408" s="12"/>
      <c r="H408" s="2"/>
      <c r="J408"/>
      <c r="K408"/>
      <c r="L408"/>
      <c r="M408"/>
      <c r="N408"/>
      <c r="O408"/>
      <c r="P408"/>
      <c r="Q408"/>
      <c r="R408" s="2"/>
      <c r="S408" s="2"/>
      <c r="T408"/>
      <c r="U408"/>
      <c r="V408"/>
      <c r="W408"/>
      <c r="X408"/>
      <c r="Y408"/>
    </row>
    <row r="409" spans="2:25" s="6" customFormat="1" x14ac:dyDescent="0.25">
      <c r="B409" s="1"/>
      <c r="C409" s="1"/>
      <c r="F409" s="2"/>
      <c r="G409" s="12"/>
      <c r="H409" s="2"/>
      <c r="J409"/>
      <c r="K409"/>
      <c r="L409"/>
      <c r="M409"/>
      <c r="N409"/>
      <c r="O409"/>
      <c r="P409"/>
      <c r="Q409"/>
      <c r="R409" s="2"/>
      <c r="S409" s="2"/>
      <c r="T409"/>
      <c r="U409"/>
      <c r="V409"/>
      <c r="W409"/>
      <c r="X409"/>
      <c r="Y409"/>
    </row>
    <row r="410" spans="2:25" s="6" customFormat="1" x14ac:dyDescent="0.25">
      <c r="B410" s="1"/>
      <c r="C410" s="1"/>
      <c r="F410" s="2"/>
      <c r="G410" s="12"/>
      <c r="H410" s="2"/>
      <c r="J410"/>
      <c r="K410"/>
      <c r="L410"/>
      <c r="M410"/>
      <c r="N410"/>
      <c r="O410"/>
      <c r="P410"/>
      <c r="Q410"/>
      <c r="R410" s="2"/>
      <c r="S410" s="2"/>
      <c r="T410"/>
      <c r="U410"/>
      <c r="V410"/>
      <c r="W410"/>
      <c r="X410"/>
      <c r="Y410"/>
    </row>
    <row r="411" spans="2:25" s="6" customFormat="1" x14ac:dyDescent="0.25">
      <c r="B411" s="1"/>
      <c r="C411" s="1"/>
      <c r="F411" s="2"/>
      <c r="G411" s="12"/>
      <c r="H411" s="2"/>
      <c r="J411"/>
      <c r="K411"/>
      <c r="L411"/>
      <c r="M411"/>
      <c r="N411"/>
      <c r="O411"/>
      <c r="P411"/>
      <c r="Q411"/>
      <c r="R411" s="2"/>
      <c r="S411" s="2"/>
      <c r="T411"/>
      <c r="U411"/>
      <c r="V411"/>
      <c r="W411"/>
      <c r="X411"/>
      <c r="Y411"/>
    </row>
    <row r="412" spans="2:25" s="6" customFormat="1" x14ac:dyDescent="0.25">
      <c r="B412" s="1"/>
      <c r="C412" s="1"/>
      <c r="F412" s="2"/>
      <c r="G412" s="12"/>
      <c r="H412" s="2"/>
      <c r="J412"/>
      <c r="K412"/>
      <c r="L412"/>
      <c r="M412"/>
      <c r="N412"/>
      <c r="O412"/>
      <c r="P412"/>
      <c r="Q412"/>
      <c r="R412" s="2"/>
      <c r="S412" s="2"/>
      <c r="T412"/>
      <c r="U412"/>
      <c r="V412"/>
      <c r="W412"/>
      <c r="X412"/>
      <c r="Y412"/>
    </row>
    <row r="413" spans="2:25" s="6" customFormat="1" x14ac:dyDescent="0.25">
      <c r="B413" s="1"/>
      <c r="C413" s="1"/>
      <c r="F413" s="2"/>
      <c r="G413" s="12"/>
      <c r="H413" s="2"/>
      <c r="J413"/>
      <c r="K413"/>
      <c r="L413"/>
      <c r="M413"/>
      <c r="N413"/>
      <c r="O413"/>
      <c r="P413"/>
      <c r="Q413"/>
      <c r="R413" s="2"/>
      <c r="S413" s="2"/>
      <c r="T413"/>
      <c r="U413"/>
      <c r="V413"/>
      <c r="W413"/>
      <c r="X413"/>
      <c r="Y413"/>
    </row>
    <row r="414" spans="2:25" s="6" customFormat="1" x14ac:dyDescent="0.25">
      <c r="B414" s="1"/>
      <c r="C414" s="1"/>
      <c r="F414" s="2"/>
      <c r="G414" s="12"/>
      <c r="H414" s="2"/>
      <c r="J414"/>
      <c r="K414"/>
      <c r="L414"/>
      <c r="M414"/>
      <c r="N414"/>
      <c r="O414"/>
      <c r="P414"/>
      <c r="Q414"/>
      <c r="R414" s="2"/>
      <c r="S414" s="2"/>
      <c r="T414"/>
      <c r="U414"/>
      <c r="V414"/>
      <c r="W414"/>
      <c r="X414"/>
      <c r="Y414"/>
    </row>
    <row r="415" spans="2:25" s="6" customFormat="1" x14ac:dyDescent="0.25">
      <c r="B415" s="1"/>
      <c r="C415" s="1"/>
      <c r="F415" s="2"/>
      <c r="G415" s="12"/>
      <c r="H415" s="2"/>
      <c r="J415"/>
      <c r="K415"/>
      <c r="L415"/>
      <c r="M415"/>
      <c r="N415"/>
      <c r="O415"/>
      <c r="P415"/>
      <c r="Q415"/>
      <c r="R415" s="2"/>
      <c r="S415" s="2"/>
      <c r="T415"/>
      <c r="U415"/>
      <c r="V415"/>
      <c r="W415"/>
      <c r="X415"/>
      <c r="Y415"/>
    </row>
    <row r="416" spans="2:25" s="6" customFormat="1" x14ac:dyDescent="0.25">
      <c r="B416" s="1"/>
      <c r="C416" s="1"/>
      <c r="F416" s="2"/>
      <c r="G416" s="12"/>
      <c r="H416" s="2"/>
      <c r="J416"/>
      <c r="K416"/>
      <c r="L416"/>
      <c r="M416"/>
      <c r="N416"/>
      <c r="O416"/>
      <c r="P416"/>
      <c r="Q416"/>
      <c r="R416" s="2"/>
      <c r="S416" s="2"/>
      <c r="T416"/>
      <c r="U416"/>
      <c r="V416"/>
      <c r="W416"/>
      <c r="X416"/>
      <c r="Y416"/>
    </row>
    <row r="417" spans="2:25" s="6" customFormat="1" x14ac:dyDescent="0.25">
      <c r="B417" s="1"/>
      <c r="C417" s="1"/>
      <c r="F417" s="2"/>
      <c r="G417" s="12"/>
      <c r="H417" s="2"/>
      <c r="J417"/>
      <c r="K417"/>
      <c r="L417"/>
      <c r="M417"/>
      <c r="N417"/>
      <c r="O417"/>
      <c r="P417"/>
      <c r="Q417"/>
      <c r="R417" s="2"/>
      <c r="S417" s="2"/>
      <c r="T417"/>
      <c r="U417"/>
      <c r="V417"/>
      <c r="W417"/>
      <c r="X417"/>
      <c r="Y417"/>
    </row>
    <row r="418" spans="2:25" s="6" customFormat="1" x14ac:dyDescent="0.25">
      <c r="B418" s="1"/>
      <c r="C418" s="1"/>
      <c r="F418" s="2"/>
      <c r="G418" s="12"/>
      <c r="H418" s="2"/>
      <c r="J418"/>
      <c r="K418"/>
      <c r="L418"/>
      <c r="M418"/>
      <c r="N418"/>
      <c r="O418"/>
      <c r="P418"/>
      <c r="Q418"/>
      <c r="R418" s="2"/>
      <c r="S418" s="2"/>
      <c r="T418"/>
      <c r="U418"/>
      <c r="V418"/>
      <c r="W418"/>
      <c r="X418"/>
      <c r="Y418"/>
    </row>
    <row r="419" spans="2:25" s="6" customFormat="1" x14ac:dyDescent="0.25">
      <c r="B419" s="1"/>
      <c r="C419" s="1"/>
      <c r="F419" s="2"/>
      <c r="G419" s="12"/>
      <c r="H419" s="2"/>
      <c r="J419"/>
      <c r="K419"/>
      <c r="L419"/>
      <c r="M419"/>
      <c r="N419"/>
      <c r="O419"/>
      <c r="P419"/>
      <c r="Q419"/>
      <c r="R419" s="2"/>
      <c r="S419" s="2"/>
      <c r="T419"/>
      <c r="U419"/>
      <c r="V419"/>
      <c r="W419"/>
      <c r="X419"/>
      <c r="Y419"/>
    </row>
    <row r="420" spans="2:25" s="6" customFormat="1" x14ac:dyDescent="0.25">
      <c r="B420" s="1"/>
      <c r="C420" s="1"/>
      <c r="F420" s="2"/>
      <c r="G420" s="12"/>
      <c r="H420" s="2"/>
      <c r="J420"/>
      <c r="K420"/>
      <c r="L420"/>
      <c r="M420"/>
      <c r="N420"/>
      <c r="O420"/>
      <c r="P420"/>
      <c r="Q420"/>
      <c r="R420" s="2"/>
      <c r="S420" s="2"/>
      <c r="T420"/>
      <c r="U420"/>
      <c r="V420"/>
      <c r="W420"/>
      <c r="X420"/>
      <c r="Y420"/>
    </row>
    <row r="421" spans="2:25" s="6" customFormat="1" x14ac:dyDescent="0.25">
      <c r="B421" s="1"/>
      <c r="C421" s="1"/>
      <c r="F421" s="2"/>
      <c r="G421" s="12"/>
      <c r="H421" s="2"/>
      <c r="J421"/>
      <c r="K421"/>
      <c r="L421"/>
      <c r="M421"/>
      <c r="N421"/>
      <c r="O421"/>
      <c r="P421"/>
      <c r="Q421"/>
      <c r="R421" s="2"/>
      <c r="S421" s="2"/>
      <c r="T421"/>
      <c r="U421"/>
      <c r="V421"/>
      <c r="W421"/>
      <c r="X421"/>
      <c r="Y421"/>
    </row>
    <row r="422" spans="2:25" s="6" customFormat="1" x14ac:dyDescent="0.25">
      <c r="B422" s="1"/>
      <c r="C422" s="1"/>
      <c r="F422" s="2"/>
      <c r="G422" s="12"/>
      <c r="H422" s="2"/>
      <c r="J422"/>
      <c r="K422"/>
      <c r="L422"/>
      <c r="M422"/>
      <c r="N422"/>
      <c r="O422"/>
      <c r="P422"/>
      <c r="Q422"/>
      <c r="R422" s="2"/>
      <c r="S422" s="2"/>
      <c r="T422"/>
      <c r="U422"/>
      <c r="V422"/>
      <c r="W422"/>
      <c r="X422"/>
      <c r="Y422"/>
    </row>
    <row r="423" spans="2:25" s="6" customFormat="1" x14ac:dyDescent="0.25">
      <c r="B423" s="1"/>
      <c r="C423" s="1"/>
      <c r="F423" s="2"/>
      <c r="G423" s="12"/>
      <c r="H423" s="2"/>
      <c r="J423"/>
      <c r="K423"/>
      <c r="L423"/>
      <c r="M423"/>
      <c r="N423"/>
      <c r="O423"/>
      <c r="P423"/>
      <c r="Q423"/>
      <c r="R423" s="2"/>
      <c r="S423" s="2"/>
      <c r="T423"/>
      <c r="U423"/>
      <c r="V423"/>
      <c r="W423"/>
      <c r="X423"/>
      <c r="Y423"/>
    </row>
    <row r="424" spans="2:25" s="6" customFormat="1" x14ac:dyDescent="0.25">
      <c r="B424" s="1"/>
      <c r="C424" s="1"/>
      <c r="F424" s="2"/>
      <c r="G424" s="12"/>
      <c r="H424" s="2"/>
      <c r="J424"/>
      <c r="K424"/>
      <c r="L424"/>
      <c r="M424"/>
      <c r="N424"/>
      <c r="O424"/>
      <c r="P424"/>
      <c r="Q424"/>
      <c r="R424" s="2"/>
      <c r="S424" s="2"/>
      <c r="T424"/>
      <c r="U424"/>
      <c r="V424"/>
      <c r="W424"/>
      <c r="X424"/>
      <c r="Y424"/>
    </row>
    <row r="425" spans="2:25" s="6" customFormat="1" x14ac:dyDescent="0.25">
      <c r="B425" s="1"/>
      <c r="C425" s="1"/>
      <c r="F425" s="2"/>
      <c r="G425" s="12"/>
      <c r="H425" s="2"/>
      <c r="J425"/>
      <c r="K425"/>
      <c r="L425"/>
      <c r="M425"/>
      <c r="N425"/>
      <c r="O425"/>
      <c r="P425"/>
      <c r="Q425"/>
      <c r="R425" s="2"/>
      <c r="S425" s="2"/>
      <c r="T425"/>
      <c r="U425"/>
      <c r="V425"/>
      <c r="W425"/>
      <c r="X425"/>
      <c r="Y425"/>
    </row>
    <row r="426" spans="2:25" s="6" customFormat="1" x14ac:dyDescent="0.25">
      <c r="B426" s="1"/>
      <c r="C426" s="1"/>
      <c r="F426" s="2"/>
      <c r="G426" s="12"/>
      <c r="H426" s="2"/>
      <c r="J426"/>
      <c r="K426"/>
      <c r="L426"/>
      <c r="M426"/>
      <c r="N426"/>
      <c r="O426"/>
      <c r="P426"/>
      <c r="Q426"/>
      <c r="R426" s="2"/>
      <c r="S426" s="2"/>
      <c r="T426"/>
      <c r="U426"/>
      <c r="V426"/>
      <c r="W426"/>
      <c r="X426"/>
      <c r="Y426"/>
    </row>
    <row r="427" spans="2:25" s="6" customFormat="1" x14ac:dyDescent="0.25">
      <c r="B427" s="1"/>
      <c r="C427" s="1"/>
      <c r="F427" s="2"/>
      <c r="G427" s="12"/>
      <c r="H427" s="2"/>
      <c r="J427"/>
      <c r="K427"/>
      <c r="L427"/>
      <c r="M427"/>
      <c r="N427"/>
      <c r="O427"/>
      <c r="P427"/>
      <c r="Q427"/>
      <c r="R427" s="2"/>
      <c r="S427" s="2"/>
      <c r="T427"/>
      <c r="U427"/>
      <c r="V427"/>
      <c r="W427"/>
      <c r="X427"/>
      <c r="Y427"/>
    </row>
    <row r="428" spans="2:25" s="6" customFormat="1" x14ac:dyDescent="0.25">
      <c r="B428" s="1"/>
      <c r="C428" s="1"/>
      <c r="F428" s="2"/>
      <c r="G428" s="12"/>
      <c r="H428" s="2"/>
      <c r="J428"/>
      <c r="K428"/>
      <c r="L428"/>
      <c r="M428"/>
      <c r="N428"/>
      <c r="O428"/>
      <c r="P428"/>
      <c r="Q428"/>
      <c r="R428" s="2"/>
      <c r="S428" s="2"/>
      <c r="T428"/>
      <c r="U428"/>
      <c r="V428"/>
      <c r="W428"/>
      <c r="X428"/>
      <c r="Y428"/>
    </row>
    <row r="429" spans="2:25" s="6" customFormat="1" x14ac:dyDescent="0.25">
      <c r="B429" s="1"/>
      <c r="C429" s="1"/>
      <c r="F429" s="2"/>
      <c r="G429" s="12"/>
      <c r="H429" s="2"/>
      <c r="J429"/>
      <c r="K429"/>
      <c r="L429"/>
      <c r="M429"/>
      <c r="N429"/>
      <c r="O429"/>
      <c r="P429"/>
      <c r="Q429"/>
      <c r="R429" s="2"/>
      <c r="S429" s="2"/>
      <c r="T429"/>
      <c r="U429"/>
      <c r="V429"/>
      <c r="W429"/>
      <c r="X429"/>
      <c r="Y429"/>
    </row>
    <row r="430" spans="2:25" s="6" customFormat="1" x14ac:dyDescent="0.25">
      <c r="B430" s="1"/>
      <c r="C430" s="1"/>
      <c r="F430" s="2"/>
      <c r="G430" s="12"/>
      <c r="H430" s="2"/>
      <c r="J430"/>
      <c r="K430"/>
      <c r="L430"/>
      <c r="M430"/>
      <c r="N430"/>
      <c r="O430"/>
      <c r="P430"/>
      <c r="Q430"/>
      <c r="R430" s="2"/>
      <c r="S430" s="2"/>
      <c r="T430"/>
      <c r="U430"/>
      <c r="V430"/>
      <c r="W430"/>
      <c r="X430"/>
      <c r="Y430"/>
    </row>
    <row r="431" spans="2:25" s="6" customFormat="1" x14ac:dyDescent="0.25">
      <c r="B431" s="1"/>
      <c r="C431" s="1"/>
      <c r="F431" s="2"/>
      <c r="G431" s="12"/>
      <c r="H431" s="2"/>
      <c r="J431"/>
      <c r="K431"/>
      <c r="L431"/>
      <c r="M431"/>
      <c r="N431"/>
      <c r="O431"/>
      <c r="P431"/>
      <c r="Q431"/>
      <c r="R431" s="2"/>
      <c r="S431" s="2"/>
      <c r="T431"/>
      <c r="U431"/>
      <c r="V431"/>
      <c r="W431"/>
      <c r="X431"/>
      <c r="Y431"/>
    </row>
    <row r="432" spans="2:25" s="6" customFormat="1" x14ac:dyDescent="0.25">
      <c r="B432" s="1"/>
      <c r="C432" s="1"/>
      <c r="F432" s="2"/>
      <c r="G432" s="12"/>
      <c r="H432" s="2"/>
      <c r="J432"/>
      <c r="K432"/>
      <c r="L432"/>
      <c r="M432"/>
      <c r="N432"/>
      <c r="O432"/>
      <c r="P432"/>
      <c r="Q432"/>
      <c r="R432" s="2"/>
      <c r="S432" s="2"/>
      <c r="T432"/>
      <c r="U432"/>
      <c r="V432"/>
      <c r="W432"/>
      <c r="X432"/>
      <c r="Y432"/>
    </row>
    <row r="433" spans="2:25" s="6" customFormat="1" x14ac:dyDescent="0.25">
      <c r="B433" s="1"/>
      <c r="C433" s="1"/>
      <c r="F433" s="2"/>
      <c r="G433" s="12"/>
      <c r="H433" s="2"/>
      <c r="J433"/>
      <c r="K433"/>
      <c r="L433"/>
      <c r="M433"/>
      <c r="N433"/>
      <c r="O433"/>
      <c r="P433"/>
      <c r="Q433"/>
      <c r="R433" s="2"/>
      <c r="S433" s="2"/>
      <c r="T433"/>
      <c r="U433"/>
      <c r="V433"/>
      <c r="W433"/>
      <c r="X433"/>
      <c r="Y433"/>
    </row>
    <row r="434" spans="2:25" s="6" customFormat="1" x14ac:dyDescent="0.25">
      <c r="B434" s="1"/>
      <c r="C434" s="1"/>
      <c r="F434" s="2"/>
      <c r="G434" s="12"/>
      <c r="H434" s="2"/>
      <c r="J434"/>
      <c r="K434"/>
      <c r="L434"/>
      <c r="M434"/>
      <c r="N434"/>
      <c r="O434"/>
      <c r="P434"/>
      <c r="Q434"/>
      <c r="R434" s="2"/>
      <c r="S434" s="2"/>
      <c r="T434"/>
      <c r="U434"/>
      <c r="V434"/>
      <c r="W434"/>
      <c r="X434"/>
      <c r="Y434"/>
    </row>
    <row r="435" spans="2:25" s="6" customFormat="1" x14ac:dyDescent="0.25">
      <c r="B435" s="1"/>
      <c r="C435" s="1"/>
      <c r="F435" s="2"/>
      <c r="G435" s="12"/>
      <c r="H435" s="2"/>
      <c r="J435"/>
      <c r="K435"/>
      <c r="L435"/>
      <c r="M435"/>
      <c r="N435"/>
      <c r="O435"/>
      <c r="P435"/>
      <c r="Q435"/>
      <c r="R435" s="2"/>
      <c r="S435" s="2"/>
      <c r="T435"/>
      <c r="U435"/>
      <c r="V435"/>
      <c r="W435"/>
      <c r="X435"/>
      <c r="Y435"/>
    </row>
    <row r="436" spans="2:25" s="6" customFormat="1" x14ac:dyDescent="0.25">
      <c r="B436" s="1"/>
      <c r="C436" s="1"/>
      <c r="F436" s="2"/>
      <c r="G436" s="12"/>
      <c r="H436" s="2"/>
      <c r="J436"/>
      <c r="K436"/>
      <c r="L436"/>
      <c r="M436"/>
      <c r="N436"/>
      <c r="O436"/>
      <c r="P436"/>
      <c r="Q436"/>
      <c r="R436" s="2"/>
      <c r="S436" s="2"/>
      <c r="T436"/>
      <c r="U436"/>
      <c r="V436"/>
      <c r="W436"/>
      <c r="X436"/>
      <c r="Y436"/>
    </row>
    <row r="437" spans="2:25" s="6" customFormat="1" x14ac:dyDescent="0.25">
      <c r="B437" s="1"/>
      <c r="C437" s="1"/>
      <c r="F437" s="2"/>
      <c r="G437" s="12"/>
      <c r="H437" s="2"/>
      <c r="J437"/>
      <c r="K437"/>
      <c r="L437"/>
      <c r="M437"/>
      <c r="N437"/>
      <c r="O437"/>
      <c r="P437"/>
      <c r="Q437"/>
      <c r="R437" s="2"/>
      <c r="S437" s="2"/>
      <c r="T437"/>
      <c r="U437"/>
      <c r="V437"/>
      <c r="W437"/>
      <c r="X437"/>
      <c r="Y437"/>
    </row>
    <row r="438" spans="2:25" s="6" customFormat="1" x14ac:dyDescent="0.25">
      <c r="B438" s="1"/>
      <c r="C438" s="1"/>
      <c r="F438" s="2"/>
      <c r="G438" s="12"/>
      <c r="H438" s="2"/>
      <c r="J438"/>
      <c r="K438"/>
      <c r="L438"/>
      <c r="M438"/>
      <c r="N438"/>
      <c r="O438"/>
      <c r="P438"/>
      <c r="Q438"/>
      <c r="R438" s="2"/>
      <c r="S438" s="2"/>
      <c r="T438"/>
      <c r="U438"/>
      <c r="V438"/>
      <c r="W438"/>
      <c r="X438"/>
      <c r="Y438"/>
    </row>
    <row r="439" spans="2:25" s="6" customFormat="1" x14ac:dyDescent="0.25">
      <c r="B439" s="1"/>
      <c r="C439" s="1"/>
      <c r="F439" s="2"/>
      <c r="G439" s="12"/>
      <c r="H439" s="2"/>
      <c r="J439"/>
      <c r="K439"/>
      <c r="L439"/>
      <c r="M439"/>
      <c r="N439"/>
      <c r="O439"/>
      <c r="P439"/>
      <c r="Q439"/>
      <c r="R439" s="2"/>
      <c r="S439" s="2"/>
      <c r="T439"/>
      <c r="U439"/>
      <c r="V439"/>
      <c r="W439"/>
      <c r="X439"/>
      <c r="Y439"/>
    </row>
    <row r="440" spans="2:25" s="6" customFormat="1" x14ac:dyDescent="0.25">
      <c r="B440" s="1"/>
      <c r="C440" s="1"/>
      <c r="F440" s="2"/>
      <c r="G440" s="12"/>
      <c r="H440" s="2"/>
      <c r="J440"/>
      <c r="K440"/>
      <c r="L440"/>
      <c r="M440"/>
      <c r="N440"/>
      <c r="O440"/>
      <c r="P440"/>
      <c r="Q440"/>
      <c r="R440" s="2"/>
      <c r="S440" s="2"/>
      <c r="T440"/>
      <c r="U440"/>
      <c r="V440"/>
      <c r="W440"/>
      <c r="X440"/>
      <c r="Y440"/>
    </row>
    <row r="441" spans="2:25" s="6" customFormat="1" x14ac:dyDescent="0.25">
      <c r="B441" s="1"/>
      <c r="C441" s="1"/>
      <c r="F441" s="2"/>
      <c r="G441" s="12"/>
      <c r="H441" s="2"/>
      <c r="J441"/>
      <c r="K441"/>
      <c r="L441"/>
      <c r="M441"/>
      <c r="N441"/>
      <c r="O441"/>
      <c r="P441"/>
      <c r="Q441"/>
      <c r="R441" s="2"/>
      <c r="S441" s="2"/>
      <c r="T441"/>
      <c r="U441"/>
      <c r="V441"/>
      <c r="W441"/>
      <c r="X441"/>
      <c r="Y441"/>
    </row>
    <row r="442" spans="2:25" s="6" customFormat="1" x14ac:dyDescent="0.25">
      <c r="B442" s="1"/>
      <c r="C442" s="1"/>
      <c r="F442" s="2"/>
      <c r="G442" s="12"/>
      <c r="H442" s="2"/>
      <c r="J442"/>
      <c r="K442"/>
      <c r="L442"/>
      <c r="M442"/>
      <c r="N442"/>
      <c r="O442"/>
      <c r="P442"/>
      <c r="Q442"/>
      <c r="R442" s="2"/>
      <c r="S442" s="2"/>
      <c r="T442"/>
      <c r="U442"/>
      <c r="V442"/>
      <c r="W442"/>
      <c r="X442"/>
      <c r="Y442"/>
    </row>
    <row r="443" spans="2:25" s="6" customFormat="1" x14ac:dyDescent="0.25">
      <c r="B443" s="1"/>
      <c r="C443" s="1"/>
      <c r="F443" s="2"/>
      <c r="G443" s="12"/>
      <c r="H443" s="2"/>
      <c r="J443"/>
      <c r="K443"/>
      <c r="L443"/>
      <c r="M443"/>
      <c r="N443"/>
      <c r="O443"/>
      <c r="P443"/>
      <c r="Q443"/>
      <c r="R443" s="2"/>
      <c r="S443" s="2"/>
      <c r="T443"/>
      <c r="U443"/>
      <c r="V443"/>
      <c r="W443"/>
      <c r="X443"/>
      <c r="Y443"/>
    </row>
    <row r="444" spans="2:25" s="6" customFormat="1" x14ac:dyDescent="0.25">
      <c r="B444" s="1"/>
      <c r="C444" s="1"/>
      <c r="F444" s="2"/>
      <c r="G444" s="12"/>
      <c r="H444" s="2"/>
      <c r="J444"/>
      <c r="K444"/>
      <c r="L444"/>
      <c r="M444"/>
      <c r="N444"/>
      <c r="O444"/>
      <c r="P444"/>
      <c r="Q444"/>
      <c r="R444" s="2"/>
      <c r="S444" s="2"/>
      <c r="T444"/>
      <c r="U444"/>
      <c r="V444"/>
      <c r="W444"/>
      <c r="X444"/>
      <c r="Y444"/>
    </row>
    <row r="445" spans="2:25" s="6" customFormat="1" x14ac:dyDescent="0.25">
      <c r="B445" s="1"/>
      <c r="C445" s="1"/>
      <c r="F445" s="2"/>
      <c r="G445" s="12"/>
      <c r="H445" s="2"/>
      <c r="J445"/>
      <c r="K445"/>
      <c r="L445"/>
      <c r="M445"/>
      <c r="N445"/>
      <c r="O445"/>
      <c r="P445"/>
      <c r="Q445"/>
      <c r="R445" s="2"/>
      <c r="S445" s="2"/>
      <c r="T445"/>
      <c r="U445"/>
      <c r="V445"/>
      <c r="W445"/>
      <c r="X445"/>
      <c r="Y445"/>
    </row>
    <row r="446" spans="2:25" s="6" customFormat="1" x14ac:dyDescent="0.25">
      <c r="B446" s="1"/>
      <c r="C446" s="1"/>
      <c r="F446" s="2"/>
      <c r="G446" s="12"/>
      <c r="H446" s="2"/>
      <c r="J446"/>
      <c r="K446"/>
      <c r="L446"/>
      <c r="M446"/>
      <c r="N446"/>
      <c r="O446"/>
      <c r="P446"/>
      <c r="Q446"/>
      <c r="R446" s="2"/>
      <c r="S446" s="2"/>
      <c r="T446"/>
      <c r="U446"/>
      <c r="V446"/>
      <c r="W446"/>
      <c r="X446"/>
      <c r="Y446"/>
    </row>
    <row r="447" spans="2:25" s="6" customFormat="1" x14ac:dyDescent="0.25">
      <c r="B447" s="1"/>
      <c r="C447" s="1"/>
      <c r="F447" s="2"/>
      <c r="G447" s="12"/>
      <c r="H447" s="2"/>
      <c r="J447"/>
      <c r="K447"/>
      <c r="L447"/>
      <c r="M447"/>
      <c r="N447"/>
      <c r="O447"/>
      <c r="P447"/>
      <c r="Q447"/>
      <c r="R447" s="2"/>
      <c r="S447" s="2"/>
      <c r="T447"/>
      <c r="U447"/>
      <c r="V447"/>
      <c r="W447"/>
      <c r="X447"/>
      <c r="Y447"/>
    </row>
    <row r="448" spans="2:25" s="6" customFormat="1" x14ac:dyDescent="0.25">
      <c r="B448" s="1"/>
      <c r="C448" s="1"/>
      <c r="F448" s="2"/>
      <c r="G448" s="12"/>
      <c r="H448" s="2"/>
      <c r="J448"/>
      <c r="K448"/>
      <c r="L448"/>
      <c r="M448"/>
      <c r="N448"/>
      <c r="O448"/>
      <c r="P448"/>
      <c r="Q448"/>
      <c r="R448" s="2"/>
      <c r="S448" s="2"/>
      <c r="T448"/>
      <c r="U448"/>
      <c r="V448"/>
      <c r="W448"/>
      <c r="X448"/>
      <c r="Y448"/>
    </row>
    <row r="449" spans="2:25" s="6" customFormat="1" x14ac:dyDescent="0.25">
      <c r="B449" s="1"/>
      <c r="C449" s="1"/>
      <c r="F449" s="2"/>
      <c r="G449" s="12"/>
      <c r="H449" s="2"/>
      <c r="J449"/>
      <c r="K449"/>
      <c r="L449"/>
      <c r="M449"/>
      <c r="N449"/>
      <c r="O449"/>
      <c r="P449"/>
      <c r="Q449"/>
      <c r="R449" s="2"/>
      <c r="S449" s="2"/>
      <c r="T449"/>
      <c r="U449"/>
      <c r="V449"/>
      <c r="W449"/>
      <c r="X449"/>
      <c r="Y449"/>
    </row>
    <row r="450" spans="2:25" s="6" customFormat="1" x14ac:dyDescent="0.25">
      <c r="B450" s="1"/>
      <c r="C450" s="1"/>
      <c r="F450" s="2"/>
      <c r="G450" s="12"/>
      <c r="H450" s="2"/>
      <c r="J450"/>
      <c r="K450"/>
      <c r="L450"/>
      <c r="M450"/>
      <c r="N450"/>
      <c r="O450"/>
      <c r="P450"/>
      <c r="Q450"/>
      <c r="R450" s="2"/>
      <c r="S450" s="2"/>
      <c r="T450"/>
      <c r="U450"/>
      <c r="V450"/>
      <c r="W450"/>
      <c r="X450"/>
      <c r="Y450"/>
    </row>
    <row r="451" spans="2:25" s="6" customFormat="1" x14ac:dyDescent="0.25">
      <c r="B451" s="1"/>
      <c r="C451" s="1"/>
      <c r="F451" s="2"/>
      <c r="G451" s="12"/>
      <c r="H451" s="2"/>
      <c r="J451"/>
      <c r="K451"/>
      <c r="L451"/>
      <c r="M451"/>
      <c r="N451"/>
      <c r="O451"/>
      <c r="P451"/>
      <c r="Q451"/>
      <c r="R451" s="2"/>
      <c r="S451" s="2"/>
      <c r="T451"/>
      <c r="U451"/>
      <c r="V451"/>
      <c r="W451"/>
      <c r="X451"/>
      <c r="Y451"/>
    </row>
    <row r="452" spans="2:25" s="6" customFormat="1" x14ac:dyDescent="0.25">
      <c r="B452" s="1"/>
      <c r="C452" s="1"/>
      <c r="F452" s="2"/>
      <c r="G452" s="12"/>
      <c r="H452" s="2"/>
      <c r="J452"/>
      <c r="K452"/>
      <c r="L452"/>
      <c r="M452"/>
      <c r="N452"/>
      <c r="O452"/>
      <c r="P452"/>
      <c r="Q452"/>
      <c r="R452" s="2"/>
      <c r="S452" s="2"/>
      <c r="T452"/>
      <c r="U452"/>
      <c r="V452"/>
      <c r="W452"/>
      <c r="X452"/>
      <c r="Y452"/>
    </row>
    <row r="453" spans="2:25" s="6" customFormat="1" x14ac:dyDescent="0.25">
      <c r="B453" s="1"/>
      <c r="C453" s="1"/>
      <c r="F453" s="2"/>
      <c r="G453" s="12"/>
      <c r="H453" s="2"/>
      <c r="J453"/>
      <c r="K453"/>
      <c r="L453"/>
      <c r="M453"/>
      <c r="N453"/>
      <c r="O453"/>
      <c r="P453"/>
      <c r="Q453"/>
      <c r="R453" s="2"/>
      <c r="S453" s="2"/>
      <c r="T453"/>
      <c r="U453"/>
      <c r="V453"/>
      <c r="W453"/>
      <c r="X453"/>
      <c r="Y453"/>
    </row>
    <row r="454" spans="2:25" s="6" customFormat="1" x14ac:dyDescent="0.25">
      <c r="B454" s="1"/>
      <c r="C454" s="1"/>
      <c r="F454" s="2"/>
      <c r="G454" s="12"/>
      <c r="H454" s="2"/>
      <c r="J454"/>
      <c r="K454"/>
      <c r="L454"/>
      <c r="M454"/>
      <c r="N454"/>
      <c r="O454"/>
      <c r="P454"/>
      <c r="Q454"/>
      <c r="R454" s="2"/>
      <c r="S454" s="2"/>
      <c r="T454"/>
      <c r="U454"/>
      <c r="V454"/>
      <c r="W454"/>
      <c r="X454"/>
      <c r="Y454"/>
    </row>
    <row r="455" spans="2:25" s="6" customFormat="1" x14ac:dyDescent="0.25">
      <c r="B455" s="1"/>
      <c r="C455" s="1"/>
      <c r="F455" s="2"/>
      <c r="G455" s="12"/>
      <c r="H455" s="2"/>
      <c r="J455"/>
      <c r="K455"/>
      <c r="L455"/>
      <c r="M455"/>
      <c r="N455"/>
      <c r="O455"/>
      <c r="P455"/>
      <c r="Q455"/>
      <c r="R455" s="2"/>
      <c r="S455" s="2"/>
      <c r="T455"/>
      <c r="U455"/>
      <c r="V455"/>
      <c r="W455"/>
      <c r="X455"/>
      <c r="Y455"/>
    </row>
    <row r="456" spans="2:25" s="6" customFormat="1" x14ac:dyDescent="0.25">
      <c r="B456" s="1"/>
      <c r="C456" s="1"/>
      <c r="F456" s="2"/>
      <c r="G456" s="12"/>
      <c r="H456" s="2"/>
      <c r="J456"/>
      <c r="K456"/>
      <c r="L456"/>
      <c r="M456"/>
      <c r="N456"/>
      <c r="O456"/>
      <c r="P456"/>
      <c r="Q456"/>
      <c r="R456" s="2"/>
      <c r="S456" s="2"/>
      <c r="T456"/>
      <c r="U456"/>
      <c r="V456"/>
      <c r="W456"/>
      <c r="X456"/>
      <c r="Y456"/>
    </row>
    <row r="457" spans="2:25" s="6" customFormat="1" x14ac:dyDescent="0.25">
      <c r="B457" s="1"/>
      <c r="C457" s="1"/>
      <c r="F457" s="2"/>
      <c r="G457" s="12"/>
      <c r="H457" s="2"/>
      <c r="J457"/>
      <c r="K457"/>
      <c r="L457"/>
      <c r="M457"/>
      <c r="N457"/>
      <c r="O457"/>
      <c r="P457"/>
      <c r="Q457"/>
      <c r="R457" s="2"/>
      <c r="S457" s="2"/>
      <c r="T457"/>
      <c r="U457"/>
      <c r="V457"/>
      <c r="W457"/>
      <c r="X457"/>
      <c r="Y457"/>
    </row>
    <row r="458" spans="2:25" s="6" customFormat="1" x14ac:dyDescent="0.25">
      <c r="B458" s="1"/>
      <c r="C458" s="1"/>
      <c r="F458" s="2"/>
      <c r="G458" s="12"/>
      <c r="H458" s="2"/>
      <c r="J458"/>
      <c r="K458"/>
      <c r="L458"/>
      <c r="M458"/>
      <c r="N458"/>
      <c r="O458"/>
      <c r="P458"/>
      <c r="Q458"/>
      <c r="R458" s="2"/>
      <c r="S458" s="2"/>
      <c r="T458"/>
      <c r="U458"/>
      <c r="V458"/>
      <c r="W458"/>
      <c r="X458"/>
      <c r="Y458"/>
    </row>
    <row r="459" spans="2:25" s="6" customFormat="1" x14ac:dyDescent="0.25">
      <c r="B459" s="1"/>
      <c r="C459" s="1"/>
      <c r="F459" s="2"/>
      <c r="G459" s="12"/>
      <c r="H459" s="2"/>
      <c r="J459"/>
      <c r="K459"/>
      <c r="L459"/>
      <c r="M459"/>
      <c r="N459"/>
      <c r="O459"/>
      <c r="P459"/>
      <c r="Q459"/>
      <c r="R459" s="2"/>
      <c r="S459" s="2"/>
      <c r="T459"/>
      <c r="U459"/>
      <c r="V459"/>
      <c r="W459"/>
      <c r="X459"/>
      <c r="Y459"/>
    </row>
    <row r="460" spans="2:25" s="6" customFormat="1" x14ac:dyDescent="0.25">
      <c r="B460" s="1"/>
      <c r="C460" s="1"/>
      <c r="F460" s="2"/>
      <c r="G460" s="12"/>
      <c r="H460" s="2"/>
      <c r="J460"/>
      <c r="K460"/>
      <c r="L460"/>
      <c r="M460"/>
      <c r="N460"/>
      <c r="O460"/>
      <c r="P460"/>
      <c r="Q460"/>
      <c r="R460" s="2"/>
      <c r="S460" s="2"/>
      <c r="T460"/>
      <c r="U460"/>
      <c r="V460"/>
      <c r="W460"/>
      <c r="X460"/>
      <c r="Y460"/>
    </row>
    <row r="461" spans="2:25" s="6" customFormat="1" x14ac:dyDescent="0.25">
      <c r="B461" s="1"/>
      <c r="C461" s="1"/>
      <c r="F461" s="2"/>
      <c r="G461" s="12"/>
      <c r="H461" s="2"/>
      <c r="J461"/>
      <c r="K461"/>
      <c r="L461"/>
      <c r="M461"/>
      <c r="N461"/>
      <c r="O461"/>
      <c r="P461"/>
      <c r="Q461"/>
      <c r="R461" s="2"/>
      <c r="S461" s="2"/>
      <c r="T461"/>
      <c r="U461"/>
      <c r="V461"/>
      <c r="W461"/>
      <c r="X461"/>
      <c r="Y461"/>
    </row>
    <row r="462" spans="2:25" s="6" customFormat="1" x14ac:dyDescent="0.25">
      <c r="B462" s="1"/>
      <c r="C462" s="1"/>
      <c r="F462" s="2"/>
      <c r="G462" s="12"/>
      <c r="H462" s="2"/>
      <c r="J462"/>
      <c r="K462"/>
      <c r="L462"/>
      <c r="M462"/>
      <c r="N462"/>
      <c r="O462"/>
      <c r="P462"/>
      <c r="Q462"/>
      <c r="R462" s="2"/>
      <c r="S462" s="2"/>
      <c r="T462"/>
      <c r="U462"/>
      <c r="V462"/>
      <c r="W462"/>
      <c r="X462"/>
      <c r="Y462"/>
    </row>
    <row r="463" spans="2:25" s="6" customFormat="1" x14ac:dyDescent="0.25">
      <c r="B463" s="1"/>
      <c r="C463" s="1"/>
      <c r="F463" s="2"/>
      <c r="G463" s="12"/>
      <c r="H463" s="2"/>
      <c r="J463"/>
      <c r="K463"/>
      <c r="L463"/>
      <c r="M463"/>
      <c r="N463"/>
      <c r="O463"/>
      <c r="P463"/>
      <c r="Q463"/>
      <c r="R463" s="2"/>
      <c r="S463" s="2"/>
      <c r="T463"/>
      <c r="U463"/>
      <c r="V463"/>
      <c r="W463"/>
      <c r="X463"/>
      <c r="Y463"/>
    </row>
    <row r="464" spans="2:25" s="6" customFormat="1" x14ac:dyDescent="0.25">
      <c r="B464" s="1"/>
      <c r="C464" s="1"/>
      <c r="F464" s="2"/>
      <c r="G464" s="12"/>
      <c r="H464" s="2"/>
      <c r="J464"/>
      <c r="K464"/>
      <c r="L464"/>
      <c r="M464"/>
      <c r="N464"/>
      <c r="O464"/>
      <c r="P464"/>
      <c r="Q464"/>
      <c r="R464" s="2"/>
      <c r="S464" s="2"/>
      <c r="T464"/>
      <c r="U464"/>
      <c r="V464"/>
      <c r="W464"/>
      <c r="X464"/>
      <c r="Y464"/>
    </row>
    <row r="465" spans="2:25" s="6" customFormat="1" x14ac:dyDescent="0.25">
      <c r="B465" s="1"/>
      <c r="C465" s="1"/>
      <c r="F465" s="2"/>
      <c r="G465" s="12"/>
      <c r="H465" s="2"/>
      <c r="J465"/>
      <c r="K465"/>
      <c r="L465"/>
      <c r="M465"/>
      <c r="N465"/>
      <c r="O465"/>
      <c r="P465"/>
      <c r="Q465"/>
      <c r="R465" s="2"/>
      <c r="S465" s="2"/>
      <c r="T465"/>
      <c r="U465"/>
      <c r="V465"/>
      <c r="W465"/>
      <c r="X465"/>
      <c r="Y465"/>
    </row>
    <row r="466" spans="2:25" s="6" customFormat="1" x14ac:dyDescent="0.25">
      <c r="B466" s="1"/>
      <c r="C466" s="1"/>
      <c r="F466" s="2"/>
      <c r="G466" s="12"/>
      <c r="H466" s="2"/>
      <c r="J466"/>
      <c r="K466"/>
      <c r="L466"/>
      <c r="M466"/>
      <c r="N466"/>
      <c r="O466"/>
      <c r="P466"/>
      <c r="Q466"/>
      <c r="R466" s="2"/>
      <c r="S466" s="2"/>
      <c r="T466"/>
      <c r="U466"/>
      <c r="V466"/>
      <c r="W466"/>
      <c r="X466"/>
      <c r="Y466"/>
    </row>
    <row r="467" spans="2:25" s="6" customFormat="1" x14ac:dyDescent="0.25">
      <c r="B467" s="1"/>
      <c r="C467" s="1"/>
      <c r="F467" s="2"/>
      <c r="G467" s="12"/>
      <c r="H467" s="2"/>
      <c r="J467"/>
      <c r="K467"/>
      <c r="L467"/>
      <c r="M467"/>
      <c r="N467"/>
      <c r="O467"/>
      <c r="P467"/>
      <c r="Q467"/>
      <c r="R467" s="2"/>
      <c r="S467" s="2"/>
      <c r="T467"/>
      <c r="U467"/>
      <c r="V467"/>
      <c r="W467"/>
      <c r="X467"/>
      <c r="Y467"/>
    </row>
    <row r="468" spans="2:25" s="6" customFormat="1" x14ac:dyDescent="0.25">
      <c r="B468" s="1"/>
      <c r="C468" s="1"/>
      <c r="F468" s="2"/>
      <c r="G468" s="12"/>
      <c r="H468" s="2"/>
      <c r="J468"/>
      <c r="K468"/>
      <c r="L468"/>
      <c r="M468"/>
      <c r="N468"/>
      <c r="O468"/>
      <c r="P468"/>
      <c r="Q468"/>
      <c r="R468" s="2"/>
      <c r="S468" s="2"/>
      <c r="T468"/>
      <c r="U468"/>
      <c r="V468"/>
      <c r="W468"/>
      <c r="X468"/>
      <c r="Y468"/>
    </row>
    <row r="469" spans="2:25" s="6" customFormat="1" x14ac:dyDescent="0.25">
      <c r="B469" s="1"/>
      <c r="C469" s="1"/>
      <c r="F469" s="2"/>
      <c r="G469" s="12"/>
      <c r="H469" s="2"/>
      <c r="J469"/>
      <c r="K469"/>
      <c r="L469"/>
      <c r="M469"/>
      <c r="N469"/>
      <c r="O469"/>
      <c r="P469"/>
      <c r="Q469"/>
      <c r="R469" s="2"/>
      <c r="S469" s="2"/>
      <c r="T469"/>
      <c r="U469"/>
      <c r="V469"/>
      <c r="W469"/>
      <c r="X469"/>
      <c r="Y469"/>
    </row>
    <row r="470" spans="2:25" s="6" customFormat="1" x14ac:dyDescent="0.25">
      <c r="B470" s="1"/>
      <c r="C470" s="1"/>
      <c r="F470" s="2"/>
      <c r="G470" s="12"/>
      <c r="H470" s="2"/>
      <c r="J470"/>
      <c r="K470"/>
      <c r="L470"/>
      <c r="M470"/>
      <c r="N470"/>
      <c r="O470"/>
      <c r="P470"/>
      <c r="Q470"/>
      <c r="R470" s="2"/>
      <c r="S470" s="2"/>
      <c r="T470"/>
      <c r="U470"/>
      <c r="V470"/>
      <c r="W470"/>
      <c r="X470"/>
      <c r="Y470"/>
    </row>
    <row r="471" spans="2:25" s="6" customFormat="1" x14ac:dyDescent="0.25">
      <c r="B471" s="1"/>
      <c r="C471" s="1"/>
      <c r="F471" s="2"/>
      <c r="G471" s="12"/>
      <c r="H471" s="2"/>
      <c r="J471"/>
      <c r="K471"/>
      <c r="L471"/>
      <c r="M471"/>
      <c r="N471"/>
      <c r="O471"/>
      <c r="P471"/>
      <c r="Q471"/>
      <c r="R471" s="2"/>
      <c r="S471" s="2"/>
      <c r="T471"/>
      <c r="U471"/>
      <c r="V471"/>
      <c r="W471"/>
      <c r="X471"/>
      <c r="Y471"/>
    </row>
    <row r="472" spans="2:25" s="6" customFormat="1" x14ac:dyDescent="0.25">
      <c r="B472" s="1"/>
      <c r="C472" s="1"/>
      <c r="F472" s="2"/>
      <c r="G472" s="12"/>
      <c r="H472" s="2"/>
      <c r="J472"/>
      <c r="K472"/>
      <c r="L472"/>
      <c r="M472"/>
      <c r="N472"/>
      <c r="O472"/>
      <c r="P472"/>
      <c r="Q472"/>
      <c r="R472" s="2"/>
      <c r="S472" s="2"/>
      <c r="T472"/>
      <c r="U472"/>
      <c r="V472"/>
      <c r="W472"/>
      <c r="X472"/>
      <c r="Y472"/>
    </row>
    <row r="473" spans="2:25" s="6" customFormat="1" x14ac:dyDescent="0.25">
      <c r="B473" s="1"/>
      <c r="C473" s="1"/>
      <c r="F473" s="2"/>
      <c r="G473" s="12"/>
      <c r="H473" s="2"/>
      <c r="J473"/>
      <c r="K473"/>
      <c r="L473"/>
      <c r="M473"/>
      <c r="N473"/>
      <c r="O473"/>
      <c r="P473"/>
      <c r="Q473"/>
      <c r="R473" s="2"/>
      <c r="S473" s="2"/>
      <c r="T473"/>
      <c r="U473"/>
      <c r="V473"/>
      <c r="W473"/>
      <c r="X473"/>
      <c r="Y473"/>
    </row>
    <row r="474" spans="2:25" s="6" customFormat="1" x14ac:dyDescent="0.25">
      <c r="B474" s="1"/>
      <c r="C474" s="1"/>
      <c r="F474" s="2"/>
      <c r="G474" s="12"/>
      <c r="H474" s="2"/>
      <c r="J474"/>
      <c r="K474"/>
      <c r="L474"/>
      <c r="M474"/>
      <c r="N474"/>
      <c r="O474"/>
      <c r="P474"/>
      <c r="Q474"/>
      <c r="R474" s="2"/>
      <c r="S474" s="2"/>
      <c r="T474"/>
      <c r="U474"/>
      <c r="V474"/>
      <c r="W474"/>
      <c r="X474"/>
      <c r="Y474"/>
    </row>
    <row r="475" spans="2:25" s="6" customFormat="1" x14ac:dyDescent="0.25">
      <c r="B475" s="1"/>
      <c r="C475" s="1"/>
      <c r="F475" s="2"/>
      <c r="G475" s="12"/>
      <c r="H475" s="2"/>
      <c r="J475"/>
      <c r="K475"/>
      <c r="L475"/>
      <c r="M475"/>
      <c r="N475"/>
      <c r="O475"/>
      <c r="P475"/>
      <c r="Q475"/>
      <c r="R475" s="2"/>
      <c r="S475" s="2"/>
      <c r="T475"/>
      <c r="U475"/>
      <c r="V475"/>
      <c r="W475"/>
      <c r="X475"/>
      <c r="Y475"/>
    </row>
    <row r="476" spans="2:25" s="6" customFormat="1" x14ac:dyDescent="0.25">
      <c r="B476" s="1"/>
      <c r="C476" s="1"/>
      <c r="F476" s="2"/>
      <c r="G476" s="12"/>
      <c r="H476" s="2"/>
      <c r="J476"/>
      <c r="K476"/>
      <c r="L476"/>
      <c r="M476"/>
      <c r="N476"/>
      <c r="O476"/>
      <c r="P476"/>
      <c r="Q476"/>
      <c r="R476" s="2"/>
      <c r="S476" s="2"/>
      <c r="T476"/>
      <c r="U476"/>
      <c r="V476"/>
      <c r="W476"/>
      <c r="X476"/>
      <c r="Y476"/>
    </row>
    <row r="477" spans="2:25" s="6" customFormat="1" x14ac:dyDescent="0.25">
      <c r="B477" s="1"/>
      <c r="C477" s="1"/>
      <c r="F477" s="2"/>
      <c r="G477" s="12"/>
      <c r="H477" s="2"/>
      <c r="J477"/>
      <c r="K477"/>
      <c r="L477"/>
      <c r="M477"/>
      <c r="N477"/>
      <c r="O477"/>
      <c r="P477"/>
      <c r="Q477"/>
      <c r="R477" s="2"/>
      <c r="S477" s="2"/>
      <c r="T477"/>
      <c r="U477"/>
      <c r="V477"/>
      <c r="W477"/>
      <c r="X477"/>
      <c r="Y477"/>
    </row>
    <row r="478" spans="2:25" s="6" customFormat="1" x14ac:dyDescent="0.25">
      <c r="B478" s="1"/>
      <c r="C478" s="1"/>
      <c r="F478" s="2"/>
      <c r="G478" s="12"/>
      <c r="H478" s="2"/>
      <c r="J478"/>
      <c r="K478"/>
      <c r="L478"/>
      <c r="M478"/>
      <c r="N478"/>
      <c r="O478"/>
      <c r="P478"/>
      <c r="Q478"/>
      <c r="R478" s="2"/>
      <c r="S478" s="2"/>
      <c r="T478"/>
      <c r="U478"/>
      <c r="V478"/>
      <c r="W478"/>
      <c r="X478"/>
      <c r="Y478"/>
    </row>
    <row r="479" spans="2:25" s="6" customFormat="1" x14ac:dyDescent="0.25">
      <c r="B479" s="1"/>
      <c r="C479" s="1"/>
      <c r="F479" s="2"/>
      <c r="G479" s="12"/>
      <c r="H479" s="2"/>
      <c r="J479"/>
      <c r="K479"/>
      <c r="L479"/>
      <c r="M479"/>
      <c r="N479"/>
      <c r="O479"/>
      <c r="P479"/>
      <c r="Q479"/>
      <c r="R479" s="2"/>
      <c r="S479" s="2"/>
      <c r="T479"/>
      <c r="U479"/>
      <c r="V479"/>
      <c r="W479"/>
      <c r="X479"/>
      <c r="Y479"/>
    </row>
    <row r="480" spans="2:25" s="6" customFormat="1" x14ac:dyDescent="0.25">
      <c r="B480" s="1"/>
      <c r="C480" s="1"/>
      <c r="F480" s="2"/>
      <c r="G480" s="12"/>
      <c r="H480" s="2"/>
      <c r="J480"/>
      <c r="K480"/>
      <c r="L480"/>
      <c r="M480"/>
      <c r="N480"/>
      <c r="O480"/>
      <c r="P480"/>
      <c r="Q480"/>
      <c r="R480" s="2"/>
      <c r="S480" s="2"/>
      <c r="T480"/>
      <c r="U480"/>
      <c r="V480"/>
      <c r="W480"/>
      <c r="X480"/>
      <c r="Y480"/>
    </row>
    <row r="481" spans="2:25" s="6" customFormat="1" x14ac:dyDescent="0.25">
      <c r="B481" s="1"/>
      <c r="C481" s="1"/>
      <c r="F481" s="2"/>
      <c r="G481" s="12"/>
      <c r="H481" s="2"/>
      <c r="J481"/>
      <c r="K481"/>
      <c r="L481"/>
      <c r="M481"/>
      <c r="N481"/>
      <c r="O481"/>
      <c r="P481"/>
      <c r="Q481"/>
      <c r="R481" s="2"/>
      <c r="S481" s="2"/>
      <c r="T481"/>
      <c r="U481"/>
      <c r="V481"/>
      <c r="W481"/>
      <c r="X481"/>
      <c r="Y481"/>
    </row>
    <row r="482" spans="2:25" s="6" customFormat="1" x14ac:dyDescent="0.25">
      <c r="B482" s="1"/>
      <c r="C482" s="1"/>
      <c r="F482" s="2"/>
      <c r="G482" s="12"/>
      <c r="H482" s="2"/>
      <c r="J482"/>
      <c r="K482"/>
      <c r="L482"/>
      <c r="M482"/>
      <c r="N482"/>
      <c r="O482"/>
      <c r="P482"/>
      <c r="Q482"/>
      <c r="R482" s="2"/>
      <c r="S482" s="2"/>
      <c r="T482"/>
      <c r="U482"/>
      <c r="V482"/>
      <c r="W482"/>
      <c r="X482"/>
      <c r="Y482"/>
    </row>
    <row r="483" spans="2:25" s="6" customFormat="1" x14ac:dyDescent="0.25">
      <c r="B483" s="1"/>
      <c r="C483" s="1"/>
      <c r="F483" s="2"/>
      <c r="G483" s="12"/>
      <c r="H483" s="2"/>
      <c r="J483"/>
      <c r="K483"/>
      <c r="L483"/>
      <c r="M483"/>
      <c r="N483"/>
      <c r="O483"/>
      <c r="P483"/>
      <c r="Q483"/>
      <c r="R483" s="2"/>
      <c r="S483" s="2"/>
      <c r="T483"/>
      <c r="U483"/>
      <c r="V483"/>
      <c r="W483"/>
      <c r="X483"/>
      <c r="Y483"/>
    </row>
    <row r="484" spans="2:25" s="6" customFormat="1" x14ac:dyDescent="0.25">
      <c r="B484" s="1"/>
      <c r="C484" s="1"/>
      <c r="F484" s="2"/>
      <c r="G484" s="12"/>
      <c r="H484" s="2"/>
      <c r="J484"/>
      <c r="K484"/>
      <c r="L484"/>
      <c r="M484"/>
      <c r="N484"/>
      <c r="O484"/>
      <c r="P484"/>
      <c r="Q484"/>
      <c r="R484" s="2"/>
      <c r="S484" s="2"/>
      <c r="T484"/>
      <c r="U484"/>
      <c r="V484"/>
      <c r="W484"/>
      <c r="X484"/>
      <c r="Y484"/>
    </row>
    <row r="485" spans="2:25" s="6" customFormat="1" x14ac:dyDescent="0.25">
      <c r="B485" s="1"/>
      <c r="C485" s="1"/>
      <c r="F485" s="2"/>
      <c r="G485" s="12"/>
      <c r="H485" s="2"/>
      <c r="J485"/>
      <c r="K485"/>
      <c r="L485"/>
      <c r="M485"/>
      <c r="N485"/>
      <c r="O485"/>
      <c r="P485"/>
      <c r="Q485"/>
      <c r="R485" s="2"/>
      <c r="S485" s="2"/>
      <c r="T485"/>
      <c r="U485"/>
      <c r="V485"/>
      <c r="W485"/>
      <c r="X485"/>
      <c r="Y485"/>
    </row>
    <row r="486" spans="2:25" s="6" customFormat="1" x14ac:dyDescent="0.25">
      <c r="B486" s="1"/>
      <c r="C486" s="1"/>
      <c r="F486" s="2"/>
      <c r="G486" s="12"/>
      <c r="H486" s="2"/>
      <c r="J486"/>
      <c r="K486"/>
      <c r="L486"/>
      <c r="M486"/>
      <c r="N486"/>
      <c r="O486"/>
      <c r="P486"/>
      <c r="Q486"/>
      <c r="R486" s="2"/>
      <c r="S486" s="2"/>
      <c r="T486"/>
      <c r="U486"/>
      <c r="V486"/>
      <c r="W486"/>
      <c r="X486"/>
      <c r="Y486"/>
    </row>
    <row r="487" spans="2:25" s="6" customFormat="1" x14ac:dyDescent="0.25">
      <c r="B487" s="1"/>
      <c r="C487" s="1"/>
      <c r="F487" s="2"/>
      <c r="G487" s="12"/>
      <c r="H487" s="2"/>
      <c r="J487"/>
      <c r="K487"/>
      <c r="L487"/>
      <c r="M487"/>
      <c r="N487"/>
      <c r="O487"/>
      <c r="P487"/>
      <c r="Q487"/>
      <c r="R487" s="2"/>
      <c r="S487" s="2"/>
      <c r="T487"/>
      <c r="U487"/>
      <c r="V487"/>
      <c r="W487"/>
      <c r="X487"/>
      <c r="Y487"/>
    </row>
    <row r="488" spans="2:25" s="6" customFormat="1" x14ac:dyDescent="0.25">
      <c r="B488" s="1"/>
      <c r="C488" s="1"/>
      <c r="F488" s="2"/>
      <c r="G488" s="12"/>
      <c r="H488" s="2"/>
      <c r="J488"/>
      <c r="K488"/>
      <c r="L488"/>
      <c r="M488"/>
      <c r="N488"/>
      <c r="O488"/>
      <c r="P488"/>
      <c r="Q488"/>
      <c r="R488" s="2"/>
      <c r="S488" s="2"/>
      <c r="T488"/>
      <c r="U488"/>
      <c r="V488"/>
      <c r="W488"/>
      <c r="X488"/>
      <c r="Y488"/>
    </row>
    <row r="489" spans="2:25" s="6" customFormat="1" x14ac:dyDescent="0.25">
      <c r="B489" s="1"/>
      <c r="C489" s="1"/>
      <c r="F489" s="2"/>
      <c r="G489" s="12"/>
      <c r="H489" s="2"/>
      <c r="J489"/>
      <c r="K489"/>
      <c r="L489"/>
      <c r="M489"/>
      <c r="N489"/>
      <c r="O489"/>
      <c r="P489"/>
      <c r="Q489"/>
      <c r="R489" s="2"/>
      <c r="S489" s="2"/>
      <c r="T489"/>
      <c r="U489"/>
      <c r="V489"/>
      <c r="W489"/>
      <c r="X489"/>
      <c r="Y489"/>
    </row>
    <row r="490" spans="2:25" s="6" customFormat="1" x14ac:dyDescent="0.25">
      <c r="B490" s="1"/>
      <c r="C490" s="1"/>
      <c r="F490" s="2"/>
      <c r="G490" s="12"/>
      <c r="H490" s="2"/>
      <c r="J490"/>
      <c r="K490"/>
      <c r="L490"/>
      <c r="M490"/>
      <c r="N490"/>
      <c r="O490"/>
      <c r="P490"/>
      <c r="Q490"/>
      <c r="R490" s="2"/>
      <c r="S490" s="2"/>
      <c r="T490"/>
      <c r="U490"/>
      <c r="V490"/>
      <c r="W490"/>
      <c r="X490"/>
      <c r="Y490"/>
    </row>
    <row r="491" spans="2:25" s="6" customFormat="1" x14ac:dyDescent="0.25">
      <c r="B491" s="1"/>
      <c r="C491" s="1"/>
      <c r="F491" s="2"/>
      <c r="G491" s="12"/>
      <c r="H491" s="2"/>
      <c r="J491"/>
      <c r="K491"/>
      <c r="L491"/>
      <c r="M491"/>
      <c r="N491"/>
      <c r="O491"/>
      <c r="P491"/>
      <c r="Q491"/>
      <c r="R491" s="2"/>
      <c r="S491" s="2"/>
      <c r="T491"/>
      <c r="U491"/>
      <c r="V491"/>
      <c r="W491"/>
      <c r="X491"/>
      <c r="Y491"/>
    </row>
    <row r="492" spans="2:25" s="6" customFormat="1" x14ac:dyDescent="0.25">
      <c r="B492" s="1"/>
      <c r="C492" s="1"/>
      <c r="F492" s="2"/>
      <c r="G492" s="12"/>
      <c r="H492" s="2"/>
      <c r="J492"/>
      <c r="K492"/>
      <c r="L492"/>
      <c r="M492"/>
      <c r="N492"/>
      <c r="O492"/>
      <c r="P492"/>
      <c r="Q492"/>
      <c r="R492" s="2"/>
      <c r="S492" s="2"/>
      <c r="T492"/>
      <c r="U492"/>
      <c r="V492"/>
      <c r="W492"/>
      <c r="X492"/>
      <c r="Y492"/>
    </row>
    <row r="493" spans="2:25" s="6" customFormat="1" x14ac:dyDescent="0.25">
      <c r="B493" s="1"/>
      <c r="C493" s="1"/>
      <c r="F493" s="2"/>
      <c r="G493" s="12"/>
      <c r="H493" s="2"/>
      <c r="J493"/>
      <c r="K493"/>
      <c r="L493"/>
      <c r="M493"/>
      <c r="N493"/>
      <c r="O493"/>
      <c r="P493"/>
      <c r="Q493"/>
      <c r="R493" s="2"/>
      <c r="S493" s="2"/>
      <c r="T493"/>
      <c r="U493"/>
      <c r="V493"/>
      <c r="W493"/>
      <c r="X493"/>
      <c r="Y493"/>
    </row>
    <row r="494" spans="2:25" s="6" customFormat="1" x14ac:dyDescent="0.25">
      <c r="B494" s="1"/>
      <c r="C494" s="1"/>
      <c r="F494" s="2"/>
      <c r="G494" s="12"/>
      <c r="H494" s="2"/>
      <c r="J494"/>
      <c r="K494"/>
      <c r="L494"/>
      <c r="M494"/>
      <c r="N494"/>
      <c r="O494"/>
      <c r="P494"/>
      <c r="Q494"/>
      <c r="R494" s="2"/>
      <c r="S494" s="2"/>
      <c r="T494"/>
      <c r="U494"/>
      <c r="V494"/>
      <c r="W494"/>
      <c r="X494"/>
      <c r="Y494"/>
    </row>
    <row r="495" spans="2:25" s="6" customFormat="1" x14ac:dyDescent="0.25">
      <c r="B495" s="1"/>
      <c r="C495" s="1"/>
      <c r="F495" s="2"/>
      <c r="G495" s="12"/>
      <c r="H495" s="2"/>
      <c r="J495"/>
      <c r="K495"/>
      <c r="L495"/>
      <c r="M495"/>
      <c r="N495"/>
      <c r="O495"/>
      <c r="P495"/>
      <c r="Q495"/>
      <c r="R495" s="2"/>
      <c r="S495" s="2"/>
      <c r="T495"/>
      <c r="U495"/>
      <c r="V495"/>
      <c r="W495"/>
      <c r="X495"/>
      <c r="Y495"/>
    </row>
    <row r="496" spans="2:25" s="6" customFormat="1" x14ac:dyDescent="0.25">
      <c r="B496" s="1"/>
      <c r="C496" s="1"/>
      <c r="F496" s="2"/>
      <c r="G496" s="12"/>
      <c r="H496" s="2"/>
      <c r="J496"/>
      <c r="K496"/>
      <c r="L496"/>
      <c r="M496"/>
      <c r="N496"/>
      <c r="O496"/>
      <c r="P496"/>
      <c r="Q496"/>
      <c r="R496" s="2"/>
      <c r="S496" s="2"/>
      <c r="T496"/>
      <c r="U496"/>
      <c r="V496"/>
      <c r="W496"/>
      <c r="X496"/>
      <c r="Y496"/>
    </row>
    <row r="497" spans="2:25" s="6" customFormat="1" x14ac:dyDescent="0.25">
      <c r="B497" s="1"/>
      <c r="C497" s="1"/>
      <c r="F497" s="2"/>
      <c r="G497" s="12"/>
      <c r="H497" s="2"/>
      <c r="J497"/>
      <c r="K497"/>
      <c r="L497"/>
      <c r="M497"/>
      <c r="N497"/>
      <c r="O497"/>
      <c r="P497"/>
      <c r="Q497"/>
      <c r="R497" s="2"/>
      <c r="S497" s="2"/>
      <c r="T497"/>
      <c r="U497"/>
      <c r="V497"/>
      <c r="W497"/>
      <c r="X497"/>
      <c r="Y497"/>
    </row>
    <row r="498" spans="2:25" s="6" customFormat="1" x14ac:dyDescent="0.25">
      <c r="B498" s="1"/>
      <c r="C498" s="1"/>
      <c r="F498" s="2"/>
      <c r="G498" s="12"/>
      <c r="H498" s="2"/>
      <c r="J498"/>
      <c r="K498"/>
      <c r="L498"/>
      <c r="M498"/>
      <c r="N498"/>
      <c r="O498"/>
      <c r="P498"/>
      <c r="Q498"/>
      <c r="R498" s="2"/>
      <c r="S498" s="2"/>
      <c r="T498"/>
      <c r="U498"/>
      <c r="V498"/>
      <c r="W498"/>
      <c r="X498"/>
      <c r="Y498"/>
    </row>
    <row r="499" spans="2:25" s="6" customFormat="1" x14ac:dyDescent="0.25">
      <c r="B499" s="1"/>
      <c r="C499" s="1"/>
      <c r="F499" s="2"/>
      <c r="G499" s="12"/>
      <c r="H499" s="2"/>
      <c r="J499"/>
      <c r="K499"/>
      <c r="L499"/>
      <c r="M499"/>
      <c r="N499"/>
      <c r="O499"/>
      <c r="P499"/>
      <c r="Q499"/>
      <c r="R499" s="2"/>
      <c r="S499" s="2"/>
      <c r="T499"/>
      <c r="U499"/>
      <c r="V499"/>
      <c r="W499"/>
      <c r="X499"/>
      <c r="Y499"/>
    </row>
    <row r="500" spans="2:25" s="6" customFormat="1" x14ac:dyDescent="0.25">
      <c r="B500" s="1"/>
      <c r="C500" s="1"/>
      <c r="F500" s="2"/>
      <c r="G500" s="12"/>
      <c r="H500" s="2"/>
      <c r="J500"/>
      <c r="K500"/>
      <c r="L500"/>
      <c r="M500"/>
      <c r="N500"/>
      <c r="O500"/>
      <c r="P500"/>
      <c r="Q500"/>
      <c r="R500" s="2"/>
      <c r="S500" s="2"/>
      <c r="T500"/>
      <c r="U500"/>
      <c r="V500"/>
      <c r="W500"/>
      <c r="X500"/>
      <c r="Y500"/>
    </row>
    <row r="501" spans="2:25" s="6" customFormat="1" x14ac:dyDescent="0.25">
      <c r="B501" s="1"/>
      <c r="C501" s="1"/>
      <c r="F501" s="2"/>
      <c r="G501" s="12"/>
      <c r="H501" s="2"/>
      <c r="J501"/>
      <c r="K501"/>
      <c r="L501"/>
      <c r="M501"/>
      <c r="N501"/>
      <c r="O501"/>
      <c r="P501"/>
      <c r="Q501"/>
      <c r="R501" s="2"/>
      <c r="S501" s="2"/>
      <c r="T501"/>
      <c r="U501"/>
      <c r="V501"/>
      <c r="W501"/>
      <c r="X501"/>
      <c r="Y501"/>
    </row>
    <row r="502" spans="2:25" s="6" customFormat="1" x14ac:dyDescent="0.25">
      <c r="B502" s="1"/>
      <c r="C502" s="1"/>
      <c r="F502" s="2"/>
      <c r="G502" s="12"/>
      <c r="H502" s="2"/>
      <c r="J502"/>
      <c r="K502"/>
      <c r="L502"/>
      <c r="M502"/>
      <c r="N502"/>
      <c r="O502"/>
      <c r="P502"/>
      <c r="Q502"/>
      <c r="R502" s="2"/>
      <c r="S502" s="2"/>
      <c r="T502"/>
      <c r="U502"/>
      <c r="V502"/>
      <c r="W502"/>
      <c r="X502"/>
      <c r="Y502"/>
    </row>
    <row r="503" spans="2:25" s="6" customFormat="1" x14ac:dyDescent="0.25">
      <c r="B503" s="1"/>
      <c r="C503" s="1"/>
      <c r="F503" s="2"/>
      <c r="G503" s="12"/>
      <c r="H503" s="2"/>
      <c r="J503"/>
      <c r="K503"/>
      <c r="L503"/>
      <c r="M503"/>
      <c r="N503"/>
      <c r="O503"/>
      <c r="P503"/>
      <c r="Q503"/>
      <c r="R503" s="2"/>
      <c r="S503" s="2"/>
      <c r="T503"/>
      <c r="U503"/>
      <c r="V503"/>
      <c r="W503"/>
      <c r="X503"/>
      <c r="Y503"/>
    </row>
    <row r="504" spans="2:25" s="6" customFormat="1" x14ac:dyDescent="0.25">
      <c r="B504" s="1"/>
      <c r="C504" s="1"/>
      <c r="F504" s="2"/>
      <c r="G504" s="12"/>
      <c r="H504" s="2"/>
      <c r="J504"/>
      <c r="K504"/>
      <c r="L504"/>
      <c r="M504"/>
      <c r="N504"/>
      <c r="O504"/>
      <c r="P504"/>
      <c r="Q504"/>
      <c r="R504" s="2"/>
      <c r="S504" s="2"/>
      <c r="T504"/>
      <c r="U504"/>
      <c r="V504"/>
      <c r="W504"/>
      <c r="X504"/>
      <c r="Y504"/>
    </row>
    <row r="505" spans="2:25" s="6" customFormat="1" x14ac:dyDescent="0.25">
      <c r="B505" s="1"/>
      <c r="C505" s="1"/>
      <c r="F505" s="2"/>
      <c r="G505" s="12"/>
      <c r="H505" s="2"/>
      <c r="J505"/>
      <c r="K505"/>
      <c r="L505"/>
      <c r="M505"/>
      <c r="N505"/>
      <c r="O505"/>
      <c r="P505"/>
      <c r="Q505"/>
      <c r="R505" s="2"/>
      <c r="S505" s="2"/>
      <c r="T505"/>
      <c r="U505"/>
      <c r="V505"/>
      <c r="W505"/>
      <c r="X505"/>
      <c r="Y505"/>
    </row>
    <row r="506" spans="2:25" s="6" customFormat="1" x14ac:dyDescent="0.25">
      <c r="B506" s="1"/>
      <c r="C506" s="1"/>
      <c r="F506" s="2"/>
      <c r="G506" s="12"/>
      <c r="H506" s="2"/>
      <c r="J506"/>
      <c r="K506"/>
      <c r="L506"/>
      <c r="M506"/>
      <c r="N506"/>
      <c r="O506"/>
      <c r="P506"/>
      <c r="Q506"/>
      <c r="R506" s="2"/>
      <c r="S506" s="2"/>
      <c r="T506"/>
      <c r="U506"/>
      <c r="V506"/>
      <c r="W506"/>
      <c r="X506"/>
      <c r="Y506"/>
    </row>
    <row r="507" spans="2:25" s="6" customFormat="1" x14ac:dyDescent="0.25">
      <c r="B507" s="1"/>
      <c r="C507" s="1"/>
      <c r="F507" s="2"/>
      <c r="G507" s="12"/>
      <c r="H507" s="2"/>
      <c r="J507"/>
      <c r="K507"/>
      <c r="L507"/>
      <c r="M507"/>
      <c r="N507"/>
      <c r="O507"/>
      <c r="P507"/>
      <c r="Q507"/>
      <c r="R507" s="2"/>
      <c r="S507" s="2"/>
      <c r="T507"/>
      <c r="U507"/>
      <c r="V507"/>
      <c r="W507"/>
      <c r="X507"/>
      <c r="Y507"/>
    </row>
    <row r="508" spans="2:25" s="6" customFormat="1" x14ac:dyDescent="0.25">
      <c r="B508" s="1"/>
      <c r="C508" s="1"/>
      <c r="F508" s="2"/>
      <c r="G508" s="12"/>
      <c r="H508" s="2"/>
      <c r="J508"/>
      <c r="K508"/>
      <c r="L508"/>
      <c r="M508"/>
      <c r="N508"/>
      <c r="O508"/>
      <c r="P508"/>
      <c r="Q508"/>
      <c r="R508" s="2"/>
      <c r="S508" s="2"/>
      <c r="T508"/>
      <c r="U508"/>
      <c r="V508"/>
      <c r="W508"/>
      <c r="X508"/>
      <c r="Y508"/>
    </row>
    <row r="509" spans="2:25" s="6" customFormat="1" x14ac:dyDescent="0.25">
      <c r="B509" s="1"/>
      <c r="C509" s="1"/>
      <c r="F509" s="2"/>
      <c r="G509" s="12"/>
      <c r="H509" s="2"/>
      <c r="J509"/>
      <c r="K509"/>
      <c r="L509"/>
      <c r="M509"/>
      <c r="N509"/>
      <c r="O509"/>
      <c r="P509"/>
      <c r="Q509"/>
      <c r="R509" s="2"/>
      <c r="S509" s="2"/>
      <c r="T509"/>
      <c r="U509"/>
      <c r="V509"/>
      <c r="W509"/>
      <c r="X509"/>
      <c r="Y509"/>
    </row>
    <row r="510" spans="2:25" s="6" customFormat="1" x14ac:dyDescent="0.25">
      <c r="B510" s="1"/>
      <c r="C510" s="1"/>
      <c r="F510" s="2"/>
      <c r="G510" s="12"/>
      <c r="H510" s="2"/>
      <c r="J510"/>
      <c r="K510"/>
      <c r="L510"/>
      <c r="M510"/>
      <c r="N510"/>
      <c r="O510"/>
      <c r="P510"/>
      <c r="Q510"/>
      <c r="R510" s="2"/>
      <c r="S510" s="2"/>
      <c r="T510"/>
      <c r="U510"/>
      <c r="V510"/>
      <c r="W510"/>
      <c r="X510"/>
      <c r="Y510"/>
    </row>
    <row r="511" spans="2:25" s="6" customFormat="1" x14ac:dyDescent="0.25">
      <c r="B511" s="1"/>
      <c r="C511" s="1"/>
      <c r="F511" s="2"/>
      <c r="G511" s="12"/>
      <c r="H511" s="2"/>
      <c r="J511"/>
      <c r="K511"/>
      <c r="L511"/>
      <c r="M511"/>
      <c r="N511"/>
      <c r="O511"/>
      <c r="P511"/>
      <c r="Q511"/>
      <c r="R511" s="2"/>
      <c r="S511" s="2"/>
      <c r="T511"/>
      <c r="U511"/>
      <c r="V511"/>
      <c r="W511"/>
      <c r="X511"/>
      <c r="Y511"/>
    </row>
    <row r="512" spans="2:25" s="6" customFormat="1" x14ac:dyDescent="0.25">
      <c r="B512" s="1"/>
      <c r="C512" s="1"/>
      <c r="F512" s="2"/>
      <c r="G512" s="12"/>
      <c r="H512" s="2"/>
      <c r="J512"/>
      <c r="K512"/>
      <c r="L512"/>
      <c r="M512"/>
      <c r="N512"/>
      <c r="O512"/>
      <c r="P512"/>
      <c r="Q512"/>
      <c r="R512" s="2"/>
      <c r="S512" s="2"/>
      <c r="T512"/>
      <c r="U512"/>
      <c r="V512"/>
      <c r="W512"/>
      <c r="X512"/>
      <c r="Y512"/>
    </row>
    <row r="513" spans="2:25" s="6" customFormat="1" x14ac:dyDescent="0.25">
      <c r="B513" s="1"/>
      <c r="C513" s="1"/>
      <c r="F513" s="2"/>
      <c r="G513" s="12"/>
      <c r="H513" s="2"/>
      <c r="J513"/>
      <c r="K513"/>
      <c r="L513"/>
      <c r="M513"/>
      <c r="N513"/>
      <c r="O513"/>
      <c r="P513"/>
      <c r="Q513"/>
      <c r="R513" s="2"/>
      <c r="S513" s="2"/>
      <c r="T513"/>
      <c r="U513"/>
      <c r="V513"/>
      <c r="W513"/>
      <c r="X513"/>
      <c r="Y513"/>
    </row>
    <row r="514" spans="2:25" s="6" customFormat="1" x14ac:dyDescent="0.25">
      <c r="B514" s="1"/>
      <c r="C514" s="1"/>
      <c r="F514" s="2"/>
      <c r="G514" s="12"/>
      <c r="H514" s="2"/>
      <c r="J514"/>
      <c r="K514"/>
      <c r="L514"/>
      <c r="M514"/>
      <c r="N514"/>
      <c r="O514"/>
      <c r="P514"/>
      <c r="Q514"/>
      <c r="R514" s="2"/>
      <c r="S514" s="2"/>
      <c r="T514"/>
      <c r="U514"/>
      <c r="V514"/>
      <c r="W514"/>
      <c r="X514"/>
      <c r="Y514"/>
    </row>
    <row r="515" spans="2:25" s="6" customFormat="1" x14ac:dyDescent="0.25">
      <c r="B515" s="1"/>
      <c r="C515" s="1"/>
      <c r="F515" s="2"/>
      <c r="G515" s="12"/>
      <c r="H515" s="2"/>
      <c r="J515"/>
      <c r="K515"/>
      <c r="L515"/>
      <c r="M515"/>
      <c r="N515"/>
      <c r="O515"/>
      <c r="P515"/>
      <c r="Q515"/>
      <c r="R515" s="2"/>
      <c r="S515" s="2"/>
      <c r="T515"/>
      <c r="U515"/>
      <c r="V515"/>
      <c r="W515"/>
      <c r="X515"/>
      <c r="Y515"/>
    </row>
    <row r="516" spans="2:25" s="6" customFormat="1" x14ac:dyDescent="0.25">
      <c r="B516" s="1"/>
      <c r="C516" s="1"/>
      <c r="F516" s="2"/>
      <c r="G516" s="12"/>
      <c r="H516" s="2"/>
      <c r="J516"/>
      <c r="K516"/>
      <c r="L516"/>
      <c r="M516"/>
      <c r="N516"/>
      <c r="O516"/>
      <c r="P516"/>
      <c r="Q516"/>
      <c r="R516" s="2"/>
      <c r="S516" s="2"/>
      <c r="T516"/>
      <c r="U516"/>
      <c r="V516"/>
      <c r="W516"/>
      <c r="X516"/>
      <c r="Y516"/>
    </row>
    <row r="517" spans="2:25" s="6" customFormat="1" x14ac:dyDescent="0.25">
      <c r="B517" s="1"/>
      <c r="C517" s="1"/>
      <c r="F517" s="2"/>
      <c r="G517" s="12"/>
      <c r="H517" s="2"/>
      <c r="J517"/>
      <c r="K517"/>
      <c r="L517"/>
      <c r="M517"/>
      <c r="N517"/>
      <c r="O517"/>
      <c r="P517"/>
      <c r="Q517"/>
      <c r="R517" s="2"/>
      <c r="S517" s="2"/>
      <c r="T517"/>
      <c r="U517"/>
      <c r="V517"/>
      <c r="W517"/>
      <c r="X517"/>
      <c r="Y517"/>
    </row>
    <row r="518" spans="2:25" s="6" customFormat="1" x14ac:dyDescent="0.25">
      <c r="B518" s="1"/>
      <c r="C518" s="1"/>
      <c r="F518" s="2"/>
      <c r="G518" s="12"/>
      <c r="H518" s="2"/>
      <c r="J518"/>
      <c r="K518"/>
      <c r="L518"/>
      <c r="M518"/>
      <c r="N518"/>
      <c r="O518"/>
      <c r="P518"/>
      <c r="Q518"/>
      <c r="R518" s="2"/>
      <c r="S518" s="2"/>
      <c r="T518"/>
      <c r="U518"/>
      <c r="V518"/>
      <c r="W518"/>
      <c r="X518"/>
      <c r="Y518"/>
    </row>
    <row r="519" spans="2:25" s="6" customFormat="1" x14ac:dyDescent="0.25">
      <c r="B519" s="1"/>
      <c r="C519" s="1"/>
      <c r="F519" s="2"/>
      <c r="G519" s="12"/>
      <c r="H519" s="2"/>
      <c r="J519"/>
      <c r="K519"/>
      <c r="L519"/>
      <c r="M519"/>
      <c r="N519"/>
      <c r="O519"/>
      <c r="P519"/>
      <c r="Q519"/>
      <c r="R519" s="2"/>
      <c r="S519" s="2"/>
      <c r="T519"/>
      <c r="U519"/>
      <c r="V519"/>
      <c r="W519"/>
      <c r="X519"/>
      <c r="Y519"/>
    </row>
    <row r="520" spans="2:25" s="6" customFormat="1" x14ac:dyDescent="0.25">
      <c r="B520" s="1"/>
      <c r="C520" s="1"/>
      <c r="F520" s="2"/>
      <c r="G520" s="12"/>
      <c r="H520" s="2"/>
      <c r="J520"/>
      <c r="K520"/>
      <c r="L520"/>
      <c r="M520"/>
      <c r="N520"/>
      <c r="O520"/>
      <c r="P520"/>
      <c r="Q520"/>
      <c r="R520" s="2"/>
      <c r="S520" s="2"/>
      <c r="T520"/>
      <c r="U520"/>
      <c r="V520"/>
      <c r="W520"/>
      <c r="X520"/>
      <c r="Y520"/>
    </row>
    <row r="521" spans="2:25" s="6" customFormat="1" x14ac:dyDescent="0.25">
      <c r="B521" s="1"/>
      <c r="C521" s="1"/>
      <c r="F521" s="2"/>
      <c r="G521" s="12"/>
      <c r="H521" s="2"/>
      <c r="J521"/>
      <c r="K521"/>
      <c r="L521"/>
      <c r="M521"/>
      <c r="N521"/>
      <c r="O521"/>
      <c r="P521"/>
      <c r="Q521"/>
      <c r="R521" s="2"/>
      <c r="S521" s="2"/>
      <c r="T521"/>
      <c r="U521"/>
      <c r="V521"/>
      <c r="W521"/>
      <c r="X521"/>
      <c r="Y521"/>
    </row>
    <row r="522" spans="2:25" s="6" customFormat="1" x14ac:dyDescent="0.25">
      <c r="B522" s="1"/>
      <c r="C522" s="1"/>
      <c r="F522" s="2"/>
      <c r="G522" s="12"/>
      <c r="H522" s="2"/>
      <c r="J522"/>
      <c r="K522"/>
      <c r="L522"/>
      <c r="M522"/>
      <c r="N522"/>
      <c r="O522"/>
      <c r="P522"/>
      <c r="Q522"/>
      <c r="R522" s="2"/>
      <c r="S522" s="2"/>
      <c r="T522"/>
      <c r="U522"/>
      <c r="V522"/>
      <c r="W522"/>
      <c r="X522"/>
      <c r="Y522"/>
    </row>
    <row r="523" spans="2:25" s="6" customFormat="1" x14ac:dyDescent="0.25">
      <c r="B523" s="1"/>
      <c r="C523" s="1"/>
      <c r="F523" s="2"/>
      <c r="G523" s="12"/>
      <c r="H523" s="2"/>
      <c r="J523"/>
      <c r="K523"/>
      <c r="L523"/>
      <c r="M523"/>
      <c r="N523"/>
      <c r="O523"/>
      <c r="P523"/>
      <c r="Q523"/>
      <c r="R523" s="2"/>
      <c r="S523" s="2"/>
      <c r="T523"/>
      <c r="U523"/>
      <c r="V523"/>
      <c r="W523"/>
      <c r="X523"/>
      <c r="Y523"/>
    </row>
    <row r="524" spans="2:25" s="6" customFormat="1" x14ac:dyDescent="0.25">
      <c r="B524" s="1"/>
      <c r="C524" s="1"/>
      <c r="F524" s="2"/>
      <c r="G524" s="12"/>
      <c r="H524" s="2"/>
      <c r="J524"/>
      <c r="K524"/>
      <c r="L524"/>
      <c r="M524"/>
      <c r="N524"/>
      <c r="O524"/>
      <c r="P524"/>
      <c r="Q524"/>
      <c r="R524" s="2"/>
      <c r="S524" s="2"/>
      <c r="T524"/>
      <c r="U524"/>
      <c r="V524"/>
      <c r="W524"/>
      <c r="X524"/>
      <c r="Y524"/>
    </row>
    <row r="525" spans="2:25" s="6" customFormat="1" x14ac:dyDescent="0.25">
      <c r="B525" s="1"/>
      <c r="C525" s="1"/>
      <c r="F525" s="2"/>
      <c r="G525" s="12"/>
      <c r="H525" s="2"/>
      <c r="J525"/>
      <c r="K525"/>
      <c r="L525"/>
      <c r="M525"/>
      <c r="N525"/>
      <c r="O525"/>
      <c r="P525"/>
      <c r="Q525"/>
      <c r="R525" s="2"/>
      <c r="S525" s="2"/>
      <c r="T525"/>
      <c r="U525"/>
      <c r="V525"/>
      <c r="W525"/>
      <c r="X525"/>
      <c r="Y525"/>
    </row>
    <row r="526" spans="2:25" s="6" customFormat="1" x14ac:dyDescent="0.25">
      <c r="B526" s="1"/>
      <c r="C526" s="1"/>
      <c r="F526" s="2"/>
      <c r="G526" s="12"/>
      <c r="H526" s="2"/>
      <c r="J526"/>
      <c r="K526"/>
      <c r="L526"/>
      <c r="M526"/>
      <c r="N526"/>
      <c r="O526"/>
      <c r="P526"/>
      <c r="Q526"/>
      <c r="R526" s="2"/>
      <c r="S526" s="2"/>
      <c r="T526"/>
      <c r="U526"/>
      <c r="V526"/>
      <c r="W526"/>
      <c r="X526"/>
      <c r="Y526"/>
    </row>
    <row r="527" spans="2:25" s="6" customFormat="1" x14ac:dyDescent="0.25">
      <c r="B527" s="1"/>
      <c r="C527" s="1"/>
      <c r="F527" s="2"/>
      <c r="G527" s="12"/>
      <c r="H527" s="2"/>
      <c r="J527"/>
      <c r="K527"/>
      <c r="L527"/>
      <c r="M527"/>
      <c r="N527"/>
      <c r="O527"/>
      <c r="P527"/>
      <c r="Q527"/>
      <c r="R527" s="2"/>
      <c r="S527" s="2"/>
      <c r="T527"/>
      <c r="U527"/>
      <c r="V527"/>
      <c r="W527"/>
      <c r="X527"/>
      <c r="Y527"/>
    </row>
    <row r="528" spans="2:25" s="6" customFormat="1" x14ac:dyDescent="0.25">
      <c r="B528" s="1"/>
      <c r="C528" s="1"/>
      <c r="F528" s="2"/>
      <c r="G528" s="12"/>
      <c r="H528" s="2"/>
      <c r="J528"/>
      <c r="K528"/>
      <c r="L528"/>
      <c r="M528"/>
      <c r="N528"/>
      <c r="O528"/>
      <c r="P528"/>
      <c r="Q528"/>
      <c r="R528" s="2"/>
      <c r="S528" s="2"/>
      <c r="T528"/>
      <c r="U528"/>
      <c r="V528"/>
      <c r="W528"/>
      <c r="X528"/>
      <c r="Y528"/>
    </row>
    <row r="529" spans="2:25" s="6" customFormat="1" x14ac:dyDescent="0.25">
      <c r="B529" s="1"/>
      <c r="C529" s="1"/>
      <c r="F529" s="2"/>
      <c r="G529" s="12"/>
      <c r="H529" s="2"/>
      <c r="J529"/>
      <c r="K529"/>
      <c r="L529"/>
      <c r="M529"/>
      <c r="N529"/>
      <c r="O529"/>
      <c r="P529"/>
      <c r="Q529"/>
      <c r="R529" s="2"/>
      <c r="S529" s="2"/>
      <c r="T529"/>
      <c r="U529"/>
      <c r="V529"/>
      <c r="W529"/>
      <c r="X529"/>
      <c r="Y529"/>
    </row>
    <row r="530" spans="2:25" s="6" customFormat="1" x14ac:dyDescent="0.25">
      <c r="B530" s="1"/>
      <c r="C530" s="1"/>
      <c r="F530" s="2"/>
      <c r="G530" s="12"/>
      <c r="H530" s="2"/>
      <c r="J530"/>
      <c r="K530"/>
      <c r="L530"/>
      <c r="M530"/>
      <c r="N530"/>
      <c r="O530"/>
      <c r="P530"/>
      <c r="Q530"/>
      <c r="R530" s="2"/>
      <c r="S530" s="2"/>
      <c r="T530"/>
      <c r="U530"/>
      <c r="V530"/>
      <c r="W530"/>
      <c r="X530"/>
      <c r="Y530"/>
    </row>
    <row r="531" spans="2:25" s="6" customFormat="1" x14ac:dyDescent="0.25">
      <c r="B531" s="1"/>
      <c r="C531" s="1"/>
      <c r="F531" s="2"/>
      <c r="G531" s="12"/>
      <c r="H531" s="2"/>
      <c r="J531"/>
      <c r="K531"/>
      <c r="L531"/>
      <c r="M531"/>
      <c r="N531"/>
      <c r="O531"/>
      <c r="P531"/>
      <c r="Q531"/>
      <c r="R531" s="2"/>
      <c r="S531" s="2"/>
      <c r="T531"/>
      <c r="U531"/>
      <c r="V531"/>
      <c r="W531"/>
      <c r="X531"/>
      <c r="Y531"/>
    </row>
    <row r="532" spans="2:25" s="6" customFormat="1" x14ac:dyDescent="0.25">
      <c r="B532" s="1"/>
      <c r="C532" s="1"/>
      <c r="F532" s="2"/>
      <c r="G532" s="12"/>
      <c r="H532" s="2"/>
      <c r="J532"/>
      <c r="K532"/>
      <c r="L532"/>
      <c r="M532"/>
      <c r="N532"/>
      <c r="O532"/>
      <c r="P532"/>
      <c r="Q532"/>
      <c r="R532" s="2"/>
      <c r="S532" s="2"/>
      <c r="T532"/>
      <c r="U532"/>
      <c r="V532"/>
      <c r="W532"/>
      <c r="X532"/>
      <c r="Y532"/>
    </row>
    <row r="533" spans="2:25" s="6" customFormat="1" x14ac:dyDescent="0.25">
      <c r="B533" s="1"/>
      <c r="C533" s="1"/>
      <c r="F533" s="2"/>
      <c r="G533" s="12"/>
      <c r="H533" s="2"/>
      <c r="J533"/>
      <c r="K533"/>
      <c r="L533"/>
      <c r="M533"/>
      <c r="N533"/>
      <c r="O533"/>
      <c r="P533"/>
      <c r="Q533"/>
      <c r="R533" s="2"/>
      <c r="S533" s="2"/>
      <c r="T533"/>
      <c r="U533"/>
      <c r="V533"/>
      <c r="W533"/>
      <c r="X533"/>
      <c r="Y533"/>
    </row>
    <row r="534" spans="2:25" s="6" customFormat="1" x14ac:dyDescent="0.25">
      <c r="B534" s="1"/>
      <c r="C534" s="1"/>
      <c r="F534" s="2"/>
      <c r="G534" s="12"/>
      <c r="H534" s="2"/>
      <c r="J534"/>
      <c r="K534"/>
      <c r="L534"/>
      <c r="M534"/>
      <c r="N534"/>
      <c r="O534"/>
      <c r="P534"/>
      <c r="Q534"/>
      <c r="R534" s="2"/>
      <c r="S534" s="2"/>
      <c r="T534"/>
      <c r="U534"/>
      <c r="V534"/>
      <c r="W534"/>
      <c r="X534"/>
      <c r="Y534"/>
    </row>
    <row r="535" spans="2:25" s="6" customFormat="1" x14ac:dyDescent="0.25">
      <c r="B535" s="1"/>
      <c r="C535" s="1"/>
      <c r="F535" s="2"/>
      <c r="G535" s="12"/>
      <c r="H535" s="2"/>
      <c r="J535"/>
      <c r="K535"/>
      <c r="L535"/>
      <c r="M535"/>
      <c r="N535"/>
      <c r="O535"/>
      <c r="P535"/>
      <c r="Q535"/>
      <c r="R535" s="2"/>
      <c r="S535" s="2"/>
      <c r="T535"/>
      <c r="U535"/>
      <c r="V535"/>
      <c r="W535"/>
      <c r="X535"/>
      <c r="Y535"/>
    </row>
    <row r="536" spans="2:25" s="6" customFormat="1" x14ac:dyDescent="0.25">
      <c r="B536" s="1"/>
      <c r="C536" s="1"/>
      <c r="F536" s="2"/>
      <c r="G536" s="12"/>
      <c r="H536" s="2"/>
      <c r="J536"/>
      <c r="K536"/>
      <c r="L536"/>
      <c r="M536"/>
      <c r="N536"/>
      <c r="O536"/>
      <c r="P536"/>
      <c r="Q536"/>
      <c r="R536" s="2"/>
      <c r="S536" s="2"/>
      <c r="T536"/>
      <c r="U536"/>
      <c r="V536"/>
      <c r="W536"/>
      <c r="X536"/>
      <c r="Y536"/>
    </row>
    <row r="537" spans="2:25" s="6" customFormat="1" x14ac:dyDescent="0.25">
      <c r="B537" s="1"/>
      <c r="C537" s="1"/>
      <c r="F537" s="2"/>
      <c r="G537" s="12"/>
      <c r="H537" s="2"/>
      <c r="J537"/>
      <c r="K537"/>
      <c r="L537"/>
      <c r="M537"/>
      <c r="N537"/>
      <c r="O537"/>
      <c r="P537"/>
      <c r="Q537"/>
      <c r="R537" s="2"/>
      <c r="S537" s="2"/>
      <c r="T537"/>
      <c r="U537"/>
      <c r="V537"/>
      <c r="W537"/>
      <c r="X537"/>
      <c r="Y537"/>
    </row>
    <row r="538" spans="2:25" s="6" customFormat="1" x14ac:dyDescent="0.25">
      <c r="B538" s="1"/>
      <c r="C538" s="1"/>
      <c r="F538" s="2"/>
      <c r="G538" s="12"/>
      <c r="H538" s="2"/>
      <c r="J538"/>
      <c r="K538"/>
      <c r="L538"/>
      <c r="M538"/>
      <c r="N538"/>
      <c r="O538"/>
      <c r="P538"/>
      <c r="Q538"/>
      <c r="R538" s="2"/>
      <c r="S538" s="2"/>
      <c r="T538"/>
      <c r="U538"/>
      <c r="V538"/>
      <c r="W538"/>
      <c r="X538"/>
      <c r="Y538"/>
    </row>
    <row r="539" spans="2:25" s="6" customFormat="1" x14ac:dyDescent="0.25">
      <c r="B539" s="1"/>
      <c r="C539" s="1"/>
      <c r="F539" s="2"/>
      <c r="G539" s="12"/>
      <c r="H539" s="2"/>
      <c r="J539"/>
      <c r="K539"/>
      <c r="L539"/>
      <c r="M539"/>
      <c r="N539"/>
      <c r="O539"/>
      <c r="P539"/>
      <c r="Q539"/>
      <c r="R539" s="2"/>
      <c r="S539" s="2"/>
      <c r="T539"/>
      <c r="U539"/>
      <c r="V539"/>
      <c r="W539"/>
      <c r="X539"/>
      <c r="Y539"/>
    </row>
    <row r="540" spans="2:25" s="6" customFormat="1" x14ac:dyDescent="0.25">
      <c r="B540" s="1"/>
      <c r="C540" s="1"/>
      <c r="F540" s="2"/>
      <c r="G540" s="12"/>
      <c r="H540" s="2"/>
      <c r="J540"/>
      <c r="K540"/>
      <c r="L540"/>
      <c r="M540"/>
      <c r="N540"/>
      <c r="O540"/>
      <c r="P540"/>
      <c r="Q540"/>
      <c r="R540" s="2"/>
      <c r="S540" s="2"/>
      <c r="T540"/>
      <c r="U540"/>
      <c r="V540"/>
      <c r="W540"/>
      <c r="X540"/>
      <c r="Y540"/>
    </row>
    <row r="541" spans="2:25" s="6" customFormat="1" x14ac:dyDescent="0.25">
      <c r="B541" s="1"/>
      <c r="C541" s="1"/>
      <c r="F541" s="2"/>
      <c r="G541" s="12"/>
      <c r="H541" s="2"/>
      <c r="J541"/>
      <c r="K541"/>
      <c r="L541"/>
      <c r="M541"/>
      <c r="N541"/>
      <c r="O541"/>
      <c r="P541"/>
      <c r="Q541"/>
      <c r="R541" s="2"/>
      <c r="S541" s="2"/>
      <c r="T541"/>
      <c r="U541"/>
      <c r="V541"/>
      <c r="W541"/>
      <c r="X541"/>
      <c r="Y541"/>
    </row>
    <row r="542" spans="2:25" s="6" customFormat="1" x14ac:dyDescent="0.25">
      <c r="B542" s="1"/>
      <c r="C542" s="1"/>
      <c r="F542" s="2"/>
      <c r="G542" s="12"/>
      <c r="H542" s="2"/>
      <c r="J542"/>
      <c r="K542"/>
      <c r="L542"/>
      <c r="M542"/>
      <c r="N542"/>
      <c r="O542"/>
      <c r="P542"/>
      <c r="Q542"/>
      <c r="R542" s="2"/>
      <c r="S542" s="2"/>
      <c r="T542"/>
      <c r="U542"/>
      <c r="V542"/>
      <c r="W542"/>
      <c r="X542"/>
      <c r="Y542"/>
    </row>
    <row r="543" spans="2:25" s="6" customFormat="1" x14ac:dyDescent="0.25">
      <c r="B543" s="1"/>
      <c r="C543" s="1"/>
      <c r="F543" s="2"/>
      <c r="G543" s="12"/>
      <c r="H543" s="2"/>
      <c r="J543"/>
      <c r="K543"/>
      <c r="L543"/>
      <c r="M543"/>
      <c r="N543"/>
      <c r="O543"/>
      <c r="P543"/>
      <c r="Q543"/>
      <c r="R543" s="2"/>
      <c r="S543" s="2"/>
      <c r="T543"/>
      <c r="U543"/>
      <c r="V543"/>
      <c r="W543"/>
      <c r="X543"/>
      <c r="Y543"/>
    </row>
    <row r="544" spans="2:25" s="6" customFormat="1" x14ac:dyDescent="0.25">
      <c r="B544" s="1"/>
      <c r="C544" s="1"/>
      <c r="F544" s="2"/>
      <c r="G544" s="12"/>
      <c r="H544" s="2"/>
      <c r="J544"/>
      <c r="K544"/>
      <c r="L544"/>
      <c r="M544"/>
      <c r="N544"/>
      <c r="O544"/>
      <c r="P544"/>
      <c r="Q544"/>
      <c r="R544" s="2"/>
      <c r="S544" s="2"/>
      <c r="T544"/>
      <c r="U544"/>
      <c r="V544"/>
      <c r="W544"/>
      <c r="X544"/>
      <c r="Y544"/>
    </row>
    <row r="545" spans="2:25" s="6" customFormat="1" x14ac:dyDescent="0.25">
      <c r="B545" s="1"/>
      <c r="C545" s="1"/>
      <c r="F545" s="2"/>
      <c r="G545" s="12"/>
      <c r="H545" s="2"/>
      <c r="J545"/>
      <c r="K545"/>
      <c r="L545"/>
      <c r="M545"/>
      <c r="N545"/>
      <c r="O545"/>
      <c r="P545"/>
      <c r="Q545"/>
      <c r="R545" s="2"/>
      <c r="S545" s="2"/>
      <c r="T545"/>
      <c r="U545"/>
      <c r="V545"/>
      <c r="W545"/>
      <c r="X545"/>
      <c r="Y545"/>
    </row>
    <row r="546" spans="2:25" s="6" customFormat="1" x14ac:dyDescent="0.25">
      <c r="B546" s="1"/>
      <c r="C546" s="1"/>
      <c r="F546" s="2"/>
      <c r="G546" s="12"/>
      <c r="H546" s="2"/>
      <c r="J546"/>
      <c r="K546"/>
      <c r="L546"/>
      <c r="M546"/>
      <c r="N546"/>
      <c r="O546"/>
      <c r="P546"/>
      <c r="Q546"/>
      <c r="R546" s="2"/>
      <c r="S546" s="2"/>
      <c r="T546"/>
      <c r="U546"/>
      <c r="V546"/>
      <c r="W546"/>
      <c r="X546"/>
      <c r="Y546"/>
    </row>
    <row r="547" spans="2:25" s="6" customFormat="1" x14ac:dyDescent="0.25">
      <c r="B547" s="1"/>
      <c r="C547" s="1"/>
      <c r="F547" s="2"/>
      <c r="G547" s="12"/>
      <c r="H547" s="2"/>
      <c r="J547"/>
      <c r="K547"/>
      <c r="L547"/>
      <c r="M547"/>
      <c r="N547"/>
      <c r="O547"/>
      <c r="P547"/>
      <c r="Q547"/>
      <c r="R547" s="2"/>
      <c r="S547" s="2"/>
      <c r="T547"/>
      <c r="U547"/>
      <c r="V547"/>
      <c r="W547"/>
      <c r="X547"/>
      <c r="Y547"/>
    </row>
    <row r="548" spans="2:25" s="6" customFormat="1" x14ac:dyDescent="0.25">
      <c r="B548" s="1"/>
      <c r="C548" s="1"/>
      <c r="F548" s="2"/>
      <c r="G548" s="12"/>
      <c r="H548" s="2"/>
      <c r="J548"/>
      <c r="K548"/>
      <c r="L548"/>
      <c r="M548"/>
      <c r="N548"/>
      <c r="O548"/>
      <c r="P548"/>
      <c r="Q548"/>
      <c r="R548" s="2"/>
      <c r="S548" s="2"/>
      <c r="T548"/>
      <c r="U548"/>
      <c r="V548"/>
      <c r="W548"/>
      <c r="X548"/>
      <c r="Y548"/>
    </row>
    <row r="549" spans="2:25" s="6" customFormat="1" x14ac:dyDescent="0.25">
      <c r="B549" s="1"/>
      <c r="C549" s="1"/>
      <c r="F549" s="2"/>
      <c r="G549" s="12"/>
      <c r="H549" s="2"/>
      <c r="J549"/>
      <c r="K549"/>
      <c r="L549"/>
      <c r="M549"/>
      <c r="N549"/>
      <c r="O549"/>
      <c r="P549"/>
      <c r="Q549"/>
      <c r="R549" s="2"/>
      <c r="S549" s="2"/>
      <c r="T549"/>
      <c r="U549"/>
      <c r="V549"/>
      <c r="W549"/>
      <c r="X549"/>
      <c r="Y549"/>
    </row>
    <row r="550" spans="2:25" s="6" customFormat="1" x14ac:dyDescent="0.25">
      <c r="B550" s="1"/>
      <c r="C550" s="1"/>
      <c r="F550" s="2"/>
      <c r="G550" s="12"/>
      <c r="H550" s="2"/>
      <c r="J550"/>
      <c r="K550"/>
      <c r="L550"/>
      <c r="M550"/>
      <c r="N550"/>
      <c r="O550"/>
      <c r="P550"/>
      <c r="Q550"/>
      <c r="R550" s="2"/>
      <c r="S550" s="2"/>
      <c r="T550"/>
      <c r="U550"/>
      <c r="V550"/>
      <c r="W550"/>
      <c r="X550"/>
      <c r="Y550"/>
    </row>
    <row r="551" spans="2:25" s="6" customFormat="1" x14ac:dyDescent="0.25">
      <c r="B551" s="1"/>
      <c r="C551" s="1"/>
      <c r="F551" s="2"/>
      <c r="G551" s="12"/>
      <c r="H551" s="2"/>
      <c r="J551"/>
      <c r="K551"/>
      <c r="L551"/>
      <c r="M551"/>
      <c r="N551"/>
      <c r="O551"/>
      <c r="P551"/>
      <c r="Q551"/>
      <c r="R551" s="2"/>
      <c r="S551" s="2"/>
      <c r="T551"/>
      <c r="U551"/>
      <c r="V551"/>
      <c r="W551"/>
      <c r="X551"/>
      <c r="Y551"/>
    </row>
    <row r="552" spans="2:25" s="6" customFormat="1" x14ac:dyDescent="0.25">
      <c r="B552" s="1"/>
      <c r="C552" s="1"/>
      <c r="F552" s="2"/>
      <c r="G552" s="12"/>
      <c r="H552" s="2"/>
      <c r="J552"/>
      <c r="K552"/>
      <c r="L552"/>
      <c r="M552"/>
      <c r="N552"/>
      <c r="O552"/>
      <c r="P552"/>
      <c r="Q552"/>
      <c r="R552" s="2"/>
      <c r="S552" s="2"/>
      <c r="T552"/>
      <c r="U552"/>
      <c r="V552"/>
      <c r="W552"/>
      <c r="X552"/>
      <c r="Y552"/>
    </row>
    <row r="553" spans="2:25" s="6" customFormat="1" x14ac:dyDescent="0.25">
      <c r="B553" s="1"/>
      <c r="C553" s="1"/>
      <c r="F553" s="2"/>
      <c r="G553" s="12"/>
      <c r="H553" s="2"/>
      <c r="J553"/>
      <c r="K553"/>
      <c r="L553"/>
      <c r="M553"/>
      <c r="N553"/>
      <c r="O553"/>
      <c r="P553"/>
      <c r="Q553"/>
      <c r="R553" s="2"/>
      <c r="S553" s="2"/>
      <c r="T553"/>
      <c r="U553"/>
      <c r="V553"/>
      <c r="W553"/>
      <c r="X553"/>
      <c r="Y553"/>
    </row>
    <row r="554" spans="2:25" s="6" customFormat="1" x14ac:dyDescent="0.25">
      <c r="B554" s="1"/>
      <c r="C554" s="1"/>
      <c r="F554" s="2"/>
      <c r="G554" s="12"/>
      <c r="H554" s="2"/>
      <c r="J554"/>
      <c r="K554"/>
      <c r="L554"/>
      <c r="M554"/>
      <c r="N554"/>
      <c r="O554"/>
      <c r="P554"/>
      <c r="Q554"/>
      <c r="R554" s="2"/>
      <c r="S554" s="2"/>
      <c r="T554"/>
      <c r="U554"/>
      <c r="V554"/>
      <c r="W554"/>
      <c r="X554"/>
      <c r="Y554"/>
    </row>
    <row r="555" spans="2:25" s="6" customFormat="1" x14ac:dyDescent="0.25">
      <c r="B555" s="1"/>
      <c r="C555" s="1"/>
      <c r="F555" s="2"/>
      <c r="G555" s="12"/>
      <c r="H555" s="2"/>
      <c r="J555"/>
      <c r="K555"/>
      <c r="L555"/>
      <c r="M555"/>
      <c r="N555"/>
      <c r="O555"/>
      <c r="P555"/>
      <c r="Q555"/>
      <c r="R555" s="2"/>
      <c r="S555" s="2"/>
      <c r="T555"/>
      <c r="U555"/>
      <c r="V555"/>
      <c r="W555"/>
      <c r="X555"/>
      <c r="Y555"/>
    </row>
    <row r="556" spans="2:25" s="6" customFormat="1" x14ac:dyDescent="0.25">
      <c r="B556" s="1"/>
      <c r="C556" s="1"/>
      <c r="F556" s="2"/>
      <c r="G556" s="12"/>
      <c r="H556" s="2"/>
      <c r="J556"/>
      <c r="K556"/>
      <c r="L556"/>
      <c r="M556"/>
      <c r="N556"/>
      <c r="O556"/>
      <c r="P556"/>
      <c r="Q556"/>
      <c r="R556" s="2"/>
      <c r="S556" s="2"/>
      <c r="T556"/>
      <c r="U556"/>
      <c r="V556"/>
      <c r="W556"/>
      <c r="X556"/>
      <c r="Y556"/>
    </row>
    <row r="557" spans="2:25" s="6" customFormat="1" x14ac:dyDescent="0.25">
      <c r="B557" s="1"/>
      <c r="C557" s="1"/>
      <c r="F557" s="2"/>
      <c r="G557" s="12"/>
      <c r="H557" s="2"/>
      <c r="J557"/>
      <c r="K557"/>
      <c r="L557"/>
      <c r="M557"/>
      <c r="N557"/>
      <c r="O557"/>
      <c r="P557"/>
      <c r="Q557"/>
      <c r="R557" s="2"/>
      <c r="S557" s="2"/>
      <c r="T557"/>
      <c r="U557"/>
      <c r="V557"/>
      <c r="W557"/>
      <c r="X557"/>
      <c r="Y557"/>
    </row>
    <row r="558" spans="2:25" s="6" customFormat="1" x14ac:dyDescent="0.25">
      <c r="B558" s="1"/>
      <c r="C558" s="1"/>
      <c r="F558" s="2"/>
      <c r="G558" s="12"/>
      <c r="H558" s="2"/>
      <c r="J558"/>
      <c r="K558"/>
      <c r="L558"/>
      <c r="M558"/>
      <c r="N558"/>
      <c r="O558"/>
      <c r="P558"/>
      <c r="Q558"/>
      <c r="R558" s="2"/>
      <c r="S558" s="2"/>
      <c r="T558"/>
      <c r="U558"/>
      <c r="V558"/>
      <c r="W558"/>
      <c r="X558"/>
      <c r="Y558"/>
    </row>
    <row r="559" spans="2:25" s="6" customFormat="1" x14ac:dyDescent="0.25">
      <c r="B559" s="1"/>
      <c r="C559" s="1"/>
      <c r="F559" s="2"/>
      <c r="G559" s="12"/>
      <c r="H559" s="2"/>
      <c r="J559"/>
      <c r="K559"/>
      <c r="L559"/>
      <c r="M559"/>
      <c r="N559"/>
      <c r="O559"/>
      <c r="P559"/>
      <c r="Q559"/>
      <c r="R559" s="2"/>
      <c r="S559" s="2"/>
      <c r="T559"/>
      <c r="U559"/>
      <c r="V559"/>
      <c r="W559"/>
      <c r="X559"/>
      <c r="Y559"/>
    </row>
    <row r="560" spans="2:25" s="6" customFormat="1" x14ac:dyDescent="0.25">
      <c r="B560" s="1"/>
      <c r="C560" s="1"/>
      <c r="F560" s="2"/>
      <c r="G560" s="12"/>
      <c r="H560" s="2"/>
      <c r="J560"/>
      <c r="K560"/>
      <c r="L560"/>
      <c r="M560"/>
      <c r="N560"/>
      <c r="O560"/>
      <c r="P560"/>
      <c r="Q560"/>
      <c r="R560" s="2"/>
      <c r="S560" s="2"/>
      <c r="T560"/>
      <c r="U560"/>
      <c r="V560"/>
      <c r="W560"/>
      <c r="X560"/>
      <c r="Y560"/>
    </row>
    <row r="561" spans="2:25" s="6" customFormat="1" x14ac:dyDescent="0.25">
      <c r="B561" s="1"/>
      <c r="C561" s="1"/>
      <c r="F561" s="2"/>
      <c r="G561" s="12"/>
      <c r="H561" s="2"/>
      <c r="J561"/>
      <c r="K561"/>
      <c r="L561"/>
      <c r="M561"/>
      <c r="N561"/>
      <c r="O561"/>
      <c r="P561"/>
      <c r="Q561"/>
      <c r="R561" s="2"/>
      <c r="S561" s="2"/>
      <c r="T561"/>
      <c r="U561"/>
      <c r="V561"/>
      <c r="W561"/>
      <c r="X561"/>
      <c r="Y561"/>
    </row>
    <row r="562" spans="2:25" s="6" customFormat="1" x14ac:dyDescent="0.25">
      <c r="B562" s="1"/>
      <c r="C562" s="1"/>
      <c r="F562" s="2"/>
      <c r="G562" s="12"/>
      <c r="H562" s="2"/>
      <c r="J562"/>
      <c r="K562"/>
      <c r="L562"/>
      <c r="M562"/>
      <c r="N562"/>
      <c r="O562"/>
      <c r="P562"/>
      <c r="Q562"/>
      <c r="R562" s="2"/>
      <c r="S562" s="2"/>
      <c r="T562"/>
      <c r="U562"/>
      <c r="V562"/>
      <c r="W562"/>
      <c r="X562"/>
      <c r="Y562"/>
    </row>
    <row r="563" spans="2:25" s="6" customFormat="1" x14ac:dyDescent="0.25">
      <c r="B563" s="1"/>
      <c r="C563" s="1"/>
      <c r="F563" s="2"/>
      <c r="G563" s="12"/>
      <c r="H563" s="2"/>
      <c r="J563"/>
      <c r="K563"/>
      <c r="L563"/>
      <c r="M563"/>
      <c r="N563"/>
      <c r="O563"/>
      <c r="P563"/>
      <c r="Q563"/>
      <c r="R563" s="2"/>
      <c r="S563" s="2"/>
      <c r="T563"/>
      <c r="U563"/>
      <c r="V563"/>
      <c r="W563"/>
      <c r="X563"/>
      <c r="Y563"/>
    </row>
    <row r="564" spans="2:25" s="6" customFormat="1" x14ac:dyDescent="0.25">
      <c r="B564" s="1"/>
      <c r="C564" s="1"/>
      <c r="F564" s="2"/>
      <c r="G564" s="12"/>
      <c r="H564" s="2"/>
      <c r="J564"/>
      <c r="K564"/>
      <c r="L564"/>
      <c r="M564"/>
      <c r="N564"/>
      <c r="O564"/>
      <c r="P564"/>
      <c r="Q564"/>
      <c r="R564" s="2"/>
      <c r="S564" s="2"/>
      <c r="T564"/>
      <c r="U564"/>
      <c r="V564"/>
      <c r="W564"/>
      <c r="X564"/>
      <c r="Y564"/>
    </row>
    <row r="565" spans="2:25" s="6" customFormat="1" x14ac:dyDescent="0.25">
      <c r="B565" s="1"/>
      <c r="C565" s="1"/>
      <c r="F565" s="2"/>
      <c r="G565" s="12"/>
      <c r="H565" s="2"/>
      <c r="J565"/>
      <c r="K565"/>
      <c r="L565"/>
      <c r="M565"/>
      <c r="N565"/>
      <c r="O565"/>
      <c r="P565"/>
      <c r="Q565"/>
      <c r="R565" s="2"/>
      <c r="S565" s="2"/>
      <c r="T565"/>
      <c r="U565"/>
      <c r="V565"/>
      <c r="W565"/>
      <c r="X565"/>
      <c r="Y565"/>
    </row>
    <row r="566" spans="2:25" s="6" customFormat="1" x14ac:dyDescent="0.25">
      <c r="B566" s="1"/>
      <c r="C566" s="1"/>
      <c r="F566" s="2"/>
      <c r="G566" s="12"/>
      <c r="H566" s="2"/>
      <c r="J566"/>
      <c r="K566"/>
      <c r="L566"/>
      <c r="M566"/>
      <c r="N566"/>
      <c r="O566"/>
      <c r="P566"/>
      <c r="Q566"/>
      <c r="R566" s="2"/>
      <c r="S566" s="2"/>
      <c r="T566"/>
      <c r="U566"/>
      <c r="V566"/>
      <c r="W566"/>
      <c r="X566"/>
      <c r="Y566"/>
    </row>
    <row r="567" spans="2:25" s="6" customFormat="1" x14ac:dyDescent="0.25">
      <c r="B567" s="1"/>
      <c r="C567" s="1"/>
      <c r="F567" s="2"/>
      <c r="G567" s="12"/>
      <c r="H567" s="2"/>
      <c r="J567"/>
      <c r="K567"/>
      <c r="L567"/>
      <c r="M567"/>
      <c r="N567"/>
      <c r="O567"/>
      <c r="P567"/>
      <c r="Q567"/>
      <c r="R567" s="2"/>
      <c r="S567" s="2"/>
      <c r="T567"/>
      <c r="U567"/>
      <c r="V567"/>
      <c r="W567"/>
      <c r="X567"/>
      <c r="Y567"/>
    </row>
    <row r="568" spans="2:25" s="6" customFormat="1" x14ac:dyDescent="0.25">
      <c r="B568" s="1"/>
      <c r="C568" s="1"/>
      <c r="F568" s="2"/>
      <c r="G568" s="12"/>
      <c r="H568" s="2"/>
      <c r="J568"/>
      <c r="K568"/>
      <c r="L568"/>
      <c r="M568"/>
      <c r="N568"/>
      <c r="O568"/>
      <c r="P568"/>
      <c r="Q568"/>
      <c r="R568" s="2"/>
      <c r="S568" s="2"/>
      <c r="T568"/>
      <c r="U568"/>
      <c r="V568"/>
      <c r="W568"/>
      <c r="X568"/>
      <c r="Y568"/>
    </row>
    <row r="569" spans="2:25" s="6" customFormat="1" x14ac:dyDescent="0.25">
      <c r="B569" s="1"/>
      <c r="C569" s="1"/>
      <c r="F569" s="2"/>
      <c r="G569" s="12"/>
      <c r="H569" s="2"/>
      <c r="J569"/>
      <c r="K569"/>
      <c r="L569"/>
      <c r="M569"/>
      <c r="N569"/>
      <c r="O569"/>
      <c r="P569"/>
      <c r="Q569"/>
      <c r="R569" s="2"/>
      <c r="S569" s="2"/>
      <c r="T569"/>
      <c r="U569"/>
      <c r="V569"/>
      <c r="W569"/>
      <c r="X569"/>
      <c r="Y569"/>
    </row>
    <row r="570" spans="2:25" s="6" customFormat="1" x14ac:dyDescent="0.25">
      <c r="B570" s="1"/>
      <c r="C570" s="1"/>
      <c r="F570" s="2"/>
      <c r="G570" s="12"/>
      <c r="H570" s="2"/>
      <c r="J570"/>
      <c r="K570"/>
      <c r="L570"/>
      <c r="M570"/>
      <c r="N570"/>
      <c r="O570"/>
      <c r="P570"/>
      <c r="Q570"/>
      <c r="R570" s="2"/>
      <c r="S570" s="2"/>
      <c r="T570"/>
      <c r="U570"/>
      <c r="V570"/>
      <c r="W570"/>
      <c r="X570"/>
      <c r="Y570"/>
    </row>
    <row r="571" spans="2:25" s="6" customFormat="1" x14ac:dyDescent="0.25">
      <c r="B571" s="1"/>
      <c r="C571" s="1"/>
      <c r="F571" s="2"/>
      <c r="G571" s="12"/>
      <c r="H571" s="2"/>
      <c r="J571"/>
      <c r="K571"/>
      <c r="L571"/>
      <c r="M571"/>
      <c r="N571"/>
      <c r="O571"/>
      <c r="P571"/>
      <c r="Q571"/>
      <c r="R571" s="2"/>
      <c r="S571" s="2"/>
      <c r="T571"/>
      <c r="U571"/>
      <c r="V571"/>
      <c r="W571"/>
      <c r="X571"/>
      <c r="Y571"/>
    </row>
    <row r="572" spans="2:25" s="6" customFormat="1" x14ac:dyDescent="0.25">
      <c r="B572" s="1"/>
      <c r="C572" s="1"/>
      <c r="F572" s="2"/>
      <c r="G572" s="12"/>
      <c r="H572" s="2"/>
      <c r="J572"/>
      <c r="K572"/>
      <c r="L572"/>
      <c r="M572"/>
      <c r="N572"/>
      <c r="O572"/>
      <c r="P572"/>
      <c r="Q572"/>
      <c r="R572" s="2"/>
      <c r="S572" s="2"/>
      <c r="T572"/>
      <c r="U572"/>
      <c r="V572"/>
      <c r="W572"/>
      <c r="X572"/>
      <c r="Y572"/>
    </row>
    <row r="573" spans="2:25" s="6" customFormat="1" x14ac:dyDescent="0.25">
      <c r="B573" s="1"/>
      <c r="C573" s="1"/>
      <c r="F573" s="2"/>
      <c r="G573" s="12"/>
      <c r="H573" s="2"/>
      <c r="J573"/>
      <c r="K573"/>
      <c r="L573"/>
      <c r="M573"/>
      <c r="N573"/>
      <c r="O573"/>
      <c r="P573"/>
      <c r="Q573"/>
      <c r="R573" s="2"/>
      <c r="S573" s="2"/>
      <c r="T573"/>
      <c r="U573"/>
      <c r="V573"/>
      <c r="W573"/>
      <c r="X573"/>
      <c r="Y573"/>
    </row>
    <row r="574" spans="2:25" s="6" customFormat="1" x14ac:dyDescent="0.25">
      <c r="B574" s="1"/>
      <c r="C574" s="1"/>
      <c r="F574" s="2"/>
      <c r="G574" s="12"/>
      <c r="H574" s="2"/>
      <c r="J574"/>
      <c r="K574"/>
      <c r="L574"/>
      <c r="M574"/>
      <c r="N574"/>
      <c r="O574"/>
      <c r="P574"/>
      <c r="Q574"/>
      <c r="R574" s="2"/>
      <c r="S574" s="2"/>
      <c r="T574"/>
      <c r="U574"/>
      <c r="V574"/>
      <c r="W574"/>
      <c r="X574"/>
      <c r="Y574"/>
    </row>
    <row r="575" spans="2:25" s="6" customFormat="1" x14ac:dyDescent="0.25">
      <c r="B575" s="1"/>
      <c r="C575" s="1"/>
      <c r="F575" s="2"/>
      <c r="G575" s="12"/>
      <c r="H575" s="2"/>
      <c r="J575"/>
      <c r="K575"/>
      <c r="L575"/>
      <c r="M575"/>
      <c r="N575"/>
      <c r="O575"/>
      <c r="P575"/>
      <c r="Q575"/>
      <c r="R575" s="2"/>
      <c r="S575" s="2"/>
      <c r="T575"/>
      <c r="U575"/>
      <c r="V575"/>
      <c r="W575"/>
      <c r="X575"/>
      <c r="Y575"/>
    </row>
    <row r="576" spans="2:25" s="6" customFormat="1" x14ac:dyDescent="0.25">
      <c r="B576" s="1"/>
      <c r="C576" s="1"/>
      <c r="F576" s="2"/>
      <c r="G576" s="12"/>
      <c r="H576" s="2"/>
      <c r="J576"/>
      <c r="K576"/>
      <c r="L576"/>
      <c r="M576"/>
      <c r="N576"/>
      <c r="O576"/>
      <c r="P576"/>
      <c r="Q576"/>
      <c r="R576" s="2"/>
      <c r="S576" s="2"/>
      <c r="T576"/>
      <c r="U576"/>
      <c r="V576"/>
      <c r="W576"/>
      <c r="X576"/>
      <c r="Y576"/>
    </row>
    <row r="577" spans="2:25" s="6" customFormat="1" x14ac:dyDescent="0.25">
      <c r="B577" s="1"/>
      <c r="C577" s="1"/>
      <c r="F577" s="2"/>
      <c r="G577" s="12"/>
      <c r="H577" s="2"/>
      <c r="J577"/>
      <c r="K577"/>
      <c r="L577"/>
      <c r="M577"/>
      <c r="N577"/>
      <c r="O577"/>
      <c r="P577"/>
      <c r="Q577"/>
      <c r="R577" s="2"/>
      <c r="S577" s="2"/>
      <c r="T577"/>
      <c r="U577"/>
      <c r="V577"/>
      <c r="W577"/>
      <c r="X577"/>
      <c r="Y577"/>
    </row>
    <row r="578" spans="2:25" s="6" customFormat="1" x14ac:dyDescent="0.25">
      <c r="B578" s="1"/>
      <c r="C578" s="1"/>
      <c r="F578" s="2"/>
      <c r="G578" s="12"/>
      <c r="H578" s="2"/>
      <c r="J578"/>
      <c r="K578"/>
      <c r="L578"/>
      <c r="M578"/>
      <c r="N578"/>
      <c r="O578"/>
      <c r="P578"/>
      <c r="Q578"/>
      <c r="R578" s="2"/>
      <c r="S578" s="2"/>
      <c r="T578"/>
      <c r="U578"/>
      <c r="V578"/>
      <c r="W578"/>
      <c r="X578"/>
      <c r="Y578"/>
    </row>
    <row r="579" spans="2:25" s="6" customFormat="1" x14ac:dyDescent="0.25">
      <c r="B579" s="1"/>
      <c r="C579" s="1"/>
      <c r="F579" s="2"/>
      <c r="G579" s="12"/>
      <c r="H579" s="2"/>
      <c r="J579"/>
      <c r="K579"/>
      <c r="L579"/>
      <c r="M579"/>
      <c r="N579"/>
      <c r="O579"/>
      <c r="P579"/>
      <c r="Q579"/>
      <c r="R579" s="2"/>
      <c r="S579" s="2"/>
      <c r="T579"/>
      <c r="U579"/>
      <c r="V579"/>
      <c r="W579"/>
      <c r="X579"/>
      <c r="Y579"/>
    </row>
    <row r="580" spans="2:25" s="6" customFormat="1" x14ac:dyDescent="0.25">
      <c r="B580" s="1"/>
      <c r="C580" s="1"/>
      <c r="F580" s="2"/>
      <c r="G580" s="12"/>
      <c r="H580" s="2"/>
      <c r="J580"/>
      <c r="K580"/>
      <c r="L580"/>
      <c r="M580"/>
      <c r="N580"/>
      <c r="O580"/>
      <c r="P580"/>
      <c r="Q580"/>
      <c r="R580" s="2"/>
      <c r="S580" s="2"/>
      <c r="T580"/>
      <c r="U580"/>
      <c r="V580"/>
      <c r="W580"/>
      <c r="X580"/>
      <c r="Y580"/>
    </row>
    <row r="581" spans="2:25" s="6" customFormat="1" x14ac:dyDescent="0.25">
      <c r="B581" s="1"/>
      <c r="C581" s="1"/>
      <c r="F581" s="2"/>
      <c r="G581" s="12"/>
      <c r="H581" s="2"/>
      <c r="J581"/>
      <c r="K581"/>
      <c r="L581"/>
      <c r="M581"/>
      <c r="N581"/>
      <c r="O581"/>
      <c r="P581"/>
      <c r="Q581"/>
      <c r="R581" s="2"/>
      <c r="S581" s="2"/>
      <c r="T581"/>
      <c r="U581"/>
      <c r="V581"/>
      <c r="W581"/>
      <c r="X581"/>
      <c r="Y581"/>
    </row>
    <row r="582" spans="2:25" s="6" customFormat="1" x14ac:dyDescent="0.25">
      <c r="B582" s="1"/>
      <c r="C582" s="1"/>
      <c r="F582" s="2"/>
      <c r="G582" s="12"/>
      <c r="H582" s="2"/>
      <c r="J582"/>
      <c r="K582"/>
      <c r="L582"/>
      <c r="M582"/>
      <c r="N582"/>
      <c r="O582"/>
      <c r="P582"/>
      <c r="Q582"/>
      <c r="R582" s="2"/>
      <c r="S582" s="2"/>
      <c r="T582"/>
      <c r="U582"/>
      <c r="V582"/>
      <c r="W582"/>
      <c r="X582"/>
      <c r="Y582"/>
    </row>
    <row r="583" spans="2:25" s="6" customFormat="1" x14ac:dyDescent="0.25">
      <c r="B583" s="1"/>
      <c r="C583" s="1"/>
      <c r="F583" s="2"/>
      <c r="G583" s="12"/>
      <c r="H583" s="2"/>
      <c r="J583"/>
      <c r="K583"/>
      <c r="L583"/>
      <c r="M583"/>
      <c r="N583"/>
      <c r="O583"/>
      <c r="P583"/>
      <c r="Q583"/>
      <c r="R583" s="2"/>
      <c r="S583" s="2"/>
      <c r="T583"/>
      <c r="U583"/>
      <c r="V583"/>
      <c r="W583"/>
      <c r="X583"/>
      <c r="Y583"/>
    </row>
    <row r="584" spans="2:25" s="6" customFormat="1" x14ac:dyDescent="0.25">
      <c r="B584" s="1"/>
      <c r="C584" s="1"/>
      <c r="F584" s="2"/>
      <c r="G584" s="12"/>
      <c r="H584" s="2"/>
      <c r="J584"/>
      <c r="K584"/>
      <c r="L584"/>
      <c r="M584"/>
      <c r="N584"/>
      <c r="O584"/>
      <c r="P584"/>
      <c r="Q584"/>
      <c r="R584" s="2"/>
      <c r="S584" s="2"/>
      <c r="T584"/>
      <c r="U584"/>
      <c r="V584"/>
      <c r="W584"/>
      <c r="X584"/>
      <c r="Y584"/>
    </row>
    <row r="585" spans="2:25" s="6" customFormat="1" x14ac:dyDescent="0.25">
      <c r="B585" s="1"/>
      <c r="C585" s="1"/>
      <c r="F585" s="2"/>
      <c r="G585" s="12"/>
      <c r="H585" s="2"/>
      <c r="J585"/>
      <c r="K585"/>
      <c r="L585"/>
      <c r="M585"/>
      <c r="N585"/>
      <c r="O585"/>
      <c r="P585"/>
      <c r="Q585"/>
      <c r="R585" s="2"/>
      <c r="S585" s="2"/>
      <c r="T585"/>
      <c r="U585"/>
      <c r="V585"/>
      <c r="W585"/>
      <c r="X585"/>
      <c r="Y585"/>
    </row>
    <row r="586" spans="2:25" s="6" customFormat="1" x14ac:dyDescent="0.25">
      <c r="B586" s="1"/>
      <c r="C586" s="1"/>
      <c r="F586" s="2"/>
      <c r="G586" s="12"/>
      <c r="H586" s="2"/>
      <c r="J586"/>
      <c r="K586"/>
      <c r="L586"/>
      <c r="M586"/>
      <c r="N586"/>
      <c r="O586"/>
      <c r="P586"/>
      <c r="Q586"/>
      <c r="R586" s="2"/>
      <c r="S586" s="2"/>
      <c r="T586"/>
      <c r="U586"/>
      <c r="V586"/>
      <c r="W586"/>
      <c r="X586"/>
      <c r="Y586"/>
    </row>
    <row r="587" spans="2:25" s="6" customFormat="1" x14ac:dyDescent="0.25">
      <c r="B587" s="1"/>
      <c r="C587" s="1"/>
      <c r="F587" s="2"/>
      <c r="G587" s="12"/>
      <c r="H587" s="2"/>
      <c r="J587"/>
      <c r="K587"/>
      <c r="L587"/>
      <c r="M587"/>
      <c r="N587"/>
      <c r="O587"/>
      <c r="P587"/>
      <c r="Q587"/>
      <c r="R587" s="2"/>
      <c r="S587" s="2"/>
      <c r="T587"/>
      <c r="U587"/>
      <c r="V587"/>
      <c r="W587"/>
      <c r="X587"/>
      <c r="Y587"/>
    </row>
    <row r="588" spans="2:25" s="6" customFormat="1" x14ac:dyDescent="0.25">
      <c r="B588" s="1"/>
      <c r="C588" s="1"/>
      <c r="F588" s="2"/>
      <c r="G588" s="12"/>
      <c r="H588" s="2"/>
      <c r="J588"/>
      <c r="K588"/>
      <c r="L588"/>
      <c r="M588"/>
      <c r="N588"/>
      <c r="O588"/>
      <c r="P588"/>
      <c r="Q588"/>
      <c r="R588" s="2"/>
      <c r="S588" s="2"/>
      <c r="T588"/>
      <c r="U588"/>
      <c r="V588"/>
      <c r="W588"/>
      <c r="X588"/>
      <c r="Y588"/>
    </row>
    <row r="589" spans="2:25" s="6" customFormat="1" x14ac:dyDescent="0.25">
      <c r="B589" s="1"/>
      <c r="C589" s="1"/>
      <c r="F589" s="2"/>
      <c r="G589" s="12"/>
      <c r="H589" s="2"/>
      <c r="J589"/>
      <c r="K589"/>
      <c r="L589"/>
      <c r="M589"/>
      <c r="N589"/>
      <c r="O589"/>
      <c r="P589"/>
      <c r="Q589"/>
      <c r="R589" s="2"/>
      <c r="S589" s="2"/>
      <c r="T589"/>
      <c r="U589"/>
      <c r="V589"/>
      <c r="W589"/>
      <c r="X589"/>
      <c r="Y589"/>
    </row>
    <row r="590" spans="2:25" s="6" customFormat="1" x14ac:dyDescent="0.25">
      <c r="B590" s="1"/>
      <c r="C590" s="1"/>
      <c r="F590" s="2"/>
      <c r="G590" s="12"/>
      <c r="H590" s="2"/>
      <c r="J590"/>
      <c r="K590"/>
      <c r="L590"/>
      <c r="M590"/>
      <c r="N590"/>
      <c r="O590"/>
      <c r="P590"/>
      <c r="Q590"/>
      <c r="R590" s="2"/>
      <c r="S590" s="2"/>
      <c r="T590"/>
      <c r="U590"/>
      <c r="V590"/>
      <c r="W590"/>
      <c r="X590"/>
      <c r="Y590"/>
    </row>
    <row r="591" spans="2:25" s="6" customFormat="1" x14ac:dyDescent="0.25">
      <c r="B591" s="1"/>
      <c r="C591" s="1"/>
      <c r="F591" s="2"/>
      <c r="G591" s="12"/>
      <c r="H591" s="2"/>
      <c r="J591"/>
      <c r="K591"/>
      <c r="L591"/>
      <c r="M591"/>
      <c r="N591"/>
      <c r="O591"/>
      <c r="P591"/>
      <c r="Q591"/>
      <c r="R591" s="2"/>
      <c r="S591" s="2"/>
      <c r="T591"/>
      <c r="U591"/>
      <c r="V591"/>
      <c r="W591"/>
      <c r="X591"/>
      <c r="Y591"/>
    </row>
    <row r="592" spans="2:25" s="6" customFormat="1" x14ac:dyDescent="0.25">
      <c r="B592" s="1"/>
      <c r="C592" s="1"/>
      <c r="F592" s="2"/>
      <c r="G592" s="12"/>
      <c r="H592" s="2"/>
      <c r="J592"/>
      <c r="K592"/>
      <c r="L592"/>
      <c r="M592"/>
      <c r="N592"/>
      <c r="O592"/>
      <c r="P592"/>
      <c r="Q592"/>
      <c r="R592" s="2"/>
      <c r="S592" s="2"/>
      <c r="T592"/>
      <c r="U592"/>
      <c r="V592"/>
      <c r="W592"/>
      <c r="X592"/>
      <c r="Y592"/>
    </row>
    <row r="593" spans="2:25" s="6" customFormat="1" x14ac:dyDescent="0.25">
      <c r="B593" s="1"/>
      <c r="C593" s="1"/>
      <c r="F593" s="2"/>
      <c r="G593" s="12"/>
      <c r="H593" s="2"/>
      <c r="J593"/>
      <c r="K593"/>
      <c r="L593"/>
      <c r="M593"/>
      <c r="N593"/>
      <c r="O593"/>
      <c r="P593"/>
      <c r="Q593"/>
      <c r="R593" s="2"/>
      <c r="S593" s="2"/>
      <c r="T593"/>
      <c r="U593"/>
      <c r="V593"/>
      <c r="W593"/>
      <c r="X593"/>
      <c r="Y593"/>
    </row>
    <row r="594" spans="2:25" s="6" customFormat="1" x14ac:dyDescent="0.25">
      <c r="B594" s="1"/>
      <c r="C594" s="1"/>
      <c r="F594" s="2"/>
      <c r="G594" s="12"/>
      <c r="H594" s="2"/>
      <c r="J594"/>
      <c r="K594"/>
      <c r="L594"/>
      <c r="M594"/>
      <c r="N594"/>
      <c r="O594"/>
      <c r="P594"/>
      <c r="Q594"/>
      <c r="R594" s="2"/>
      <c r="S594" s="2"/>
      <c r="T594"/>
      <c r="U594"/>
      <c r="V594"/>
      <c r="W594"/>
      <c r="X594"/>
      <c r="Y594"/>
    </row>
    <row r="595" spans="2:25" s="6" customFormat="1" x14ac:dyDescent="0.25">
      <c r="B595" s="1"/>
      <c r="C595" s="1"/>
      <c r="F595" s="2"/>
      <c r="G595" s="12"/>
      <c r="H595" s="2"/>
      <c r="J595"/>
      <c r="K595"/>
      <c r="L595"/>
      <c r="M595"/>
      <c r="N595"/>
      <c r="O595"/>
      <c r="P595"/>
      <c r="Q595"/>
      <c r="R595" s="2"/>
      <c r="S595" s="2"/>
      <c r="T595"/>
      <c r="U595"/>
      <c r="V595"/>
      <c r="W595"/>
      <c r="X595"/>
      <c r="Y595"/>
    </row>
    <row r="596" spans="2:25" s="6" customFormat="1" x14ac:dyDescent="0.25">
      <c r="B596" s="1"/>
      <c r="C596" s="1"/>
      <c r="F596" s="2"/>
      <c r="G596" s="12"/>
      <c r="H596" s="2"/>
      <c r="J596"/>
      <c r="K596"/>
      <c r="L596"/>
      <c r="M596"/>
      <c r="N596"/>
      <c r="O596"/>
      <c r="P596"/>
      <c r="Q596"/>
      <c r="R596" s="2"/>
      <c r="S596" s="2"/>
      <c r="T596"/>
      <c r="U596"/>
      <c r="V596"/>
      <c r="W596"/>
      <c r="X596"/>
      <c r="Y596"/>
    </row>
    <row r="597" spans="2:25" s="6" customFormat="1" x14ac:dyDescent="0.25">
      <c r="B597" s="1"/>
      <c r="C597" s="1"/>
      <c r="F597" s="2"/>
      <c r="G597" s="12"/>
      <c r="H597" s="2"/>
      <c r="J597"/>
      <c r="K597"/>
      <c r="L597"/>
      <c r="M597"/>
      <c r="N597"/>
      <c r="O597"/>
      <c r="P597"/>
      <c r="Q597"/>
      <c r="R597" s="2"/>
      <c r="S597" s="2"/>
      <c r="T597"/>
      <c r="U597"/>
      <c r="V597"/>
      <c r="W597"/>
      <c r="X597"/>
      <c r="Y597"/>
    </row>
    <row r="598" spans="2:25" s="6" customFormat="1" x14ac:dyDescent="0.25">
      <c r="B598" s="1"/>
      <c r="C598" s="1"/>
      <c r="F598" s="2"/>
      <c r="G598" s="12"/>
      <c r="H598" s="2"/>
      <c r="J598"/>
      <c r="K598"/>
      <c r="L598"/>
      <c r="M598"/>
      <c r="N598"/>
      <c r="O598"/>
      <c r="P598"/>
      <c r="Q598"/>
      <c r="R598" s="2"/>
      <c r="S598" s="2"/>
      <c r="T598"/>
      <c r="U598"/>
      <c r="V598"/>
      <c r="W598"/>
      <c r="X598"/>
      <c r="Y598"/>
    </row>
    <row r="599" spans="2:25" s="6" customFormat="1" x14ac:dyDescent="0.25">
      <c r="B599" s="1"/>
      <c r="C599" s="1"/>
      <c r="F599" s="2"/>
      <c r="G599" s="12"/>
      <c r="H599" s="2"/>
      <c r="J599"/>
      <c r="K599"/>
      <c r="L599"/>
      <c r="M599"/>
      <c r="N599"/>
      <c r="O599"/>
      <c r="P599"/>
      <c r="Q599"/>
      <c r="R599" s="2"/>
      <c r="S599" s="2"/>
      <c r="T599"/>
      <c r="U599"/>
      <c r="V599"/>
      <c r="W599"/>
      <c r="X599"/>
      <c r="Y599"/>
    </row>
    <row r="600" spans="2:25" s="6" customFormat="1" x14ac:dyDescent="0.25">
      <c r="B600" s="1"/>
      <c r="C600" s="1"/>
      <c r="F600" s="2"/>
      <c r="G600" s="12"/>
      <c r="H600" s="2"/>
      <c r="J600"/>
      <c r="K600"/>
      <c r="L600"/>
      <c r="M600"/>
      <c r="N600"/>
      <c r="O600"/>
      <c r="P600"/>
      <c r="Q600"/>
      <c r="R600" s="2"/>
      <c r="S600" s="2"/>
      <c r="T600"/>
      <c r="U600"/>
      <c r="V600"/>
      <c r="W600"/>
      <c r="X600"/>
      <c r="Y600"/>
    </row>
    <row r="601" spans="2:25" s="6" customFormat="1" x14ac:dyDescent="0.25">
      <c r="B601" s="1"/>
      <c r="C601" s="1"/>
      <c r="F601" s="2"/>
      <c r="G601" s="12"/>
      <c r="H601" s="2"/>
      <c r="J601"/>
      <c r="K601"/>
      <c r="L601"/>
      <c r="M601"/>
      <c r="N601"/>
      <c r="O601"/>
      <c r="P601"/>
      <c r="Q601"/>
      <c r="R601" s="2"/>
      <c r="S601" s="2"/>
      <c r="T601"/>
      <c r="U601"/>
      <c r="V601"/>
      <c r="W601"/>
      <c r="X601"/>
      <c r="Y601"/>
    </row>
    <row r="602" spans="2:25" s="6" customFormat="1" x14ac:dyDescent="0.25">
      <c r="B602" s="1"/>
      <c r="C602" s="1"/>
      <c r="F602" s="2"/>
      <c r="G602" s="12"/>
      <c r="H602" s="2"/>
      <c r="J602"/>
      <c r="K602"/>
      <c r="L602"/>
      <c r="M602"/>
      <c r="N602"/>
      <c r="O602"/>
      <c r="P602"/>
      <c r="Q602"/>
      <c r="R602" s="2"/>
      <c r="S602" s="2"/>
      <c r="T602"/>
      <c r="U602"/>
      <c r="V602"/>
      <c r="W602"/>
      <c r="X602"/>
      <c r="Y602"/>
    </row>
    <row r="603" spans="2:25" s="6" customFormat="1" x14ac:dyDescent="0.25">
      <c r="B603" s="1"/>
      <c r="C603" s="1"/>
      <c r="F603" s="2"/>
      <c r="G603" s="12"/>
      <c r="H603" s="2"/>
      <c r="J603"/>
      <c r="K603"/>
      <c r="L603"/>
      <c r="M603"/>
      <c r="N603"/>
      <c r="O603"/>
      <c r="P603"/>
      <c r="Q603"/>
      <c r="R603" s="2"/>
      <c r="S603" s="2"/>
      <c r="T603"/>
      <c r="U603"/>
      <c r="V603"/>
      <c r="W603"/>
      <c r="X603"/>
      <c r="Y603"/>
    </row>
    <row r="604" spans="2:25" s="6" customFormat="1" x14ac:dyDescent="0.25">
      <c r="B604" s="1"/>
      <c r="C604" s="1"/>
      <c r="F604" s="2"/>
      <c r="G604" s="12"/>
      <c r="H604" s="2"/>
      <c r="J604"/>
      <c r="K604"/>
      <c r="L604"/>
      <c r="M604"/>
      <c r="N604"/>
      <c r="O604"/>
      <c r="P604"/>
      <c r="Q604"/>
      <c r="R604" s="2"/>
      <c r="S604" s="2"/>
      <c r="T604"/>
      <c r="U604"/>
      <c r="V604"/>
      <c r="W604"/>
      <c r="X604"/>
      <c r="Y604"/>
    </row>
    <row r="605" spans="2:25" s="6" customFormat="1" x14ac:dyDescent="0.25">
      <c r="B605" s="1"/>
      <c r="C605" s="1"/>
      <c r="F605" s="2"/>
      <c r="G605" s="12"/>
      <c r="H605" s="2"/>
      <c r="J605"/>
      <c r="K605"/>
      <c r="L605"/>
      <c r="M605"/>
      <c r="N605"/>
      <c r="O605"/>
      <c r="P605"/>
      <c r="Q605"/>
      <c r="R605" s="2"/>
      <c r="S605" s="2"/>
      <c r="T605"/>
      <c r="U605"/>
      <c r="V605"/>
      <c r="W605"/>
      <c r="X605"/>
      <c r="Y605"/>
    </row>
    <row r="606" spans="2:25" s="6" customFormat="1" x14ac:dyDescent="0.25">
      <c r="B606" s="1"/>
      <c r="C606" s="1"/>
      <c r="F606" s="2"/>
      <c r="G606" s="12"/>
      <c r="H606" s="2"/>
      <c r="J606"/>
      <c r="K606"/>
      <c r="L606"/>
      <c r="M606"/>
      <c r="N606"/>
      <c r="O606"/>
      <c r="P606"/>
      <c r="Q606"/>
      <c r="R606" s="2"/>
      <c r="S606" s="2"/>
      <c r="T606"/>
      <c r="U606"/>
      <c r="V606"/>
      <c r="W606"/>
      <c r="X606"/>
      <c r="Y606"/>
    </row>
    <row r="607" spans="2:25" s="6" customFormat="1" x14ac:dyDescent="0.25">
      <c r="B607" s="1"/>
      <c r="C607" s="1"/>
      <c r="F607" s="2"/>
      <c r="G607" s="12"/>
      <c r="H607" s="2"/>
      <c r="J607"/>
      <c r="K607"/>
      <c r="L607"/>
      <c r="M607"/>
      <c r="N607"/>
      <c r="O607"/>
      <c r="P607"/>
      <c r="Q607"/>
      <c r="R607" s="2"/>
      <c r="S607" s="2"/>
      <c r="T607"/>
      <c r="U607"/>
      <c r="V607"/>
      <c r="W607"/>
      <c r="X607"/>
      <c r="Y607"/>
    </row>
    <row r="608" spans="2:25" s="6" customFormat="1" x14ac:dyDescent="0.25">
      <c r="B608" s="1"/>
      <c r="C608" s="1"/>
      <c r="F608" s="2"/>
      <c r="G608" s="12"/>
      <c r="H608" s="2"/>
      <c r="J608"/>
      <c r="K608"/>
      <c r="L608"/>
      <c r="M608"/>
      <c r="N608"/>
      <c r="O608"/>
      <c r="P608"/>
      <c r="Q608"/>
      <c r="R608" s="2"/>
      <c r="S608" s="2"/>
      <c r="T608"/>
      <c r="U608"/>
      <c r="V608"/>
      <c r="W608"/>
      <c r="X608"/>
      <c r="Y608"/>
    </row>
    <row r="609" spans="2:25" s="6" customFormat="1" x14ac:dyDescent="0.25">
      <c r="B609" s="1"/>
      <c r="C609" s="1"/>
      <c r="F609" s="2"/>
      <c r="G609" s="12"/>
      <c r="H609" s="2"/>
      <c r="J609"/>
      <c r="K609"/>
      <c r="L609"/>
      <c r="M609"/>
      <c r="N609"/>
      <c r="O609"/>
      <c r="P609"/>
      <c r="Q609"/>
      <c r="R609" s="2"/>
      <c r="S609" s="2"/>
      <c r="T609"/>
      <c r="U609"/>
      <c r="V609"/>
      <c r="W609"/>
      <c r="X609"/>
      <c r="Y609"/>
    </row>
    <row r="610" spans="2:25" s="6" customFormat="1" x14ac:dyDescent="0.25">
      <c r="B610" s="1"/>
      <c r="C610" s="1"/>
      <c r="F610" s="2"/>
      <c r="G610" s="12"/>
      <c r="H610" s="2"/>
      <c r="J610"/>
      <c r="K610"/>
      <c r="L610"/>
      <c r="M610"/>
      <c r="N610"/>
      <c r="O610"/>
      <c r="P610"/>
      <c r="Q610"/>
      <c r="R610" s="2"/>
      <c r="S610" s="2"/>
      <c r="T610"/>
      <c r="U610"/>
      <c r="V610"/>
      <c r="W610"/>
      <c r="X610"/>
      <c r="Y610"/>
    </row>
    <row r="611" spans="2:25" s="6" customFormat="1" x14ac:dyDescent="0.25">
      <c r="B611" s="1"/>
      <c r="C611" s="1"/>
      <c r="F611" s="2"/>
      <c r="G611" s="12"/>
      <c r="H611" s="2"/>
      <c r="J611"/>
      <c r="K611"/>
      <c r="L611"/>
      <c r="M611"/>
      <c r="N611"/>
      <c r="O611"/>
      <c r="P611"/>
      <c r="Q611"/>
      <c r="R611" s="2"/>
      <c r="S611" s="2"/>
      <c r="T611"/>
      <c r="U611"/>
      <c r="V611"/>
      <c r="W611"/>
      <c r="X611"/>
      <c r="Y611"/>
    </row>
    <row r="612" spans="2:25" s="6" customFormat="1" x14ac:dyDescent="0.25">
      <c r="B612" s="1"/>
      <c r="C612" s="1"/>
      <c r="F612" s="2"/>
      <c r="G612" s="12"/>
      <c r="H612" s="2"/>
      <c r="J612"/>
      <c r="K612"/>
      <c r="L612"/>
      <c r="M612"/>
      <c r="N612"/>
      <c r="O612"/>
      <c r="P612"/>
      <c r="Q612"/>
      <c r="R612" s="2"/>
      <c r="S612" s="2"/>
      <c r="T612"/>
      <c r="U612"/>
      <c r="V612"/>
      <c r="W612"/>
      <c r="X612"/>
      <c r="Y612"/>
    </row>
    <row r="613" spans="2:25" s="6" customFormat="1" x14ac:dyDescent="0.25">
      <c r="B613" s="1"/>
      <c r="C613" s="1"/>
      <c r="F613" s="2"/>
      <c r="G613" s="12"/>
      <c r="H613" s="2"/>
      <c r="J613"/>
      <c r="K613"/>
      <c r="L613"/>
      <c r="M613"/>
      <c r="N613"/>
      <c r="O613"/>
      <c r="P613"/>
      <c r="Q613"/>
      <c r="R613" s="2"/>
      <c r="S613" s="2"/>
      <c r="T613"/>
      <c r="U613"/>
      <c r="V613"/>
      <c r="W613"/>
      <c r="X613"/>
      <c r="Y613"/>
    </row>
    <row r="614" spans="2:25" s="6" customFormat="1" x14ac:dyDescent="0.25">
      <c r="B614" s="1"/>
      <c r="C614" s="1"/>
      <c r="F614" s="2"/>
      <c r="G614" s="12"/>
      <c r="H614" s="2"/>
      <c r="J614"/>
      <c r="K614"/>
      <c r="L614"/>
      <c r="M614"/>
      <c r="N614"/>
      <c r="O614"/>
      <c r="P614"/>
      <c r="Q614"/>
      <c r="R614" s="2"/>
      <c r="S614" s="2"/>
      <c r="T614"/>
      <c r="U614"/>
      <c r="V614"/>
      <c r="W614"/>
      <c r="X614"/>
      <c r="Y614"/>
    </row>
    <row r="615" spans="2:25" s="6" customFormat="1" x14ac:dyDescent="0.25">
      <c r="B615" s="1"/>
      <c r="C615" s="1"/>
      <c r="F615" s="2"/>
      <c r="G615" s="12"/>
      <c r="H615" s="2"/>
      <c r="J615"/>
      <c r="K615"/>
      <c r="L615"/>
      <c r="M615"/>
      <c r="N615"/>
      <c r="O615"/>
      <c r="P615"/>
      <c r="Q615"/>
      <c r="R615" s="2"/>
      <c r="S615" s="2"/>
      <c r="T615"/>
      <c r="U615"/>
      <c r="V615"/>
      <c r="W615"/>
      <c r="X615"/>
      <c r="Y615"/>
    </row>
    <row r="616" spans="2:25" s="6" customFormat="1" x14ac:dyDescent="0.25">
      <c r="B616" s="1"/>
      <c r="C616" s="1"/>
      <c r="F616" s="2"/>
      <c r="G616" s="12"/>
      <c r="H616" s="2"/>
      <c r="J616"/>
      <c r="K616"/>
      <c r="L616"/>
      <c r="M616"/>
      <c r="N616"/>
      <c r="O616"/>
      <c r="P616"/>
      <c r="Q616"/>
      <c r="R616" s="2"/>
      <c r="S616" s="2"/>
      <c r="T616"/>
      <c r="U616"/>
      <c r="V616"/>
      <c r="W616"/>
      <c r="X616"/>
      <c r="Y616"/>
    </row>
    <row r="617" spans="2:25" s="6" customFormat="1" x14ac:dyDescent="0.25">
      <c r="B617" s="1"/>
      <c r="C617" s="1"/>
      <c r="F617" s="2"/>
      <c r="G617" s="12"/>
      <c r="H617" s="2"/>
      <c r="J617"/>
      <c r="K617"/>
      <c r="L617"/>
      <c r="M617"/>
      <c r="N617"/>
      <c r="O617"/>
      <c r="P617"/>
      <c r="Q617"/>
      <c r="R617" s="2"/>
      <c r="S617" s="2"/>
      <c r="T617"/>
      <c r="U617"/>
      <c r="V617"/>
      <c r="W617"/>
      <c r="X617"/>
      <c r="Y617"/>
    </row>
    <row r="618" spans="2:25" s="6" customFormat="1" x14ac:dyDescent="0.25">
      <c r="B618" s="1"/>
      <c r="C618" s="1"/>
      <c r="F618" s="2"/>
      <c r="G618" s="12"/>
      <c r="H618" s="2"/>
      <c r="J618"/>
      <c r="K618"/>
      <c r="L618"/>
      <c r="M618"/>
      <c r="N618"/>
      <c r="O618"/>
      <c r="P618"/>
      <c r="Q618"/>
      <c r="R618" s="2"/>
      <c r="S618" s="2"/>
      <c r="T618"/>
      <c r="U618"/>
      <c r="V618"/>
      <c r="W618"/>
      <c r="X618"/>
      <c r="Y618"/>
    </row>
    <row r="619" spans="2:25" s="6" customFormat="1" x14ac:dyDescent="0.25">
      <c r="B619" s="1"/>
      <c r="C619" s="1"/>
      <c r="F619" s="2"/>
      <c r="G619" s="12"/>
      <c r="H619" s="2"/>
      <c r="J619"/>
      <c r="K619"/>
      <c r="L619"/>
      <c r="M619"/>
      <c r="N619"/>
      <c r="O619"/>
      <c r="P619"/>
      <c r="Q619"/>
      <c r="R619" s="2"/>
      <c r="S619" s="2"/>
      <c r="T619"/>
      <c r="U619"/>
      <c r="V619"/>
      <c r="W619"/>
      <c r="X619"/>
      <c r="Y619"/>
    </row>
    <row r="620" spans="2:25" s="6" customFormat="1" x14ac:dyDescent="0.25">
      <c r="B620" s="1"/>
      <c r="C620" s="1"/>
      <c r="F620" s="2"/>
      <c r="G620" s="12"/>
      <c r="H620" s="2"/>
      <c r="J620"/>
      <c r="K620"/>
      <c r="L620"/>
      <c r="M620"/>
      <c r="N620"/>
      <c r="O620"/>
      <c r="P620"/>
      <c r="Q620"/>
      <c r="R620" s="2"/>
      <c r="S620" s="2"/>
      <c r="T620"/>
      <c r="U620"/>
      <c r="V620"/>
      <c r="W620"/>
      <c r="X620"/>
      <c r="Y620"/>
    </row>
    <row r="621" spans="2:25" s="6" customFormat="1" x14ac:dyDescent="0.25">
      <c r="B621" s="1"/>
      <c r="C621" s="1"/>
      <c r="F621" s="2"/>
      <c r="G621" s="12"/>
      <c r="H621" s="2"/>
      <c r="J621"/>
      <c r="K621"/>
      <c r="L621"/>
      <c r="M621"/>
      <c r="N621"/>
      <c r="O621"/>
      <c r="P621"/>
      <c r="Q621"/>
      <c r="R621" s="2"/>
      <c r="S621" s="2"/>
      <c r="T621"/>
      <c r="U621"/>
      <c r="V621"/>
      <c r="W621"/>
      <c r="X621"/>
      <c r="Y621"/>
    </row>
    <row r="622" spans="2:25" s="6" customFormat="1" x14ac:dyDescent="0.25">
      <c r="B622" s="1"/>
      <c r="C622" s="1"/>
      <c r="F622" s="2"/>
      <c r="G622" s="12"/>
      <c r="H622" s="2"/>
      <c r="J622"/>
      <c r="K622"/>
      <c r="L622"/>
      <c r="M622"/>
      <c r="N622"/>
      <c r="O622"/>
      <c r="P622"/>
      <c r="Q622"/>
      <c r="R622" s="2"/>
      <c r="S622" s="2"/>
      <c r="T622"/>
      <c r="U622"/>
      <c r="V622"/>
      <c r="W622"/>
      <c r="X622"/>
      <c r="Y622"/>
    </row>
    <row r="623" spans="2:25" s="6" customFormat="1" x14ac:dyDescent="0.25">
      <c r="B623" s="1"/>
      <c r="C623" s="1"/>
      <c r="F623" s="2"/>
      <c r="G623" s="12"/>
      <c r="H623" s="2"/>
      <c r="J623"/>
      <c r="K623"/>
      <c r="L623"/>
      <c r="M623"/>
      <c r="N623"/>
      <c r="O623"/>
      <c r="P623"/>
      <c r="Q623"/>
      <c r="R623" s="2"/>
      <c r="S623" s="2"/>
      <c r="T623"/>
      <c r="U623"/>
      <c r="V623"/>
      <c r="W623"/>
      <c r="X623"/>
      <c r="Y623"/>
    </row>
    <row r="624" spans="2:25" s="6" customFormat="1" x14ac:dyDescent="0.25">
      <c r="B624" s="1"/>
      <c r="C624" s="1"/>
      <c r="F624" s="2"/>
      <c r="G624" s="12"/>
      <c r="H624" s="2"/>
      <c r="J624"/>
      <c r="K624"/>
      <c r="L624"/>
      <c r="M624"/>
      <c r="N624"/>
      <c r="O624"/>
      <c r="P624"/>
      <c r="Q624"/>
      <c r="R624" s="2"/>
      <c r="S624" s="2"/>
      <c r="T624"/>
      <c r="U624"/>
      <c r="V624"/>
      <c r="W624"/>
      <c r="X624"/>
      <c r="Y624"/>
    </row>
    <row r="625" spans="2:25" s="6" customFormat="1" x14ac:dyDescent="0.25">
      <c r="B625" s="1"/>
      <c r="C625" s="1"/>
      <c r="F625" s="2"/>
      <c r="G625" s="12"/>
      <c r="H625" s="2"/>
      <c r="J625"/>
      <c r="K625"/>
      <c r="L625"/>
      <c r="M625"/>
      <c r="N625"/>
      <c r="O625"/>
      <c r="P625"/>
      <c r="Q625"/>
      <c r="R625" s="2"/>
      <c r="S625" s="2"/>
      <c r="T625"/>
      <c r="U625"/>
      <c r="V625"/>
      <c r="W625"/>
      <c r="X625"/>
      <c r="Y625"/>
    </row>
    <row r="626" spans="2:25" s="6" customFormat="1" x14ac:dyDescent="0.25">
      <c r="B626" s="1"/>
      <c r="C626" s="1"/>
      <c r="F626" s="2"/>
      <c r="G626" s="12"/>
      <c r="H626" s="2"/>
      <c r="J626"/>
      <c r="K626"/>
      <c r="L626"/>
      <c r="M626"/>
      <c r="N626"/>
      <c r="O626"/>
      <c r="P626"/>
      <c r="Q626"/>
      <c r="R626" s="2"/>
      <c r="S626" s="2"/>
      <c r="T626"/>
      <c r="U626"/>
      <c r="V626"/>
      <c r="W626"/>
      <c r="X626"/>
      <c r="Y626"/>
    </row>
    <row r="627" spans="2:25" s="6" customFormat="1" x14ac:dyDescent="0.25">
      <c r="B627" s="1"/>
      <c r="C627" s="1"/>
      <c r="F627" s="2"/>
      <c r="G627" s="12"/>
      <c r="H627" s="2"/>
      <c r="J627"/>
      <c r="K627"/>
      <c r="L627"/>
      <c r="M627"/>
      <c r="N627"/>
      <c r="O627"/>
      <c r="P627"/>
      <c r="Q627"/>
      <c r="R627" s="2"/>
      <c r="S627" s="2"/>
      <c r="T627"/>
      <c r="U627"/>
      <c r="V627"/>
      <c r="W627"/>
      <c r="X627"/>
      <c r="Y627"/>
    </row>
    <row r="628" spans="2:25" s="6" customFormat="1" x14ac:dyDescent="0.25">
      <c r="B628" s="1"/>
      <c r="C628" s="1"/>
      <c r="F628" s="2"/>
      <c r="G628" s="12"/>
      <c r="H628" s="2"/>
      <c r="J628"/>
      <c r="K628"/>
      <c r="L628"/>
      <c r="M628"/>
      <c r="N628"/>
      <c r="O628"/>
      <c r="P628"/>
      <c r="Q628"/>
      <c r="R628" s="2"/>
      <c r="S628" s="2"/>
      <c r="T628"/>
      <c r="U628"/>
      <c r="V628"/>
      <c r="W628"/>
      <c r="X628"/>
      <c r="Y628"/>
    </row>
    <row r="629" spans="2:25" s="6" customFormat="1" x14ac:dyDescent="0.25">
      <c r="B629" s="1"/>
      <c r="C629" s="1"/>
      <c r="F629" s="2"/>
      <c r="G629" s="12"/>
      <c r="H629" s="2"/>
      <c r="J629"/>
      <c r="K629"/>
      <c r="L629"/>
      <c r="M629"/>
      <c r="N629"/>
      <c r="O629"/>
      <c r="P629"/>
      <c r="Q629"/>
      <c r="R629" s="2"/>
      <c r="S629" s="2"/>
      <c r="T629"/>
      <c r="U629"/>
      <c r="V629"/>
      <c r="W629"/>
      <c r="X629"/>
      <c r="Y629"/>
    </row>
    <row r="630" spans="2:25" s="6" customFormat="1" x14ac:dyDescent="0.25">
      <c r="B630" s="1"/>
      <c r="C630" s="1"/>
      <c r="F630" s="2"/>
      <c r="G630" s="12"/>
      <c r="H630" s="2"/>
      <c r="J630"/>
      <c r="K630"/>
      <c r="L630"/>
      <c r="M630"/>
      <c r="N630"/>
      <c r="O630"/>
      <c r="P630"/>
      <c r="Q630"/>
      <c r="R630" s="2"/>
      <c r="S630" s="2"/>
      <c r="T630"/>
      <c r="U630"/>
      <c r="V630"/>
      <c r="W630"/>
      <c r="X630"/>
      <c r="Y630"/>
    </row>
    <row r="631" spans="2:25" s="6" customFormat="1" x14ac:dyDescent="0.25">
      <c r="B631" s="1"/>
      <c r="C631" s="1"/>
      <c r="F631" s="2"/>
      <c r="G631" s="12"/>
      <c r="H631" s="2"/>
      <c r="J631"/>
      <c r="K631"/>
      <c r="L631"/>
      <c r="M631"/>
      <c r="N631"/>
      <c r="O631"/>
      <c r="P631"/>
      <c r="Q631"/>
      <c r="R631" s="2"/>
      <c r="S631" s="2"/>
      <c r="T631"/>
      <c r="U631"/>
      <c r="V631"/>
      <c r="W631"/>
      <c r="X631"/>
      <c r="Y631"/>
    </row>
    <row r="632" spans="2:25" s="6" customFormat="1" x14ac:dyDescent="0.25">
      <c r="B632" s="1"/>
      <c r="C632" s="1"/>
      <c r="F632" s="2"/>
      <c r="G632" s="12"/>
      <c r="H632" s="2"/>
      <c r="J632"/>
      <c r="K632"/>
      <c r="L632"/>
      <c r="M632"/>
      <c r="N632"/>
      <c r="O632"/>
      <c r="P632"/>
      <c r="Q632"/>
      <c r="R632" s="2"/>
      <c r="S632" s="2"/>
      <c r="T632"/>
      <c r="U632"/>
      <c r="V632"/>
      <c r="W632"/>
      <c r="X632"/>
      <c r="Y632"/>
    </row>
    <row r="633" spans="2:25" s="6" customFormat="1" x14ac:dyDescent="0.25">
      <c r="B633" s="1"/>
      <c r="C633" s="1"/>
      <c r="F633" s="2"/>
      <c r="G633" s="12"/>
      <c r="H633" s="2"/>
      <c r="J633"/>
      <c r="K633"/>
      <c r="L633"/>
      <c r="M633"/>
      <c r="N633"/>
      <c r="O633"/>
      <c r="P633"/>
      <c r="Q633"/>
      <c r="R633" s="2"/>
      <c r="S633" s="2"/>
      <c r="T633"/>
      <c r="U633"/>
      <c r="V633"/>
      <c r="W633"/>
      <c r="X633"/>
      <c r="Y633"/>
    </row>
    <row r="634" spans="2:25" s="6" customFormat="1" x14ac:dyDescent="0.25">
      <c r="B634" s="1"/>
      <c r="C634" s="1"/>
      <c r="F634" s="2"/>
      <c r="G634" s="12"/>
      <c r="H634" s="2"/>
      <c r="J634"/>
      <c r="K634"/>
      <c r="L634"/>
      <c r="M634"/>
      <c r="N634"/>
      <c r="O634"/>
      <c r="P634"/>
      <c r="Q634"/>
      <c r="R634" s="2"/>
      <c r="S634" s="2"/>
      <c r="T634"/>
      <c r="U634"/>
      <c r="V634"/>
      <c r="W634"/>
      <c r="X634"/>
      <c r="Y634"/>
    </row>
    <row r="635" spans="2:25" s="6" customFormat="1" x14ac:dyDescent="0.25">
      <c r="B635" s="1"/>
      <c r="C635" s="1"/>
      <c r="F635" s="2"/>
      <c r="G635" s="12"/>
      <c r="H635" s="2"/>
      <c r="J635"/>
      <c r="K635"/>
      <c r="L635"/>
      <c r="M635"/>
      <c r="N635"/>
      <c r="O635"/>
      <c r="P635"/>
      <c r="Q635"/>
      <c r="R635" s="2"/>
      <c r="S635" s="2"/>
      <c r="T635"/>
      <c r="U635"/>
      <c r="V635"/>
      <c r="W635"/>
      <c r="X635"/>
      <c r="Y635"/>
    </row>
    <row r="636" spans="2:25" s="6" customFormat="1" x14ac:dyDescent="0.25">
      <c r="B636" s="1"/>
      <c r="C636" s="1"/>
      <c r="F636" s="2"/>
      <c r="G636" s="12"/>
      <c r="H636" s="2"/>
      <c r="J636"/>
      <c r="K636"/>
      <c r="L636"/>
      <c r="M636"/>
      <c r="N636"/>
      <c r="O636"/>
      <c r="P636"/>
      <c r="Q636"/>
      <c r="R636" s="2"/>
      <c r="S636" s="2"/>
      <c r="T636"/>
      <c r="U636"/>
      <c r="V636"/>
      <c r="W636"/>
      <c r="X636"/>
      <c r="Y636"/>
    </row>
    <row r="637" spans="2:25" s="6" customFormat="1" x14ac:dyDescent="0.25">
      <c r="B637" s="1"/>
      <c r="C637" s="1"/>
      <c r="F637" s="2"/>
      <c r="G637" s="12"/>
      <c r="H637" s="2"/>
      <c r="J637"/>
      <c r="K637"/>
      <c r="L637"/>
      <c r="M637"/>
      <c r="N637"/>
      <c r="O637"/>
      <c r="P637"/>
      <c r="Q637"/>
      <c r="R637" s="2"/>
      <c r="S637" s="2"/>
      <c r="T637"/>
      <c r="U637"/>
      <c r="V637"/>
      <c r="W637"/>
      <c r="X637"/>
      <c r="Y637"/>
    </row>
    <row r="638" spans="2:25" s="6" customFormat="1" x14ac:dyDescent="0.25">
      <c r="B638" s="1"/>
      <c r="C638" s="1"/>
      <c r="F638" s="2"/>
      <c r="G638" s="12"/>
      <c r="H638" s="2"/>
      <c r="J638"/>
      <c r="K638"/>
      <c r="L638"/>
      <c r="M638"/>
      <c r="N638"/>
      <c r="O638"/>
      <c r="P638"/>
      <c r="Q638"/>
      <c r="R638" s="2"/>
      <c r="S638" s="2"/>
      <c r="T638"/>
      <c r="U638"/>
      <c r="V638"/>
      <c r="W638"/>
      <c r="X638"/>
      <c r="Y638"/>
    </row>
    <row r="639" spans="2:25" s="6" customFormat="1" x14ac:dyDescent="0.25">
      <c r="B639" s="1"/>
      <c r="C639" s="1"/>
      <c r="F639" s="2"/>
      <c r="G639" s="12"/>
      <c r="H639" s="2"/>
      <c r="J639"/>
      <c r="K639"/>
      <c r="L639"/>
      <c r="M639"/>
      <c r="N639"/>
      <c r="O639"/>
      <c r="P639"/>
      <c r="Q639"/>
      <c r="R639" s="2"/>
      <c r="S639" s="2"/>
      <c r="T639"/>
      <c r="U639"/>
      <c r="V639"/>
      <c r="W639"/>
      <c r="X639"/>
      <c r="Y639"/>
    </row>
    <row r="640" spans="2:25" s="6" customFormat="1" x14ac:dyDescent="0.25">
      <c r="B640" s="1"/>
      <c r="C640" s="1"/>
      <c r="F640" s="2"/>
      <c r="G640" s="12"/>
      <c r="H640" s="2"/>
      <c r="J640"/>
      <c r="K640"/>
      <c r="L640"/>
      <c r="M640"/>
      <c r="N640"/>
      <c r="O640"/>
      <c r="P640"/>
      <c r="Q640"/>
      <c r="R640" s="2"/>
      <c r="S640" s="2"/>
      <c r="T640"/>
      <c r="U640"/>
      <c r="V640"/>
      <c r="W640"/>
      <c r="X640"/>
      <c r="Y640"/>
    </row>
    <row r="641" spans="2:25" s="6" customFormat="1" x14ac:dyDescent="0.25">
      <c r="B641" s="1"/>
      <c r="C641" s="1"/>
      <c r="F641" s="2"/>
      <c r="G641" s="12"/>
      <c r="H641" s="2"/>
      <c r="J641"/>
      <c r="K641"/>
      <c r="L641"/>
      <c r="M641"/>
      <c r="N641"/>
      <c r="O641"/>
      <c r="P641"/>
      <c r="Q641"/>
      <c r="R641" s="2"/>
      <c r="S641" s="2"/>
      <c r="T641"/>
      <c r="U641"/>
      <c r="V641"/>
      <c r="W641"/>
      <c r="X641"/>
      <c r="Y641"/>
    </row>
    <row r="642" spans="2:25" s="6" customFormat="1" x14ac:dyDescent="0.25">
      <c r="B642" s="1"/>
      <c r="C642" s="1"/>
      <c r="F642" s="2"/>
      <c r="G642" s="12"/>
      <c r="H642" s="2"/>
      <c r="J642"/>
      <c r="K642"/>
      <c r="L642"/>
      <c r="M642"/>
      <c r="N642"/>
      <c r="O642"/>
      <c r="P642"/>
      <c r="Q642"/>
      <c r="R642" s="2"/>
      <c r="S642" s="2"/>
      <c r="T642"/>
      <c r="U642"/>
      <c r="V642"/>
      <c r="W642"/>
      <c r="X642"/>
      <c r="Y642"/>
    </row>
    <row r="643" spans="2:25" s="6" customFormat="1" x14ac:dyDescent="0.25">
      <c r="B643" s="1"/>
      <c r="C643" s="1"/>
      <c r="F643" s="2"/>
      <c r="G643" s="12"/>
      <c r="H643" s="2"/>
      <c r="J643"/>
      <c r="K643"/>
      <c r="L643"/>
      <c r="M643"/>
      <c r="N643"/>
      <c r="O643"/>
      <c r="P643"/>
      <c r="Q643"/>
      <c r="R643" s="2"/>
      <c r="S643" s="2"/>
      <c r="T643"/>
      <c r="U643"/>
      <c r="V643"/>
      <c r="W643"/>
      <c r="X643"/>
      <c r="Y643"/>
    </row>
    <row r="644" spans="2:25" s="6" customFormat="1" x14ac:dyDescent="0.25">
      <c r="B644" s="1"/>
      <c r="C644" s="1"/>
      <c r="F644" s="2"/>
      <c r="G644" s="12"/>
      <c r="H644" s="2"/>
      <c r="J644"/>
      <c r="K644"/>
      <c r="L644"/>
      <c r="M644"/>
      <c r="N644"/>
      <c r="O644"/>
      <c r="P644"/>
      <c r="Q644"/>
      <c r="R644" s="2"/>
      <c r="S644" s="2"/>
      <c r="T644"/>
      <c r="U644"/>
      <c r="V644"/>
      <c r="W644"/>
      <c r="X644"/>
      <c r="Y644"/>
    </row>
    <row r="645" spans="2:25" s="6" customFormat="1" x14ac:dyDescent="0.25">
      <c r="B645" s="1"/>
      <c r="C645" s="1"/>
      <c r="F645" s="2"/>
      <c r="G645" s="12"/>
      <c r="H645" s="2"/>
      <c r="J645"/>
      <c r="K645"/>
      <c r="L645"/>
      <c r="M645"/>
      <c r="N645"/>
      <c r="O645"/>
      <c r="P645"/>
      <c r="Q645"/>
      <c r="R645" s="2"/>
      <c r="S645" s="2"/>
      <c r="T645"/>
      <c r="U645"/>
      <c r="V645"/>
      <c r="W645"/>
      <c r="X645"/>
      <c r="Y645"/>
    </row>
    <row r="646" spans="2:25" s="6" customFormat="1" x14ac:dyDescent="0.25">
      <c r="B646" s="1"/>
      <c r="C646" s="1"/>
      <c r="F646" s="2"/>
      <c r="G646" s="12"/>
      <c r="H646" s="2"/>
      <c r="J646"/>
      <c r="K646"/>
      <c r="L646"/>
      <c r="M646"/>
      <c r="N646"/>
      <c r="O646"/>
      <c r="P646"/>
      <c r="Q646"/>
      <c r="R646" s="2"/>
      <c r="S646" s="2"/>
      <c r="T646"/>
      <c r="U646"/>
      <c r="V646"/>
      <c r="W646"/>
      <c r="X646"/>
      <c r="Y646"/>
    </row>
    <row r="647" spans="2:25" s="6" customFormat="1" x14ac:dyDescent="0.25">
      <c r="B647" s="1"/>
      <c r="C647" s="1"/>
      <c r="F647" s="2"/>
      <c r="G647" s="12"/>
      <c r="H647" s="2"/>
      <c r="J647"/>
      <c r="K647"/>
      <c r="L647"/>
      <c r="M647"/>
      <c r="N647"/>
      <c r="O647"/>
      <c r="P647"/>
      <c r="Q647"/>
      <c r="R647" s="2"/>
      <c r="S647" s="2"/>
      <c r="T647"/>
      <c r="U647"/>
      <c r="V647"/>
      <c r="W647"/>
      <c r="X647"/>
      <c r="Y647"/>
    </row>
    <row r="648" spans="2:25" s="6" customFormat="1" x14ac:dyDescent="0.25">
      <c r="B648" s="1"/>
      <c r="C648" s="1"/>
      <c r="F648" s="2"/>
      <c r="G648" s="12"/>
      <c r="H648" s="2"/>
      <c r="J648"/>
      <c r="K648"/>
      <c r="L648"/>
      <c r="M648"/>
      <c r="N648"/>
      <c r="O648"/>
      <c r="P648"/>
      <c r="Q648"/>
      <c r="R648" s="2"/>
      <c r="S648" s="2"/>
      <c r="T648"/>
      <c r="U648"/>
      <c r="V648"/>
      <c r="W648"/>
      <c r="X648"/>
      <c r="Y648"/>
    </row>
    <row r="649" spans="2:25" s="6" customFormat="1" x14ac:dyDescent="0.25">
      <c r="B649" s="1"/>
      <c r="C649" s="1"/>
      <c r="F649" s="2"/>
      <c r="G649" s="12"/>
      <c r="H649" s="2"/>
      <c r="J649"/>
      <c r="K649"/>
      <c r="L649"/>
      <c r="M649"/>
      <c r="N649"/>
      <c r="O649"/>
      <c r="P649"/>
      <c r="Q649"/>
      <c r="R649" s="2"/>
      <c r="S649" s="2"/>
      <c r="T649"/>
      <c r="U649"/>
      <c r="V649"/>
      <c r="W649"/>
      <c r="X649"/>
      <c r="Y649"/>
    </row>
    <row r="650" spans="2:25" s="6" customFormat="1" x14ac:dyDescent="0.25">
      <c r="B650" s="1"/>
      <c r="C650" s="1"/>
      <c r="F650" s="2"/>
      <c r="G650" s="12"/>
      <c r="H650" s="2"/>
      <c r="J650"/>
      <c r="K650"/>
      <c r="L650"/>
      <c r="M650"/>
      <c r="N650"/>
      <c r="O650"/>
      <c r="P650"/>
      <c r="Q650"/>
      <c r="R650" s="2"/>
      <c r="S650" s="2"/>
      <c r="T650"/>
      <c r="U650"/>
      <c r="V650"/>
      <c r="W650"/>
      <c r="X650"/>
      <c r="Y650"/>
    </row>
    <row r="651" spans="2:25" s="6" customFormat="1" x14ac:dyDescent="0.25">
      <c r="B651" s="1"/>
      <c r="C651" s="1"/>
      <c r="F651" s="2"/>
      <c r="G651" s="12"/>
      <c r="H651" s="2"/>
      <c r="J651"/>
      <c r="K651"/>
      <c r="L651"/>
      <c r="M651"/>
      <c r="N651"/>
      <c r="O651"/>
      <c r="P651"/>
      <c r="Q651"/>
      <c r="R651" s="2"/>
      <c r="S651" s="2"/>
      <c r="T651"/>
      <c r="U651"/>
      <c r="V651"/>
      <c r="W651"/>
      <c r="X651"/>
      <c r="Y651"/>
    </row>
    <row r="652" spans="2:25" s="6" customFormat="1" x14ac:dyDescent="0.25">
      <c r="B652" s="1"/>
      <c r="C652" s="1"/>
      <c r="F652" s="2"/>
      <c r="G652" s="12"/>
      <c r="H652" s="2"/>
      <c r="J652"/>
      <c r="K652"/>
      <c r="L652"/>
      <c r="M652"/>
      <c r="N652"/>
      <c r="O652"/>
      <c r="P652"/>
      <c r="Q652"/>
      <c r="R652" s="2"/>
      <c r="S652" s="2"/>
      <c r="T652"/>
      <c r="U652"/>
      <c r="V652"/>
      <c r="W652"/>
      <c r="X652"/>
      <c r="Y652"/>
    </row>
    <row r="653" spans="2:25" s="6" customFormat="1" x14ac:dyDescent="0.25">
      <c r="B653" s="1"/>
      <c r="C653" s="1"/>
      <c r="F653" s="2"/>
      <c r="G653" s="12"/>
      <c r="H653" s="2"/>
      <c r="J653"/>
      <c r="K653"/>
      <c r="L653"/>
      <c r="M653"/>
      <c r="N653"/>
      <c r="O653"/>
      <c r="P653"/>
      <c r="Q653"/>
      <c r="R653" s="2"/>
      <c r="S653" s="2"/>
      <c r="T653"/>
      <c r="U653"/>
      <c r="V653"/>
      <c r="W653"/>
      <c r="X653"/>
      <c r="Y653"/>
    </row>
    <row r="654" spans="2:25" s="6" customFormat="1" x14ac:dyDescent="0.25">
      <c r="B654" s="1"/>
      <c r="C654" s="1"/>
      <c r="F654" s="2"/>
      <c r="G654" s="12"/>
      <c r="H654" s="2"/>
      <c r="J654"/>
      <c r="K654"/>
      <c r="L654"/>
      <c r="M654"/>
      <c r="N654"/>
      <c r="O654"/>
      <c r="P654"/>
      <c r="Q654"/>
      <c r="R654" s="2"/>
      <c r="S654" s="2"/>
      <c r="T654"/>
      <c r="U654"/>
      <c r="V654"/>
      <c r="W654"/>
      <c r="X654"/>
      <c r="Y654"/>
    </row>
    <row r="655" spans="2:25" s="6" customFormat="1" x14ac:dyDescent="0.25">
      <c r="B655" s="1"/>
      <c r="C655" s="1"/>
      <c r="F655" s="2"/>
      <c r="G655" s="12"/>
      <c r="H655" s="2"/>
      <c r="J655"/>
      <c r="K655"/>
      <c r="L655"/>
      <c r="M655"/>
      <c r="N655"/>
      <c r="O655"/>
      <c r="P655"/>
      <c r="Q655"/>
      <c r="R655" s="2"/>
      <c r="S655" s="2"/>
      <c r="T655"/>
      <c r="U655"/>
      <c r="V655"/>
      <c r="W655"/>
      <c r="X655"/>
      <c r="Y655"/>
    </row>
    <row r="656" spans="2:25" s="6" customFormat="1" x14ac:dyDescent="0.25">
      <c r="B656" s="1"/>
      <c r="C656" s="1"/>
      <c r="F656" s="2"/>
      <c r="G656" s="12"/>
      <c r="H656" s="2"/>
      <c r="J656"/>
      <c r="K656"/>
      <c r="L656"/>
      <c r="M656"/>
      <c r="N656"/>
      <c r="O656"/>
      <c r="P656"/>
      <c r="Q656"/>
      <c r="R656" s="2"/>
      <c r="S656" s="2"/>
      <c r="T656"/>
      <c r="U656"/>
      <c r="V656"/>
      <c r="W656"/>
      <c r="X656"/>
      <c r="Y656"/>
    </row>
    <row r="657" spans="2:25" s="6" customFormat="1" x14ac:dyDescent="0.25">
      <c r="B657" s="1"/>
      <c r="C657" s="1"/>
      <c r="F657" s="2"/>
      <c r="G657" s="12"/>
      <c r="H657" s="2"/>
      <c r="J657"/>
      <c r="K657"/>
      <c r="L657"/>
      <c r="M657"/>
      <c r="N657"/>
      <c r="O657"/>
      <c r="P657"/>
      <c r="Q657"/>
      <c r="R657" s="2"/>
      <c r="S657" s="2"/>
      <c r="T657"/>
      <c r="U657"/>
      <c r="V657"/>
      <c r="W657"/>
      <c r="X657"/>
      <c r="Y657"/>
    </row>
    <row r="658" spans="2:25" s="6" customFormat="1" x14ac:dyDescent="0.25">
      <c r="B658" s="1"/>
      <c r="C658" s="1"/>
      <c r="F658" s="2"/>
      <c r="G658" s="12"/>
      <c r="H658" s="2"/>
      <c r="J658"/>
      <c r="K658"/>
      <c r="L658"/>
      <c r="M658"/>
      <c r="N658"/>
      <c r="O658"/>
      <c r="P658"/>
      <c r="Q658"/>
      <c r="R658" s="2"/>
      <c r="S658" s="2"/>
      <c r="T658"/>
      <c r="U658"/>
      <c r="V658"/>
      <c r="W658"/>
      <c r="X658"/>
      <c r="Y658"/>
    </row>
    <row r="659" spans="2:25" s="6" customFormat="1" x14ac:dyDescent="0.25">
      <c r="B659" s="1"/>
      <c r="C659" s="1"/>
      <c r="F659" s="2"/>
      <c r="G659" s="12"/>
      <c r="H659" s="2"/>
      <c r="J659"/>
      <c r="K659"/>
      <c r="L659"/>
      <c r="M659"/>
      <c r="N659"/>
      <c r="O659"/>
      <c r="P659"/>
      <c r="Q659"/>
      <c r="R659" s="2"/>
      <c r="S659" s="2"/>
      <c r="T659"/>
      <c r="U659"/>
      <c r="V659"/>
      <c r="W659"/>
      <c r="X659"/>
      <c r="Y659"/>
    </row>
    <row r="660" spans="2:25" s="6" customFormat="1" x14ac:dyDescent="0.25">
      <c r="B660" s="1"/>
      <c r="C660" s="1"/>
      <c r="F660" s="2"/>
      <c r="G660" s="12"/>
      <c r="H660" s="2"/>
      <c r="J660"/>
      <c r="K660"/>
      <c r="L660"/>
      <c r="M660"/>
      <c r="N660"/>
      <c r="O660"/>
      <c r="P660"/>
      <c r="Q660"/>
      <c r="R660" s="2"/>
      <c r="S660" s="2"/>
      <c r="T660"/>
      <c r="U660"/>
      <c r="V660"/>
      <c r="W660"/>
      <c r="X660"/>
      <c r="Y660"/>
    </row>
    <row r="661" spans="2:25" s="6" customFormat="1" x14ac:dyDescent="0.25">
      <c r="B661" s="1"/>
      <c r="C661" s="1"/>
      <c r="F661" s="2"/>
      <c r="G661" s="12"/>
      <c r="H661" s="2"/>
      <c r="J661"/>
      <c r="K661"/>
      <c r="L661"/>
      <c r="M661"/>
      <c r="N661"/>
      <c r="O661"/>
      <c r="P661"/>
      <c r="Q661"/>
      <c r="R661" s="2"/>
      <c r="S661" s="2"/>
      <c r="T661"/>
      <c r="U661"/>
      <c r="V661"/>
      <c r="W661"/>
      <c r="X661"/>
      <c r="Y661"/>
    </row>
    <row r="662" spans="2:25" s="6" customFormat="1" x14ac:dyDescent="0.25">
      <c r="B662" s="1"/>
      <c r="C662" s="1"/>
      <c r="F662" s="2"/>
      <c r="G662" s="12"/>
      <c r="H662" s="2"/>
      <c r="J662"/>
      <c r="K662"/>
      <c r="L662"/>
      <c r="M662"/>
      <c r="N662"/>
      <c r="O662"/>
      <c r="P662"/>
      <c r="Q662"/>
      <c r="R662" s="2"/>
      <c r="S662" s="2"/>
      <c r="T662"/>
      <c r="U662"/>
      <c r="V662"/>
      <c r="W662"/>
      <c r="X662"/>
      <c r="Y662"/>
    </row>
    <row r="663" spans="2:25" s="6" customFormat="1" x14ac:dyDescent="0.25">
      <c r="B663" s="1"/>
      <c r="C663" s="1"/>
      <c r="F663" s="2"/>
      <c r="G663" s="12"/>
      <c r="H663" s="2"/>
      <c r="J663"/>
      <c r="K663"/>
      <c r="L663"/>
      <c r="M663"/>
      <c r="N663"/>
      <c r="O663"/>
      <c r="P663"/>
      <c r="Q663"/>
      <c r="R663" s="2"/>
      <c r="S663" s="2"/>
      <c r="T663"/>
      <c r="U663"/>
      <c r="V663"/>
      <c r="W663"/>
      <c r="X663"/>
      <c r="Y663"/>
    </row>
    <row r="664" spans="2:25" s="6" customFormat="1" x14ac:dyDescent="0.25">
      <c r="B664" s="1"/>
      <c r="C664" s="1"/>
      <c r="F664" s="2"/>
      <c r="G664" s="12"/>
      <c r="H664" s="2"/>
      <c r="J664"/>
      <c r="K664"/>
      <c r="L664"/>
      <c r="M664"/>
      <c r="N664"/>
      <c r="O664"/>
      <c r="P664"/>
      <c r="Q664"/>
      <c r="R664" s="2"/>
      <c r="S664" s="2"/>
      <c r="T664"/>
      <c r="U664"/>
      <c r="V664"/>
      <c r="W664"/>
      <c r="X664"/>
      <c r="Y664"/>
    </row>
    <row r="665" spans="2:25" s="6" customFormat="1" x14ac:dyDescent="0.25">
      <c r="B665" s="1"/>
      <c r="C665" s="1"/>
      <c r="F665" s="2"/>
      <c r="G665" s="12"/>
      <c r="H665" s="2"/>
      <c r="J665"/>
      <c r="K665"/>
      <c r="L665"/>
      <c r="M665"/>
      <c r="N665"/>
      <c r="O665"/>
      <c r="P665"/>
      <c r="Q665"/>
      <c r="R665" s="2"/>
      <c r="S665" s="2"/>
      <c r="T665"/>
      <c r="U665"/>
      <c r="V665"/>
      <c r="W665"/>
      <c r="X665"/>
      <c r="Y665"/>
    </row>
    <row r="666" spans="2:25" s="6" customFormat="1" x14ac:dyDescent="0.25">
      <c r="B666" s="1"/>
      <c r="C666" s="1"/>
      <c r="F666" s="2"/>
      <c r="G666" s="12"/>
      <c r="H666" s="2"/>
      <c r="J666"/>
      <c r="K666"/>
      <c r="L666"/>
      <c r="M666"/>
      <c r="N666"/>
      <c r="O666"/>
      <c r="P666"/>
      <c r="Q666"/>
      <c r="R666" s="2"/>
      <c r="S666" s="2"/>
      <c r="T666"/>
      <c r="U666"/>
      <c r="V666"/>
      <c r="W666"/>
      <c r="X666"/>
      <c r="Y666"/>
    </row>
    <row r="667" spans="2:25" s="6" customFormat="1" x14ac:dyDescent="0.25">
      <c r="B667" s="1"/>
      <c r="C667" s="1"/>
      <c r="F667" s="2"/>
      <c r="G667" s="12"/>
      <c r="H667" s="2"/>
      <c r="J667"/>
      <c r="K667"/>
      <c r="L667"/>
      <c r="M667"/>
      <c r="N667"/>
      <c r="O667"/>
      <c r="P667"/>
      <c r="Q667"/>
      <c r="R667" s="2"/>
      <c r="S667" s="2"/>
      <c r="T667"/>
      <c r="U667"/>
      <c r="V667"/>
      <c r="W667"/>
      <c r="X667"/>
      <c r="Y667"/>
    </row>
    <row r="668" spans="2:25" s="6" customFormat="1" x14ac:dyDescent="0.25">
      <c r="B668" s="1"/>
      <c r="C668" s="1"/>
      <c r="F668" s="2"/>
      <c r="G668" s="12"/>
      <c r="H668" s="2"/>
      <c r="J668"/>
      <c r="K668"/>
      <c r="L668"/>
      <c r="M668"/>
      <c r="N668"/>
      <c r="O668"/>
      <c r="P668"/>
      <c r="Q668"/>
      <c r="R668" s="2"/>
      <c r="S668" s="2"/>
      <c r="T668"/>
      <c r="U668"/>
      <c r="V668"/>
      <c r="W668"/>
      <c r="X668"/>
      <c r="Y668"/>
    </row>
    <row r="669" spans="2:25" s="6" customFormat="1" x14ac:dyDescent="0.25">
      <c r="B669" s="1"/>
      <c r="C669" s="1"/>
      <c r="F669" s="2"/>
      <c r="G669" s="12"/>
      <c r="H669" s="2"/>
      <c r="J669"/>
      <c r="K669"/>
      <c r="L669"/>
      <c r="M669"/>
      <c r="N669"/>
      <c r="O669"/>
      <c r="P669"/>
      <c r="Q669"/>
      <c r="R669" s="2"/>
      <c r="S669" s="2"/>
      <c r="T669"/>
      <c r="U669"/>
      <c r="V669"/>
      <c r="W669"/>
      <c r="X669"/>
      <c r="Y669"/>
    </row>
    <row r="670" spans="2:25" s="6" customFormat="1" x14ac:dyDescent="0.25">
      <c r="B670" s="1"/>
      <c r="C670" s="1"/>
      <c r="F670" s="2"/>
      <c r="G670" s="12"/>
      <c r="H670" s="2"/>
      <c r="J670"/>
      <c r="K670"/>
      <c r="L670"/>
      <c r="M670"/>
      <c r="N670"/>
      <c r="O670"/>
      <c r="P670"/>
      <c r="Q670"/>
      <c r="R670" s="2"/>
      <c r="S670" s="2"/>
      <c r="T670"/>
      <c r="U670"/>
      <c r="V670"/>
      <c r="W670"/>
      <c r="X670"/>
      <c r="Y670"/>
    </row>
    <row r="671" spans="2:25" s="6" customFormat="1" x14ac:dyDescent="0.25">
      <c r="B671" s="1"/>
      <c r="C671" s="1"/>
      <c r="F671" s="2"/>
      <c r="G671" s="12"/>
      <c r="H671" s="2"/>
      <c r="J671"/>
      <c r="K671"/>
      <c r="L671"/>
      <c r="M671"/>
      <c r="N671"/>
      <c r="O671"/>
      <c r="P671"/>
      <c r="Q671"/>
      <c r="R671" s="2"/>
      <c r="S671" s="2"/>
      <c r="T671"/>
      <c r="U671"/>
      <c r="V671"/>
      <c r="W671"/>
      <c r="X671"/>
      <c r="Y671"/>
    </row>
    <row r="672" spans="2:25" s="6" customFormat="1" x14ac:dyDescent="0.25">
      <c r="B672" s="1"/>
      <c r="C672" s="1"/>
      <c r="F672" s="2"/>
      <c r="G672" s="12"/>
      <c r="H672" s="2"/>
      <c r="J672"/>
      <c r="K672"/>
      <c r="L672"/>
      <c r="M672"/>
      <c r="N672"/>
      <c r="O672"/>
      <c r="P672"/>
      <c r="Q672"/>
      <c r="R672" s="2"/>
      <c r="S672" s="2"/>
      <c r="T672"/>
      <c r="U672"/>
      <c r="V672"/>
      <c r="W672"/>
      <c r="X672"/>
      <c r="Y672"/>
    </row>
    <row r="673" spans="2:25" s="6" customFormat="1" x14ac:dyDescent="0.25">
      <c r="B673" s="1"/>
      <c r="C673" s="1"/>
      <c r="F673" s="2"/>
      <c r="G673" s="12"/>
      <c r="H673" s="2"/>
      <c r="J673"/>
      <c r="K673"/>
      <c r="L673"/>
      <c r="M673"/>
      <c r="N673"/>
      <c r="O673"/>
      <c r="P673"/>
      <c r="Q673"/>
      <c r="R673" s="2"/>
      <c r="S673" s="2"/>
      <c r="T673"/>
      <c r="U673"/>
      <c r="V673"/>
      <c r="W673"/>
      <c r="X673"/>
      <c r="Y673"/>
    </row>
    <row r="674" spans="2:25" s="6" customFormat="1" x14ac:dyDescent="0.25">
      <c r="B674" s="1"/>
      <c r="C674" s="1"/>
      <c r="F674" s="2"/>
      <c r="G674" s="12"/>
      <c r="H674" s="2"/>
      <c r="J674"/>
      <c r="K674"/>
      <c r="L674"/>
      <c r="M674"/>
      <c r="N674"/>
      <c r="O674"/>
      <c r="P674"/>
      <c r="Q674"/>
      <c r="R674" s="2"/>
      <c r="S674" s="2"/>
      <c r="T674"/>
      <c r="U674"/>
      <c r="V674"/>
      <c r="W674"/>
      <c r="X674"/>
      <c r="Y674"/>
    </row>
    <row r="675" spans="2:25" s="6" customFormat="1" x14ac:dyDescent="0.25">
      <c r="B675" s="1"/>
      <c r="C675" s="1"/>
      <c r="F675" s="2"/>
      <c r="G675" s="12"/>
      <c r="H675" s="2"/>
      <c r="J675"/>
      <c r="K675"/>
      <c r="L675"/>
      <c r="M675"/>
      <c r="N675"/>
      <c r="O675"/>
      <c r="P675"/>
      <c r="Q675"/>
      <c r="R675" s="2"/>
      <c r="S675" s="2"/>
      <c r="T675"/>
      <c r="U675"/>
      <c r="V675"/>
      <c r="W675"/>
      <c r="X675"/>
      <c r="Y675"/>
    </row>
    <row r="676" spans="2:25" x14ac:dyDescent="0.25">
      <c r="H676" s="2"/>
    </row>
    <row r="677" spans="2:25" x14ac:dyDescent="0.25">
      <c r="H677" s="2"/>
      <c r="J677" s="6"/>
      <c r="K677" s="20"/>
    </row>
    <row r="678" spans="2:25" x14ac:dyDescent="0.25">
      <c r="H678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51"/>
  <sheetViews>
    <sheetView workbookViewId="0"/>
  </sheetViews>
  <sheetFormatPr defaultRowHeight="15" x14ac:dyDescent="0.25"/>
  <cols>
    <col min="6" max="6" width="9.140625" style="2"/>
    <col min="8" max="8" width="9.140625" style="2"/>
    <col min="9" max="9" width="9.140625" style="46"/>
    <col min="11" max="15" width="10.7109375" style="1" customWidth="1"/>
    <col min="16" max="18" width="10.7109375" style="2" customWidth="1"/>
  </cols>
  <sheetData>
    <row r="1" spans="1:18" ht="18.75" x14ac:dyDescent="0.3">
      <c r="A1" s="14" t="s">
        <v>549</v>
      </c>
    </row>
    <row r="2" spans="1:18" s="17" customFormat="1" ht="45" x14ac:dyDescent="0.25">
      <c r="B2" s="3" t="s">
        <v>619</v>
      </c>
      <c r="C2" s="3" t="s">
        <v>620</v>
      </c>
      <c r="D2" s="17" t="s">
        <v>617</v>
      </c>
      <c r="E2" s="3" t="s">
        <v>621</v>
      </c>
      <c r="F2" s="22" t="s">
        <v>617</v>
      </c>
      <c r="G2" s="3" t="s">
        <v>622</v>
      </c>
      <c r="H2" s="22" t="s">
        <v>617</v>
      </c>
      <c r="I2" s="47" t="s">
        <v>618</v>
      </c>
      <c r="K2" s="4" t="s">
        <v>625</v>
      </c>
      <c r="L2" s="4" t="s">
        <v>624</v>
      </c>
      <c r="M2" s="4" t="s">
        <v>623</v>
      </c>
      <c r="N2" s="4" t="s">
        <v>629</v>
      </c>
      <c r="O2" s="48" t="s">
        <v>632</v>
      </c>
      <c r="P2" s="7" t="s">
        <v>626</v>
      </c>
      <c r="Q2" s="7" t="s">
        <v>627</v>
      </c>
      <c r="R2" s="7" t="s">
        <v>628</v>
      </c>
    </row>
    <row r="3" spans="1:18" x14ac:dyDescent="0.25">
      <c r="A3" t="s">
        <v>501</v>
      </c>
      <c r="B3">
        <v>0.94</v>
      </c>
      <c r="C3">
        <v>17</v>
      </c>
      <c r="D3">
        <v>4</v>
      </c>
      <c r="E3">
        <v>5.88</v>
      </c>
      <c r="F3" s="2">
        <v>0.15</v>
      </c>
      <c r="G3">
        <v>6.64</v>
      </c>
      <c r="H3" s="2">
        <v>0.2</v>
      </c>
      <c r="I3" s="46" t="s">
        <v>502</v>
      </c>
      <c r="K3" s="1">
        <f t="shared" ref="K3:K49" si="0">(POWER(10, E3)+POWER(10, G3))*SolarMass</f>
        <v>1.0191623073579696E+37</v>
      </c>
      <c r="L3" s="1">
        <f t="shared" ref="L3:L49" si="1">(velocity*km)^4/(4*UniverseAcceleration*GravitationalConstant)</f>
        <v>8.5793470667582605E+36</v>
      </c>
      <c r="M3" s="1">
        <f t="shared" ref="M3:M49" si="2">(POWER(10, F3)+POWER(10, H3))*SolarMass</f>
        <v>5.9621894791335216E+30</v>
      </c>
      <c r="N3" s="1">
        <f t="shared" ref="N3:N49" si="3">(predictedMass-observedMass)^2</f>
        <v>2.5994339221720736E+72</v>
      </c>
      <c r="O3" s="1">
        <f t="shared" ref="O3:O49" si="4">(predictedMass-observedMass)^2/(errorMass)^2</f>
        <v>73125228204.259674</v>
      </c>
      <c r="P3" s="2">
        <f t="shared" ref="P3:P49" si="5">LOG10(C3)</f>
        <v>1.2304489213782739</v>
      </c>
      <c r="Q3" s="2">
        <f t="shared" ref="Q3:Q49" si="6">LOG10(K3)</f>
        <v>37.008243353365344</v>
      </c>
      <c r="R3" s="2">
        <f t="shared" ref="R3:R49" si="7">LOG10(L3)</f>
        <v>36.933454237021891</v>
      </c>
    </row>
    <row r="4" spans="1:18" x14ac:dyDescent="0.25">
      <c r="A4" t="s">
        <v>503</v>
      </c>
      <c r="B4">
        <v>3.34</v>
      </c>
      <c r="C4">
        <v>20</v>
      </c>
      <c r="D4">
        <v>12</v>
      </c>
      <c r="E4">
        <v>6.99</v>
      </c>
      <c r="F4" s="2">
        <v>0.15</v>
      </c>
      <c r="G4">
        <v>7.33</v>
      </c>
      <c r="H4" s="2">
        <v>0.2</v>
      </c>
      <c r="I4" s="46" t="s">
        <v>502</v>
      </c>
      <c r="K4" s="1">
        <f t="shared" si="0"/>
        <v>6.1964429484320988E+37</v>
      </c>
      <c r="L4" s="1">
        <f t="shared" si="1"/>
        <v>1.6435333996016829E+37</v>
      </c>
      <c r="M4" s="1">
        <f t="shared" si="2"/>
        <v>5.9621894791335216E+30</v>
      </c>
      <c r="N4" s="1">
        <f t="shared" si="3"/>
        <v>2.0728985359831177E+75</v>
      </c>
      <c r="O4" s="1">
        <f t="shared" si="4"/>
        <v>58313149334213.82</v>
      </c>
      <c r="P4" s="2">
        <f t="shared" si="5"/>
        <v>1.3010299956639813</v>
      </c>
      <c r="Q4" s="2">
        <f t="shared" si="6"/>
        <v>37.792142455437066</v>
      </c>
      <c r="R4" s="2">
        <f t="shared" si="7"/>
        <v>37.21577853416472</v>
      </c>
    </row>
    <row r="5" spans="1:18" x14ac:dyDescent="0.25">
      <c r="A5" t="s">
        <v>504</v>
      </c>
      <c r="B5">
        <v>4.5</v>
      </c>
      <c r="C5">
        <v>20</v>
      </c>
      <c r="D5">
        <v>6</v>
      </c>
      <c r="E5">
        <v>6.81</v>
      </c>
      <c r="F5" s="2">
        <v>0.15</v>
      </c>
      <c r="G5">
        <v>7.45</v>
      </c>
      <c r="H5" s="2">
        <v>0.2</v>
      </c>
      <c r="I5" s="46">
        <v>1</v>
      </c>
      <c r="K5" s="1">
        <f t="shared" si="0"/>
        <v>6.8903163155509782E+37</v>
      </c>
      <c r="L5" s="1">
        <f t="shared" si="1"/>
        <v>1.6435333996016829E+37</v>
      </c>
      <c r="M5" s="1">
        <f t="shared" si="2"/>
        <v>5.9621894791335216E+30</v>
      </c>
      <c r="N5" s="1">
        <f t="shared" si="3"/>
        <v>2.7528730967097385E+75</v>
      </c>
      <c r="O5" s="1">
        <f t="shared" si="4"/>
        <v>77441658238443.578</v>
      </c>
      <c r="P5" s="2">
        <f t="shared" si="5"/>
        <v>1.3010299956639813</v>
      </c>
      <c r="Q5" s="2">
        <f t="shared" si="6"/>
        <v>37.838239159635499</v>
      </c>
      <c r="R5" s="2">
        <f t="shared" si="7"/>
        <v>37.21577853416472</v>
      </c>
    </row>
    <row r="6" spans="1:18" x14ac:dyDescent="0.25">
      <c r="A6" t="s">
        <v>505</v>
      </c>
      <c r="B6">
        <v>3.24</v>
      </c>
      <c r="C6">
        <v>25</v>
      </c>
      <c r="D6">
        <v>3</v>
      </c>
      <c r="E6">
        <v>7.24</v>
      </c>
      <c r="F6" s="2">
        <v>0.15</v>
      </c>
      <c r="G6">
        <v>7.54</v>
      </c>
      <c r="H6" s="2">
        <v>0.2</v>
      </c>
      <c r="I6" s="46">
        <v>1</v>
      </c>
      <c r="K6" s="1">
        <f t="shared" si="0"/>
        <v>1.0353602320816714E+38</v>
      </c>
      <c r="L6" s="1">
        <f t="shared" si="1"/>
        <v>4.0125327138712964E+37</v>
      </c>
      <c r="M6" s="1">
        <f t="shared" si="2"/>
        <v>5.9621894791335216E+30</v>
      </c>
      <c r="N6" s="1">
        <f t="shared" si="3"/>
        <v>4.0209163760126908E+75</v>
      </c>
      <c r="O6" s="1">
        <f t="shared" si="4"/>
        <v>113113253265727.38</v>
      </c>
      <c r="P6" s="2">
        <f t="shared" si="5"/>
        <v>1.3979400086720377</v>
      </c>
      <c r="Q6" s="2">
        <f t="shared" si="6"/>
        <v>38.015091479827632</v>
      </c>
      <c r="R6" s="2">
        <f t="shared" si="7"/>
        <v>37.603418586196945</v>
      </c>
    </row>
    <row r="7" spans="1:18" x14ac:dyDescent="0.25">
      <c r="A7" t="s">
        <v>506</v>
      </c>
      <c r="B7">
        <v>3.2</v>
      </c>
      <c r="C7">
        <v>27</v>
      </c>
      <c r="D7">
        <v>4</v>
      </c>
      <c r="E7">
        <v>6.94</v>
      </c>
      <c r="F7" s="2">
        <v>0.15</v>
      </c>
      <c r="G7">
        <v>7.3</v>
      </c>
      <c r="H7" s="2">
        <v>0.2</v>
      </c>
      <c r="I7" s="46">
        <v>1</v>
      </c>
      <c r="K7" s="1">
        <f t="shared" si="0"/>
        <v>5.7012099474862486E+37</v>
      </c>
      <c r="L7" s="1">
        <f t="shared" si="1"/>
        <v>5.4590064588607376E+37</v>
      </c>
      <c r="M7" s="1">
        <f t="shared" si="2"/>
        <v>5.9621894791335216E+30</v>
      </c>
      <c r="N7" s="1">
        <f t="shared" si="3"/>
        <v>5.8662529902368045E+72</v>
      </c>
      <c r="O7" s="1">
        <f t="shared" si="4"/>
        <v>165024809808.02966</v>
      </c>
      <c r="P7" s="2">
        <f t="shared" si="5"/>
        <v>1.4313637641589874</v>
      </c>
      <c r="Q7" s="2">
        <f t="shared" si="6"/>
        <v>37.755967034225655</v>
      </c>
      <c r="R7" s="2">
        <f t="shared" si="7"/>
        <v>37.737113608144746</v>
      </c>
    </row>
    <row r="8" spans="1:18" x14ac:dyDescent="0.25">
      <c r="A8" t="s">
        <v>507</v>
      </c>
      <c r="B8">
        <v>6.5</v>
      </c>
      <c r="C8">
        <v>29</v>
      </c>
      <c r="D8">
        <v>5</v>
      </c>
      <c r="E8">
        <v>6.76</v>
      </c>
      <c r="F8" s="2">
        <v>0.2</v>
      </c>
      <c r="G8">
        <v>7.32</v>
      </c>
      <c r="H8" s="2">
        <v>0.13</v>
      </c>
      <c r="I8" s="46">
        <v>3</v>
      </c>
      <c r="K8" s="1">
        <f t="shared" si="0"/>
        <v>5.3004265132391141E+37</v>
      </c>
      <c r="L8" s="1">
        <f t="shared" si="1"/>
        <v>7.2652496650229873E+37</v>
      </c>
      <c r="M8" s="1">
        <f t="shared" si="2"/>
        <v>5.8357331188874586E+30</v>
      </c>
      <c r="N8" s="1">
        <f t="shared" si="3"/>
        <v>3.8605300177859129E+74</v>
      </c>
      <c r="O8" s="1">
        <f t="shared" si="4"/>
        <v>11335902159553.928</v>
      </c>
      <c r="P8" s="2">
        <f t="shared" si="5"/>
        <v>1.4623979978989561</v>
      </c>
      <c r="Q8" s="2">
        <f t="shared" si="6"/>
        <v>37.724310817693883</v>
      </c>
      <c r="R8" s="2">
        <f t="shared" si="7"/>
        <v>37.861250543104617</v>
      </c>
    </row>
    <row r="9" spans="1:18" x14ac:dyDescent="0.25">
      <c r="A9" t="s">
        <v>508</v>
      </c>
      <c r="B9">
        <v>3.1</v>
      </c>
      <c r="C9">
        <v>30</v>
      </c>
      <c r="D9">
        <v>6</v>
      </c>
      <c r="E9">
        <v>7.26</v>
      </c>
      <c r="F9" s="2">
        <v>0.15</v>
      </c>
      <c r="G9">
        <v>7.56</v>
      </c>
      <c r="H9" s="2">
        <v>0.2</v>
      </c>
      <c r="I9" s="46">
        <v>1</v>
      </c>
      <c r="K9" s="1">
        <f t="shared" si="0"/>
        <v>1.0841552565293227E+38</v>
      </c>
      <c r="L9" s="1">
        <f t="shared" si="1"/>
        <v>8.3203878354835208E+37</v>
      </c>
      <c r="M9" s="1">
        <f t="shared" si="2"/>
        <v>5.9621894791335216E+30</v>
      </c>
      <c r="N9" s="1">
        <f t="shared" si="3"/>
        <v>6.3562715948364487E+74</v>
      </c>
      <c r="O9" s="1">
        <f t="shared" si="4"/>
        <v>17880962733312.383</v>
      </c>
      <c r="P9" s="2">
        <f t="shared" si="5"/>
        <v>1.4771212547196624</v>
      </c>
      <c r="Q9" s="2">
        <f t="shared" si="6"/>
        <v>38.035091479827635</v>
      </c>
      <c r="R9" s="2">
        <f t="shared" si="7"/>
        <v>37.920143570387445</v>
      </c>
    </row>
    <row r="10" spans="1:18" x14ac:dyDescent="0.25">
      <c r="A10" t="s">
        <v>509</v>
      </c>
      <c r="B10">
        <v>3.6</v>
      </c>
      <c r="C10">
        <v>31</v>
      </c>
      <c r="D10">
        <v>4</v>
      </c>
      <c r="E10">
        <v>6.67</v>
      </c>
      <c r="F10" s="2">
        <v>0.15</v>
      </c>
      <c r="G10">
        <v>7.85</v>
      </c>
      <c r="H10" s="2">
        <v>0.2</v>
      </c>
      <c r="I10" s="46">
        <v>1</v>
      </c>
      <c r="K10" s="1">
        <f t="shared" si="0"/>
        <v>1.5012121566719248E+38</v>
      </c>
      <c r="L10" s="1">
        <f t="shared" si="1"/>
        <v>9.4864850545846619E+37</v>
      </c>
      <c r="M10" s="1">
        <f t="shared" si="2"/>
        <v>5.9621894791335216E+30</v>
      </c>
      <c r="N10" s="1">
        <f t="shared" si="3"/>
        <v>3.0532658864234876E+75</v>
      </c>
      <c r="O10" s="1">
        <f t="shared" si="4"/>
        <v>85892071657830.344</v>
      </c>
      <c r="P10" s="2">
        <f t="shared" si="5"/>
        <v>1.4913616938342726</v>
      </c>
      <c r="Q10" s="2">
        <f t="shared" si="6"/>
        <v>38.176442072630309</v>
      </c>
      <c r="R10" s="2">
        <f t="shared" si="7"/>
        <v>37.977105326845887</v>
      </c>
    </row>
    <row r="11" spans="1:18" x14ac:dyDescent="0.25">
      <c r="A11" t="s">
        <v>510</v>
      </c>
      <c r="B11">
        <v>7.83</v>
      </c>
      <c r="C11">
        <v>35</v>
      </c>
      <c r="D11">
        <v>6</v>
      </c>
      <c r="E11">
        <v>7.72</v>
      </c>
      <c r="F11" s="2">
        <v>0.15</v>
      </c>
      <c r="G11">
        <v>7.93</v>
      </c>
      <c r="H11" s="2">
        <v>0.2</v>
      </c>
      <c r="I11" s="46">
        <v>1</v>
      </c>
      <c r="K11" s="1">
        <f t="shared" si="0"/>
        <v>2.7368931909711744E+38</v>
      </c>
      <c r="L11" s="1">
        <f t="shared" si="1"/>
        <v>1.5414545673607973E+38</v>
      </c>
      <c r="M11" s="1">
        <f t="shared" si="2"/>
        <v>5.9621894791335216E+30</v>
      </c>
      <c r="N11" s="1">
        <f t="shared" si="3"/>
        <v>1.4290735028194729E+76</v>
      </c>
      <c r="O11" s="1">
        <f t="shared" si="4"/>
        <v>402015704738568.31</v>
      </c>
      <c r="P11" s="2">
        <f t="shared" si="5"/>
        <v>1.5440680443502757</v>
      </c>
      <c r="Q11" s="2">
        <f t="shared" si="6"/>
        <v>38.437257849117486</v>
      </c>
      <c r="R11" s="2">
        <f t="shared" si="7"/>
        <v>38.187930728909897</v>
      </c>
    </row>
    <row r="12" spans="1:18" x14ac:dyDescent="0.25">
      <c r="A12" t="s">
        <v>511</v>
      </c>
      <c r="B12">
        <v>3.01</v>
      </c>
      <c r="C12">
        <v>37</v>
      </c>
      <c r="D12">
        <v>4</v>
      </c>
      <c r="E12">
        <v>7.78</v>
      </c>
      <c r="F12" s="2">
        <v>0.15</v>
      </c>
      <c r="G12">
        <v>8.32</v>
      </c>
      <c r="H12" s="2">
        <v>0.2</v>
      </c>
      <c r="I12" s="46">
        <v>1</v>
      </c>
      <c r="K12" s="1">
        <f t="shared" si="0"/>
        <v>5.3543702065422889E+38</v>
      </c>
      <c r="L12" s="1">
        <f t="shared" si="1"/>
        <v>1.9251538748318061E+38</v>
      </c>
      <c r="M12" s="1">
        <f t="shared" si="2"/>
        <v>5.9621894791335216E+30</v>
      </c>
      <c r="N12" s="1">
        <f t="shared" si="3"/>
        <v>1.17595246496699E+77</v>
      </c>
      <c r="O12" s="1">
        <f t="shared" si="4"/>
        <v>3308096875423497.5</v>
      </c>
      <c r="P12" s="2">
        <f t="shared" si="5"/>
        <v>1.568201724066995</v>
      </c>
      <c r="Q12" s="2">
        <f t="shared" si="6"/>
        <v>38.728708395446382</v>
      </c>
      <c r="R12" s="2">
        <f t="shared" si="7"/>
        <v>38.284465447776775</v>
      </c>
    </row>
    <row r="13" spans="1:18" x14ac:dyDescent="0.25">
      <c r="A13" t="s">
        <v>512</v>
      </c>
      <c r="B13">
        <v>14.1</v>
      </c>
      <c r="C13">
        <v>37</v>
      </c>
      <c r="D13">
        <v>7</v>
      </c>
      <c r="E13">
        <v>7.58</v>
      </c>
      <c r="F13" s="2">
        <v>0.2</v>
      </c>
      <c r="G13">
        <v>7.96</v>
      </c>
      <c r="H13" s="2">
        <v>0.06</v>
      </c>
      <c r="I13" s="46">
        <v>3</v>
      </c>
      <c r="K13" s="1">
        <f t="shared" si="0"/>
        <v>2.5703154887840735E+38</v>
      </c>
      <c r="L13" s="1">
        <f t="shared" si="1"/>
        <v>1.9251538748318061E+38</v>
      </c>
      <c r="M13" s="1">
        <f t="shared" si="2"/>
        <v>5.4363034176438505E+30</v>
      </c>
      <c r="N13" s="1">
        <f t="shared" si="3"/>
        <v>4.1623350811749461E+75</v>
      </c>
      <c r="O13" s="1">
        <f t="shared" si="4"/>
        <v>140841182628464.84</v>
      </c>
      <c r="P13" s="2">
        <f t="shared" si="5"/>
        <v>1.568201724066995</v>
      </c>
      <c r="Q13" s="2">
        <f t="shared" si="6"/>
        <v>38.409986433303608</v>
      </c>
      <c r="R13" s="2">
        <f t="shared" si="7"/>
        <v>38.284465447776775</v>
      </c>
    </row>
    <row r="14" spans="1:18" x14ac:dyDescent="0.25">
      <c r="A14" t="s">
        <v>513</v>
      </c>
      <c r="B14">
        <v>0.95</v>
      </c>
      <c r="C14">
        <v>38</v>
      </c>
      <c r="D14">
        <v>5</v>
      </c>
      <c r="E14">
        <v>7.34</v>
      </c>
      <c r="F14" s="2">
        <v>0.15</v>
      </c>
      <c r="G14">
        <v>7.75</v>
      </c>
      <c r="H14" s="2">
        <v>0.2</v>
      </c>
      <c r="I14" s="46">
        <v>2</v>
      </c>
      <c r="K14" s="1">
        <f t="shared" si="0"/>
        <v>1.5537207945559297E+38</v>
      </c>
      <c r="L14" s="1">
        <f t="shared" si="1"/>
        <v>2.1418691616949094E+38</v>
      </c>
      <c r="M14" s="1">
        <f t="shared" si="2"/>
        <v>5.9621894791335216E+30</v>
      </c>
      <c r="N14" s="1">
        <f t="shared" si="3"/>
        <v>3.4591850176824801E+75</v>
      </c>
      <c r="O14" s="1">
        <f t="shared" si="4"/>
        <v>97311069022066.391</v>
      </c>
      <c r="P14" s="2">
        <f t="shared" si="5"/>
        <v>1.5797835966168101</v>
      </c>
      <c r="Q14" s="2">
        <f t="shared" si="6"/>
        <v>38.191372978249923</v>
      </c>
      <c r="R14" s="2">
        <f t="shared" si="7"/>
        <v>38.330792937976035</v>
      </c>
    </row>
    <row r="15" spans="1:18" x14ac:dyDescent="0.25">
      <c r="A15" t="s">
        <v>514</v>
      </c>
      <c r="B15">
        <v>5.6</v>
      </c>
      <c r="C15">
        <v>38</v>
      </c>
      <c r="D15">
        <v>5</v>
      </c>
      <c r="E15">
        <v>7.34</v>
      </c>
      <c r="F15" s="2">
        <v>0.15</v>
      </c>
      <c r="G15">
        <v>8.02</v>
      </c>
      <c r="H15" s="2">
        <v>0.2</v>
      </c>
      <c r="I15" s="46">
        <v>1</v>
      </c>
      <c r="K15" s="1">
        <f t="shared" si="0"/>
        <v>2.5180110595478533E+38</v>
      </c>
      <c r="L15" s="1">
        <f t="shared" si="1"/>
        <v>2.1418691616949094E+38</v>
      </c>
      <c r="M15" s="1">
        <f t="shared" si="2"/>
        <v>5.9621894791335216E+30</v>
      </c>
      <c r="N15" s="1">
        <f t="shared" si="3"/>
        <v>1.4148272732041454E+75</v>
      </c>
      <c r="O15" s="1">
        <f t="shared" si="4"/>
        <v>39800806760347.773</v>
      </c>
      <c r="P15" s="2">
        <f t="shared" si="5"/>
        <v>1.5797835966168101</v>
      </c>
      <c r="Q15" s="2">
        <f t="shared" si="6"/>
        <v>38.401057633273851</v>
      </c>
      <c r="R15" s="2">
        <f t="shared" si="7"/>
        <v>38.330792937976035</v>
      </c>
    </row>
    <row r="16" spans="1:18" x14ac:dyDescent="0.25">
      <c r="A16" t="s">
        <v>515</v>
      </c>
      <c r="B16">
        <v>5.4</v>
      </c>
      <c r="C16">
        <v>40</v>
      </c>
      <c r="D16">
        <v>4</v>
      </c>
      <c r="E16">
        <v>7.57</v>
      </c>
      <c r="F16" s="2">
        <v>0.15</v>
      </c>
      <c r="G16">
        <v>7.78</v>
      </c>
      <c r="H16" s="2">
        <v>0.2</v>
      </c>
      <c r="I16" s="46">
        <v>1</v>
      </c>
      <c r="K16" s="1">
        <f t="shared" si="0"/>
        <v>1.9375719968576974E+38</v>
      </c>
      <c r="L16" s="1">
        <f t="shared" si="1"/>
        <v>2.6296534393626927E+38</v>
      </c>
      <c r="M16" s="1">
        <f t="shared" si="2"/>
        <v>5.9621894791335216E+30</v>
      </c>
      <c r="N16" s="1">
        <f t="shared" si="3"/>
        <v>4.7897672305979511E+75</v>
      </c>
      <c r="O16" s="1">
        <f t="shared" si="4"/>
        <v>134741960084175.03</v>
      </c>
      <c r="P16" s="2">
        <f t="shared" si="5"/>
        <v>1.6020599913279623</v>
      </c>
      <c r="Q16" s="2">
        <f t="shared" si="6"/>
        <v>38.287257849117481</v>
      </c>
      <c r="R16" s="2">
        <f t="shared" si="7"/>
        <v>38.419898516820645</v>
      </c>
    </row>
    <row r="17" spans="1:18" x14ac:dyDescent="0.25">
      <c r="A17" t="s">
        <v>516</v>
      </c>
      <c r="B17">
        <v>7.4</v>
      </c>
      <c r="C17">
        <v>41</v>
      </c>
      <c r="D17">
        <v>4</v>
      </c>
      <c r="E17">
        <v>7.2</v>
      </c>
      <c r="F17" s="2">
        <v>0.15</v>
      </c>
      <c r="G17">
        <v>7.56</v>
      </c>
      <c r="H17" s="2">
        <v>0.2</v>
      </c>
      <c r="I17" s="46">
        <v>1</v>
      </c>
      <c r="K17" s="1">
        <f t="shared" si="0"/>
        <v>1.0374496636556512E+38</v>
      </c>
      <c r="L17" s="1">
        <f t="shared" si="1"/>
        <v>2.9026453642449072E+38</v>
      </c>
      <c r="M17" s="1">
        <f t="shared" si="2"/>
        <v>5.9621894791335216E+30</v>
      </c>
      <c r="N17" s="1">
        <f t="shared" si="3"/>
        <v>3.4789550014966455E+76</v>
      </c>
      <c r="O17" s="1">
        <f t="shared" si="4"/>
        <v>978672226390805.75</v>
      </c>
      <c r="P17" s="2">
        <f t="shared" si="5"/>
        <v>1.6127838567197355</v>
      </c>
      <c r="Q17" s="2">
        <f t="shared" si="6"/>
        <v>38.015967034225653</v>
      </c>
      <c r="R17" s="2">
        <f t="shared" si="7"/>
        <v>38.462793978387737</v>
      </c>
    </row>
    <row r="18" spans="1:18" x14ac:dyDescent="0.25">
      <c r="A18" t="s">
        <v>517</v>
      </c>
      <c r="B18">
        <v>3</v>
      </c>
      <c r="C18">
        <v>44</v>
      </c>
      <c r="D18">
        <v>3</v>
      </c>
      <c r="E18">
        <v>7.24</v>
      </c>
      <c r="F18" s="2">
        <v>0.15</v>
      </c>
      <c r="G18">
        <v>8.4499999999999993</v>
      </c>
      <c r="H18" s="2">
        <v>0.2</v>
      </c>
      <c r="I18" s="46" t="s">
        <v>502</v>
      </c>
      <c r="K18" s="1">
        <f t="shared" si="0"/>
        <v>5.9517114514246687E+38</v>
      </c>
      <c r="L18" s="1">
        <f t="shared" si="1"/>
        <v>3.8500756005709183E+38</v>
      </c>
      <c r="M18" s="1">
        <f t="shared" si="2"/>
        <v>5.9621894791335216E+30</v>
      </c>
      <c r="N18" s="1">
        <f t="shared" si="3"/>
        <v>4.416873249593767E+76</v>
      </c>
      <c r="O18" s="1">
        <f t="shared" si="4"/>
        <v>1242520002416332.8</v>
      </c>
      <c r="P18" s="2">
        <f t="shared" si="5"/>
        <v>1.6434526764861874</v>
      </c>
      <c r="Q18" s="2">
        <f t="shared" si="6"/>
        <v>38.774641867750908</v>
      </c>
      <c r="R18" s="2">
        <f t="shared" si="7"/>
        <v>38.585469257453546</v>
      </c>
    </row>
    <row r="19" spans="1:18" x14ac:dyDescent="0.25">
      <c r="A19" t="s">
        <v>518</v>
      </c>
      <c r="B19">
        <v>18.5</v>
      </c>
      <c r="C19">
        <v>45</v>
      </c>
      <c r="D19">
        <v>6</v>
      </c>
      <c r="E19">
        <v>6.97</v>
      </c>
      <c r="F19" s="2">
        <v>0.2</v>
      </c>
      <c r="G19">
        <v>7.94</v>
      </c>
      <c r="H19" s="2">
        <v>0.05</v>
      </c>
      <c r="I19" s="46">
        <v>3</v>
      </c>
      <c r="K19" s="1">
        <f t="shared" si="0"/>
        <v>1.9180672897531734E+38</v>
      </c>
      <c r="L19" s="1">
        <f t="shared" si="1"/>
        <v>4.2121963417135322E+38</v>
      </c>
      <c r="M19" s="1">
        <f t="shared" si="2"/>
        <v>5.3843179565764366E+30</v>
      </c>
      <c r="N19" s="1">
        <f t="shared" si="3"/>
        <v>5.2630281070485347E+76</v>
      </c>
      <c r="O19" s="1">
        <f t="shared" si="4"/>
        <v>1815408201791743.5</v>
      </c>
      <c r="P19" s="2">
        <f t="shared" si="5"/>
        <v>1.6532125137753437</v>
      </c>
      <c r="Q19" s="2">
        <f t="shared" si="6"/>
        <v>38.282863839047302</v>
      </c>
      <c r="R19" s="2">
        <f t="shared" si="7"/>
        <v>38.624508606610171</v>
      </c>
    </row>
    <row r="20" spans="1:18" x14ac:dyDescent="0.25">
      <c r="A20" t="s">
        <v>519</v>
      </c>
      <c r="B20">
        <v>5.5</v>
      </c>
      <c r="C20">
        <v>53</v>
      </c>
      <c r="D20">
        <v>5</v>
      </c>
      <c r="E20">
        <v>6.88</v>
      </c>
      <c r="F20" s="2">
        <v>0.2</v>
      </c>
      <c r="G20">
        <v>8.2899999999999991</v>
      </c>
      <c r="H20" s="2">
        <v>0.15</v>
      </c>
      <c r="I20" s="46">
        <v>3</v>
      </c>
      <c r="K20" s="1">
        <f t="shared" si="0"/>
        <v>4.0293245588277787E+38</v>
      </c>
      <c r="L20" s="1">
        <f t="shared" si="1"/>
        <v>8.1051681640140554E+38</v>
      </c>
      <c r="M20" s="1">
        <f t="shared" si="2"/>
        <v>5.9621894791335216E+30</v>
      </c>
      <c r="N20" s="1">
        <f t="shared" si="3"/>
        <v>1.6612501093937864E+77</v>
      </c>
      <c r="O20" s="1">
        <f t="shared" si="4"/>
        <v>4673297994521227</v>
      </c>
      <c r="P20" s="2">
        <f t="shared" si="5"/>
        <v>1.7242758696007889</v>
      </c>
      <c r="Q20" s="2">
        <f t="shared" si="6"/>
        <v>38.605232250865896</v>
      </c>
      <c r="R20" s="2">
        <f t="shared" si="7"/>
        <v>38.908762029911955</v>
      </c>
    </row>
    <row r="21" spans="1:18" x14ac:dyDescent="0.25">
      <c r="A21" t="s">
        <v>520</v>
      </c>
      <c r="B21">
        <v>4.3</v>
      </c>
      <c r="C21">
        <v>54</v>
      </c>
      <c r="D21">
        <v>3</v>
      </c>
      <c r="E21">
        <v>8.07</v>
      </c>
      <c r="F21" s="2">
        <v>0.15</v>
      </c>
      <c r="G21">
        <v>8.74</v>
      </c>
      <c r="H21" s="2">
        <v>0.2</v>
      </c>
      <c r="I21" s="46">
        <v>2</v>
      </c>
      <c r="K21" s="1">
        <f t="shared" si="0"/>
        <v>1.3267906248432249E+39</v>
      </c>
      <c r="L21" s="1">
        <f t="shared" si="1"/>
        <v>8.7344103341771801E+38</v>
      </c>
      <c r="M21" s="1">
        <f t="shared" si="2"/>
        <v>5.9621894791335216E+30</v>
      </c>
      <c r="N21" s="1">
        <f t="shared" si="3"/>
        <v>2.0552585204567406E+77</v>
      </c>
      <c r="O21" s="1">
        <f t="shared" si="4"/>
        <v>5781691430785272</v>
      </c>
      <c r="P21" s="2">
        <f t="shared" si="5"/>
        <v>1.7323937598229686</v>
      </c>
      <c r="Q21" s="2">
        <f t="shared" si="6"/>
        <v>39.12280239411573</v>
      </c>
      <c r="R21" s="2">
        <f t="shared" si="7"/>
        <v>38.941233590800671</v>
      </c>
    </row>
    <row r="22" spans="1:18" x14ac:dyDescent="0.25">
      <c r="A22" t="s">
        <v>521</v>
      </c>
      <c r="B22">
        <v>3</v>
      </c>
      <c r="C22">
        <v>56</v>
      </c>
      <c r="D22">
        <v>5</v>
      </c>
      <c r="E22">
        <v>7.28</v>
      </c>
      <c r="F22" s="2">
        <v>0.15</v>
      </c>
      <c r="G22">
        <v>7.85</v>
      </c>
      <c r="H22" s="2">
        <v>0.2</v>
      </c>
      <c r="I22" s="46">
        <v>1</v>
      </c>
      <c r="K22" s="1">
        <f t="shared" si="0"/>
        <v>1.787190151128558E+38</v>
      </c>
      <c r="L22" s="1">
        <f t="shared" si="1"/>
        <v>1.0102076652655721E+39</v>
      </c>
      <c r="M22" s="1">
        <f t="shared" si="2"/>
        <v>5.9621894791335216E+30</v>
      </c>
      <c r="N22" s="1">
        <f t="shared" si="3"/>
        <v>6.913733753327862E+77</v>
      </c>
      <c r="O22" s="1">
        <f t="shared" si="4"/>
        <v>1.94491713808652E+16</v>
      </c>
      <c r="P22" s="2">
        <f t="shared" si="5"/>
        <v>1.7481880270062005</v>
      </c>
      <c r="Q22" s="2">
        <f t="shared" si="6"/>
        <v>38.252170762462278</v>
      </c>
      <c r="R22" s="2">
        <f t="shared" si="7"/>
        <v>39.004410659533598</v>
      </c>
    </row>
    <row r="23" spans="1:18" x14ac:dyDescent="0.25">
      <c r="A23" t="s">
        <v>522</v>
      </c>
      <c r="B23">
        <v>5.0999999999999996</v>
      </c>
      <c r="C23">
        <v>58</v>
      </c>
      <c r="D23">
        <v>3</v>
      </c>
      <c r="E23">
        <v>8.25</v>
      </c>
      <c r="F23" s="2">
        <v>0.37</v>
      </c>
      <c r="G23">
        <v>8.4600000000000009</v>
      </c>
      <c r="H23" s="2">
        <v>0.39</v>
      </c>
      <c r="I23" s="46">
        <v>2</v>
      </c>
      <c r="K23" s="1">
        <f t="shared" si="0"/>
        <v>9.2738026373775888E+38</v>
      </c>
      <c r="L23" s="1">
        <f t="shared" si="1"/>
        <v>1.162439946403678E+39</v>
      </c>
      <c r="M23" s="1">
        <f t="shared" si="2"/>
        <v>9.545567040741951E+30</v>
      </c>
      <c r="N23" s="1">
        <f t="shared" si="3"/>
        <v>5.5253054415002583E+76</v>
      </c>
      <c r="O23" s="1">
        <f t="shared" si="4"/>
        <v>606391111473732</v>
      </c>
      <c r="P23" s="2">
        <f t="shared" si="5"/>
        <v>1.7634279935629373</v>
      </c>
      <c r="Q23" s="2">
        <f t="shared" si="6"/>
        <v>38.96725784911748</v>
      </c>
      <c r="R23" s="2">
        <f t="shared" si="7"/>
        <v>39.065370525760542</v>
      </c>
    </row>
    <row r="24" spans="1:18" x14ac:dyDescent="0.25">
      <c r="A24" t="s">
        <v>523</v>
      </c>
      <c r="B24">
        <v>12.2</v>
      </c>
      <c r="C24">
        <v>59</v>
      </c>
      <c r="D24">
        <v>7</v>
      </c>
      <c r="E24">
        <v>7.63</v>
      </c>
      <c r="F24" s="2">
        <v>0.2</v>
      </c>
      <c r="G24">
        <v>8.6199999999999992</v>
      </c>
      <c r="H24" s="2">
        <v>7.0000000000000007E-2</v>
      </c>
      <c r="I24" s="46">
        <v>3</v>
      </c>
      <c r="K24" s="1">
        <f t="shared" si="0"/>
        <v>9.1404582274566838E+38</v>
      </c>
      <c r="L24" s="1">
        <f t="shared" si="1"/>
        <v>1.244705469908178E+39</v>
      </c>
      <c r="M24" s="1">
        <f t="shared" si="2"/>
        <v>5.4894997756546196E+30</v>
      </c>
      <c r="N24" s="1">
        <f t="shared" si="3"/>
        <v>1.093358022616354E+77</v>
      </c>
      <c r="O24" s="1">
        <f t="shared" si="4"/>
        <v>3628247065127606</v>
      </c>
      <c r="P24" s="2">
        <f t="shared" si="5"/>
        <v>1.7708520116421442</v>
      </c>
      <c r="Q24" s="2">
        <f t="shared" si="6"/>
        <v>38.960967968235749</v>
      </c>
      <c r="R24" s="2">
        <f t="shared" si="7"/>
        <v>39.095066598077373</v>
      </c>
    </row>
    <row r="25" spans="1:18" x14ac:dyDescent="0.25">
      <c r="A25" t="s">
        <v>524</v>
      </c>
      <c r="B25">
        <v>7.5</v>
      </c>
      <c r="C25">
        <v>59</v>
      </c>
      <c r="D25">
        <v>6</v>
      </c>
      <c r="E25">
        <v>7.77</v>
      </c>
      <c r="F25" s="2">
        <v>0.15</v>
      </c>
      <c r="G25">
        <v>8.58</v>
      </c>
      <c r="H25" s="2">
        <v>0.2</v>
      </c>
      <c r="I25" s="46">
        <v>1</v>
      </c>
      <c r="K25" s="1">
        <f t="shared" si="0"/>
        <v>8.7336161970801091E+38</v>
      </c>
      <c r="L25" s="1">
        <f t="shared" si="1"/>
        <v>1.244705469908178E+39</v>
      </c>
      <c r="M25" s="1">
        <f t="shared" si="2"/>
        <v>5.9621894791335216E+30</v>
      </c>
      <c r="N25" s="1">
        <f t="shared" si="3"/>
        <v>1.3789625508148418E+77</v>
      </c>
      <c r="O25" s="1">
        <f t="shared" si="4"/>
        <v>3879188863135420.5</v>
      </c>
      <c r="P25" s="2">
        <f t="shared" si="5"/>
        <v>1.7708520116421442</v>
      </c>
      <c r="Q25" s="2">
        <f t="shared" si="6"/>
        <v>38.941194102726989</v>
      </c>
      <c r="R25" s="2">
        <f t="shared" si="7"/>
        <v>39.095066598077373</v>
      </c>
    </row>
    <row r="26" spans="1:18" x14ac:dyDescent="0.25">
      <c r="A26" t="s">
        <v>525</v>
      </c>
      <c r="B26">
        <v>3.2</v>
      </c>
      <c r="C26">
        <v>60</v>
      </c>
      <c r="D26">
        <v>5</v>
      </c>
      <c r="E26">
        <v>8.4499999999999993</v>
      </c>
      <c r="F26" s="2">
        <v>0.15</v>
      </c>
      <c r="G26">
        <v>9.09</v>
      </c>
      <c r="H26" s="2">
        <v>0.2</v>
      </c>
      <c r="I26" s="46">
        <v>2</v>
      </c>
      <c r="K26" s="1">
        <f t="shared" si="0"/>
        <v>3.0077321608807254E+39</v>
      </c>
      <c r="L26" s="1">
        <f t="shared" si="1"/>
        <v>1.3312620536773633E+39</v>
      </c>
      <c r="M26" s="1">
        <f t="shared" si="2"/>
        <v>5.9621894791335216E+30</v>
      </c>
      <c r="N26" s="1">
        <f t="shared" si="3"/>
        <v>2.8105520203464521E+78</v>
      </c>
      <c r="O26" s="1">
        <f t="shared" si="4"/>
        <v>7.9064236299587904E+16</v>
      </c>
      <c r="P26" s="2">
        <f t="shared" si="5"/>
        <v>1.7781512503836436</v>
      </c>
      <c r="Q26" s="2">
        <f t="shared" si="6"/>
        <v>39.4782391596355</v>
      </c>
      <c r="R26" s="2">
        <f t="shared" si="7"/>
        <v>39.12426355304337</v>
      </c>
    </row>
    <row r="27" spans="1:18" x14ac:dyDescent="0.25">
      <c r="A27" t="s">
        <v>526</v>
      </c>
      <c r="B27">
        <v>12.6</v>
      </c>
      <c r="C27">
        <v>64</v>
      </c>
      <c r="D27">
        <v>5</v>
      </c>
      <c r="E27">
        <v>8.1199999999999992</v>
      </c>
      <c r="F27" s="2">
        <v>0.39</v>
      </c>
      <c r="G27">
        <v>9.2100000000000009</v>
      </c>
      <c r="H27" s="2">
        <v>0.41</v>
      </c>
      <c r="I27" s="46">
        <v>2</v>
      </c>
      <c r="K27" s="1">
        <f t="shared" si="0"/>
        <v>3.4881569125229167E+39</v>
      </c>
      <c r="L27" s="1">
        <f t="shared" si="1"/>
        <v>1.7233696780207345E+39</v>
      </c>
      <c r="M27" s="1">
        <f t="shared" si="2"/>
        <v>9.9954357556946407E+30</v>
      </c>
      <c r="N27" s="1">
        <f t="shared" si="3"/>
        <v>3.1144739830618603E+78</v>
      </c>
      <c r="O27" s="1">
        <f t="shared" si="4"/>
        <v>3.117318974727484E+16</v>
      </c>
      <c r="P27" s="2">
        <f t="shared" si="5"/>
        <v>1.8061799739838871</v>
      </c>
      <c r="Q27" s="2">
        <f t="shared" si="6"/>
        <v>39.542596013161351</v>
      </c>
      <c r="R27" s="2">
        <f t="shared" si="7"/>
        <v>39.236378447444345</v>
      </c>
    </row>
    <row r="28" spans="1:18" x14ac:dyDescent="0.25">
      <c r="A28" t="s">
        <v>527</v>
      </c>
      <c r="B28">
        <v>1.3</v>
      </c>
      <c r="C28">
        <v>66</v>
      </c>
      <c r="D28">
        <v>3</v>
      </c>
      <c r="E28">
        <v>7.41</v>
      </c>
      <c r="F28" s="2">
        <v>0.15</v>
      </c>
      <c r="G28">
        <v>8.7899999999999991</v>
      </c>
      <c r="H28" s="2">
        <v>0.2</v>
      </c>
      <c r="I28" s="46">
        <v>2</v>
      </c>
      <c r="K28" s="1">
        <f t="shared" si="0"/>
        <v>1.2775968607177313E+39</v>
      </c>
      <c r="L28" s="1">
        <f t="shared" si="1"/>
        <v>1.9491007727890276E+39</v>
      </c>
      <c r="M28" s="1">
        <f t="shared" si="2"/>
        <v>5.9621894791335216E+30</v>
      </c>
      <c r="N28" s="1">
        <f t="shared" si="3"/>
        <v>4.5091750392705535E+77</v>
      </c>
      <c r="O28" s="1">
        <f t="shared" si="4"/>
        <v>1.2684856150684008E+16</v>
      </c>
      <c r="P28" s="2">
        <f t="shared" si="5"/>
        <v>1.8195439355418688</v>
      </c>
      <c r="Q28" s="2">
        <f t="shared" si="6"/>
        <v>39.106393835993103</v>
      </c>
      <c r="R28" s="2">
        <f t="shared" si="7"/>
        <v>39.289834293676272</v>
      </c>
    </row>
    <row r="29" spans="1:18" x14ac:dyDescent="0.25">
      <c r="A29" t="s">
        <v>528</v>
      </c>
      <c r="B29">
        <v>17.399999999999999</v>
      </c>
      <c r="C29">
        <v>66</v>
      </c>
      <c r="D29">
        <v>7</v>
      </c>
      <c r="E29">
        <v>8.09</v>
      </c>
      <c r="F29" s="2">
        <v>0.15</v>
      </c>
      <c r="G29">
        <v>9.02</v>
      </c>
      <c r="H29" s="2">
        <v>0.2</v>
      </c>
      <c r="I29" s="46">
        <v>1</v>
      </c>
      <c r="K29" s="1">
        <f t="shared" si="0"/>
        <v>2.3275561561303407E+39</v>
      </c>
      <c r="L29" s="1">
        <f t="shared" si="1"/>
        <v>1.9491007727890276E+39</v>
      </c>
      <c r="M29" s="1">
        <f t="shared" si="2"/>
        <v>5.9621894791335216E+30</v>
      </c>
      <c r="N29" s="1">
        <f t="shared" si="3"/>
        <v>1.4322847718002021E+77</v>
      </c>
      <c r="O29" s="1">
        <f t="shared" si="4"/>
        <v>4029190736414595.5</v>
      </c>
      <c r="P29" s="2">
        <f t="shared" si="5"/>
        <v>1.8195439355418688</v>
      </c>
      <c r="Q29" s="2">
        <f t="shared" si="6"/>
        <v>39.366900167850297</v>
      </c>
      <c r="R29" s="2">
        <f t="shared" si="7"/>
        <v>39.289834293676272</v>
      </c>
    </row>
    <row r="30" spans="1:18" x14ac:dyDescent="0.25">
      <c r="A30" t="s">
        <v>529</v>
      </c>
      <c r="B30">
        <v>17.899999999999999</v>
      </c>
      <c r="C30">
        <v>68</v>
      </c>
      <c r="D30">
        <v>7</v>
      </c>
      <c r="E30">
        <v>7.41</v>
      </c>
      <c r="F30" s="2">
        <v>0.2</v>
      </c>
      <c r="G30">
        <v>9.06</v>
      </c>
      <c r="H30" s="2">
        <v>0.05</v>
      </c>
      <c r="I30" s="46">
        <v>3</v>
      </c>
      <c r="K30" s="1">
        <f t="shared" si="0"/>
        <v>2.3349201110345098E+39</v>
      </c>
      <c r="L30" s="1">
        <f t="shared" si="1"/>
        <v>2.1963128490901147E+39</v>
      </c>
      <c r="M30" s="1">
        <f t="shared" si="2"/>
        <v>5.3843179565764366E+30</v>
      </c>
      <c r="N30" s="1">
        <f t="shared" si="3"/>
        <v>1.9211973063722175E+76</v>
      </c>
      <c r="O30" s="1">
        <f t="shared" si="4"/>
        <v>662690237693645.13</v>
      </c>
      <c r="P30" s="2">
        <f t="shared" si="5"/>
        <v>1.8325089127062364</v>
      </c>
      <c r="Q30" s="2">
        <f t="shared" si="6"/>
        <v>39.368272025831288</v>
      </c>
      <c r="R30" s="2">
        <f t="shared" si="7"/>
        <v>39.341694202333741</v>
      </c>
    </row>
    <row r="31" spans="1:18" x14ac:dyDescent="0.25">
      <c r="A31" t="s">
        <v>530</v>
      </c>
      <c r="B31">
        <v>4</v>
      </c>
      <c r="C31">
        <v>68</v>
      </c>
      <c r="D31">
        <v>5</v>
      </c>
      <c r="E31">
        <v>8.94</v>
      </c>
      <c r="F31" s="2">
        <v>0.15</v>
      </c>
      <c r="G31">
        <v>9.1999999999999993</v>
      </c>
      <c r="H31" s="2">
        <v>0.2</v>
      </c>
      <c r="I31" s="46">
        <v>2</v>
      </c>
      <c r="K31" s="1">
        <f t="shared" si="0"/>
        <v>4.884944725906043E+39</v>
      </c>
      <c r="L31" s="1">
        <f t="shared" si="1"/>
        <v>2.1963128490901147E+39</v>
      </c>
      <c r="M31" s="1">
        <f t="shared" si="2"/>
        <v>5.9621894791335216E+30</v>
      </c>
      <c r="N31" s="1">
        <f t="shared" si="3"/>
        <v>7.2287413690307411E+78</v>
      </c>
      <c r="O31" s="1">
        <f t="shared" si="4"/>
        <v>2.0335326000448867E+17</v>
      </c>
      <c r="P31" s="2">
        <f t="shared" si="5"/>
        <v>1.8325089127062364</v>
      </c>
      <c r="Q31" s="2">
        <f t="shared" si="6"/>
        <v>39.68885965395657</v>
      </c>
      <c r="R31" s="2">
        <f t="shared" si="7"/>
        <v>39.341694202333741</v>
      </c>
    </row>
    <row r="32" spans="1:18" x14ac:dyDescent="0.25">
      <c r="A32" t="s">
        <v>531</v>
      </c>
      <c r="B32">
        <v>18.600000000000001</v>
      </c>
      <c r="C32">
        <v>72</v>
      </c>
      <c r="D32">
        <v>6</v>
      </c>
      <c r="E32">
        <v>9.2200000000000006</v>
      </c>
      <c r="F32" s="2">
        <v>0.16</v>
      </c>
      <c r="G32">
        <v>9.2799999999999994</v>
      </c>
      <c r="H32" s="2">
        <v>0.2</v>
      </c>
      <c r="I32" s="46">
        <v>2</v>
      </c>
      <c r="K32" s="1">
        <f t="shared" si="0"/>
        <v>7.0912362316847607E+39</v>
      </c>
      <c r="L32" s="1">
        <f t="shared" si="1"/>
        <v>2.7605049945053806E+39</v>
      </c>
      <c r="M32" s="1">
        <f t="shared" si="2"/>
        <v>6.0276352971151244E+30</v>
      </c>
      <c r="N32" s="1">
        <f t="shared" si="3"/>
        <v>1.8755233048681245E+79</v>
      </c>
      <c r="O32" s="1">
        <f t="shared" si="4"/>
        <v>5.1621251603172346E+17</v>
      </c>
      <c r="P32" s="2">
        <f t="shared" si="5"/>
        <v>1.8573324964312685</v>
      </c>
      <c r="Q32" s="2">
        <f t="shared" si="6"/>
        <v>39.850721953349186</v>
      </c>
      <c r="R32" s="2">
        <f t="shared" si="7"/>
        <v>39.440988537233871</v>
      </c>
    </row>
    <row r="33" spans="1:18" x14ac:dyDescent="0.25">
      <c r="A33" t="s">
        <v>532</v>
      </c>
      <c r="B33">
        <v>13</v>
      </c>
      <c r="C33">
        <v>74</v>
      </c>
      <c r="D33">
        <v>3</v>
      </c>
      <c r="E33">
        <v>8.75</v>
      </c>
      <c r="F33" s="2">
        <v>0.27</v>
      </c>
      <c r="G33">
        <v>9.32</v>
      </c>
      <c r="H33" s="2">
        <v>0.28999999999999998</v>
      </c>
      <c r="I33" s="46">
        <v>2</v>
      </c>
      <c r="K33" s="1">
        <f t="shared" si="0"/>
        <v>5.2743720638179087E+39</v>
      </c>
      <c r="L33" s="1">
        <f t="shared" si="1"/>
        <v>3.0802461997308897E+39</v>
      </c>
      <c r="M33" s="1">
        <f t="shared" si="2"/>
        <v>7.5823134169148373E+30</v>
      </c>
      <c r="N33" s="1">
        <f t="shared" si="3"/>
        <v>4.8141883074556073E+78</v>
      </c>
      <c r="O33" s="1">
        <f t="shared" si="4"/>
        <v>8.3737426474451632E+16</v>
      </c>
      <c r="P33" s="2">
        <f t="shared" si="5"/>
        <v>1.8692317197309762</v>
      </c>
      <c r="Q33" s="2">
        <f t="shared" si="6"/>
        <v>39.722170762462277</v>
      </c>
      <c r="R33" s="2">
        <f t="shared" si="7"/>
        <v>39.4885854304327</v>
      </c>
    </row>
    <row r="34" spans="1:18" x14ac:dyDescent="0.25">
      <c r="A34" t="s">
        <v>533</v>
      </c>
      <c r="B34">
        <v>3.45</v>
      </c>
      <c r="C34">
        <v>77</v>
      </c>
      <c r="D34">
        <v>3</v>
      </c>
      <c r="E34">
        <v>8.6999999999999993</v>
      </c>
      <c r="F34" s="2">
        <v>0.15</v>
      </c>
      <c r="G34">
        <v>9.23</v>
      </c>
      <c r="H34" s="2">
        <v>0.2</v>
      </c>
      <c r="I34" s="46">
        <v>2</v>
      </c>
      <c r="K34" s="1">
        <f t="shared" si="0"/>
        <v>4.3748879755196757E+39</v>
      </c>
      <c r="L34" s="1">
        <f t="shared" si="1"/>
        <v>3.6109498113167089E+39</v>
      </c>
      <c r="M34" s="1">
        <f t="shared" si="2"/>
        <v>5.9621894791335216E+30</v>
      </c>
      <c r="N34" s="1">
        <f t="shared" si="3"/>
        <v>5.8360151872579907E+77</v>
      </c>
      <c r="O34" s="1">
        <f t="shared" si="4"/>
        <v>1.6417418374503916E+16</v>
      </c>
      <c r="P34" s="2">
        <f t="shared" si="5"/>
        <v>1.8864907251724818</v>
      </c>
      <c r="Q34" s="2">
        <f t="shared" si="6"/>
        <v>39.640966936847128</v>
      </c>
      <c r="R34" s="2">
        <f t="shared" si="7"/>
        <v>39.557621452198724</v>
      </c>
    </row>
    <row r="35" spans="1:18" x14ac:dyDescent="0.25">
      <c r="A35" t="s">
        <v>534</v>
      </c>
      <c r="B35">
        <v>4.6500000000000004</v>
      </c>
      <c r="C35">
        <v>78</v>
      </c>
      <c r="D35">
        <v>3</v>
      </c>
      <c r="E35">
        <v>8.36</v>
      </c>
      <c r="F35" s="2">
        <v>0.15</v>
      </c>
      <c r="G35">
        <v>8.9600000000000009</v>
      </c>
      <c r="H35" s="2">
        <v>0.2</v>
      </c>
      <c r="I35" s="46">
        <v>2</v>
      </c>
      <c r="K35" s="1">
        <f t="shared" si="0"/>
        <v>2.2697572453748843E+39</v>
      </c>
      <c r="L35" s="1">
        <f t="shared" si="1"/>
        <v>3.8022175515079172E+39</v>
      </c>
      <c r="M35" s="1">
        <f t="shared" si="2"/>
        <v>5.9621894791335216E+30</v>
      </c>
      <c r="N35" s="1">
        <f t="shared" si="3"/>
        <v>2.3484345898733492E+78</v>
      </c>
      <c r="O35" s="1">
        <f t="shared" si="4"/>
        <v>6.6064312634563568E+16</v>
      </c>
      <c r="P35" s="2">
        <f t="shared" si="5"/>
        <v>1.8920946026904804</v>
      </c>
      <c r="Q35" s="2">
        <f t="shared" si="6"/>
        <v>39.355979411099845</v>
      </c>
      <c r="R35" s="2">
        <f t="shared" si="7"/>
        <v>39.580036962270718</v>
      </c>
    </row>
    <row r="36" spans="1:18" x14ac:dyDescent="0.25">
      <c r="A36" t="s">
        <v>535</v>
      </c>
      <c r="B36">
        <v>6.5</v>
      </c>
      <c r="C36">
        <v>79</v>
      </c>
      <c r="D36">
        <v>3</v>
      </c>
      <c r="E36">
        <v>8.17</v>
      </c>
      <c r="F36" s="2">
        <v>0.37</v>
      </c>
      <c r="G36">
        <v>9.0500000000000007</v>
      </c>
      <c r="H36" s="2">
        <v>0.39</v>
      </c>
      <c r="I36" s="46">
        <v>2</v>
      </c>
      <c r="K36" s="1">
        <f t="shared" si="0"/>
        <v>2.5260163569425791E+39</v>
      </c>
      <c r="L36" s="1">
        <f t="shared" si="1"/>
        <v>4.000984940043182E+39</v>
      </c>
      <c r="M36" s="1">
        <f t="shared" si="2"/>
        <v>9.545567040741951E+30</v>
      </c>
      <c r="N36" s="1">
        <f t="shared" si="3"/>
        <v>2.1755323211338003E+78</v>
      </c>
      <c r="O36" s="1">
        <f t="shared" si="4"/>
        <v>2.387602778211572E+16</v>
      </c>
      <c r="P36" s="2">
        <f t="shared" si="5"/>
        <v>1.8976270912904414</v>
      </c>
      <c r="Q36" s="2">
        <f t="shared" si="6"/>
        <v>39.402436158454826</v>
      </c>
      <c r="R36" s="2">
        <f t="shared" si="7"/>
        <v>39.602166916670562</v>
      </c>
    </row>
    <row r="37" spans="1:18" x14ac:dyDescent="0.25">
      <c r="A37" t="s">
        <v>536</v>
      </c>
      <c r="B37">
        <v>48</v>
      </c>
      <c r="C37">
        <v>83</v>
      </c>
      <c r="D37">
        <v>8</v>
      </c>
      <c r="E37">
        <v>8.3000000000000007</v>
      </c>
      <c r="F37" s="2">
        <v>0.21</v>
      </c>
      <c r="G37">
        <v>9.0399999999999991</v>
      </c>
      <c r="H37" s="2">
        <v>0.24</v>
      </c>
      <c r="I37" s="46">
        <v>2</v>
      </c>
      <c r="K37" s="1">
        <f t="shared" si="0"/>
        <v>2.5778824070188672E+39</v>
      </c>
      <c r="L37" s="1">
        <f t="shared" si="1"/>
        <v>4.8749584782823712E+39</v>
      </c>
      <c r="M37" s="1">
        <f t="shared" si="2"/>
        <v>6.6826020931220303E+30</v>
      </c>
      <c r="N37" s="1">
        <f t="shared" si="3"/>
        <v>5.2765584771713745E+78</v>
      </c>
      <c r="O37" s="1">
        <f t="shared" si="4"/>
        <v>1.1815702585555883E+17</v>
      </c>
      <c r="P37" s="2">
        <f t="shared" si="5"/>
        <v>1.919078092376074</v>
      </c>
      <c r="Q37" s="2">
        <f t="shared" si="6"/>
        <v>39.411263102642053</v>
      </c>
      <c r="R37" s="2">
        <f t="shared" si="7"/>
        <v>39.68797092101309</v>
      </c>
    </row>
    <row r="38" spans="1:18" x14ac:dyDescent="0.25">
      <c r="A38" t="s">
        <v>537</v>
      </c>
      <c r="B38">
        <v>79</v>
      </c>
      <c r="C38">
        <v>83</v>
      </c>
      <c r="D38">
        <v>5</v>
      </c>
      <c r="E38">
        <v>9</v>
      </c>
      <c r="F38" s="2">
        <v>0.19</v>
      </c>
      <c r="G38">
        <v>9.33</v>
      </c>
      <c r="H38" s="2">
        <v>0.22</v>
      </c>
      <c r="I38" s="46">
        <v>2</v>
      </c>
      <c r="K38" s="1">
        <f t="shared" si="0"/>
        <v>6.241720392228904E+39</v>
      </c>
      <c r="L38" s="1">
        <f t="shared" si="1"/>
        <v>4.8749584782823712E+39</v>
      </c>
      <c r="M38" s="1">
        <f t="shared" si="2"/>
        <v>6.3818354542628692E+30</v>
      </c>
      <c r="N38" s="1">
        <f t="shared" si="3"/>
        <v>1.8680381294147894E+78</v>
      </c>
      <c r="O38" s="1">
        <f t="shared" si="4"/>
        <v>4.5866387071900696E+16</v>
      </c>
      <c r="P38" s="2">
        <f t="shared" si="5"/>
        <v>1.919078092376074</v>
      </c>
      <c r="Q38" s="2">
        <f t="shared" si="6"/>
        <v>39.79530430985448</v>
      </c>
      <c r="R38" s="2">
        <f t="shared" si="7"/>
        <v>39.68797092101309</v>
      </c>
    </row>
    <row r="39" spans="1:18" x14ac:dyDescent="0.25">
      <c r="A39" t="s">
        <v>538</v>
      </c>
      <c r="B39">
        <v>10.4</v>
      </c>
      <c r="C39">
        <v>84</v>
      </c>
      <c r="D39">
        <v>5</v>
      </c>
      <c r="E39">
        <v>8.9600000000000009</v>
      </c>
      <c r="F39" s="2">
        <v>0.15</v>
      </c>
      <c r="G39">
        <v>9.32</v>
      </c>
      <c r="H39" s="2">
        <v>0.2</v>
      </c>
      <c r="I39" s="46">
        <v>2</v>
      </c>
      <c r="K39" s="1">
        <f t="shared" si="0"/>
        <v>5.969899694444629E+39</v>
      </c>
      <c r="L39" s="1">
        <f t="shared" si="1"/>
        <v>5.1141763054069587E+39</v>
      </c>
      <c r="M39" s="1">
        <f t="shared" si="2"/>
        <v>5.9621894791335216E+30</v>
      </c>
      <c r="N39" s="1">
        <f t="shared" si="3"/>
        <v>7.3226251854611615E+77</v>
      </c>
      <c r="O39" s="1">
        <f t="shared" si="4"/>
        <v>2.0599432560057996E+16</v>
      </c>
      <c r="P39" s="2">
        <f t="shared" si="5"/>
        <v>1.9242792860618816</v>
      </c>
      <c r="Q39" s="2">
        <f t="shared" si="6"/>
        <v>39.775967034225658</v>
      </c>
      <c r="R39" s="2">
        <f t="shared" si="7"/>
        <v>39.708775695756323</v>
      </c>
    </row>
    <row r="40" spans="1:18" x14ac:dyDescent="0.25">
      <c r="A40" t="s">
        <v>539</v>
      </c>
      <c r="B40">
        <v>3.78</v>
      </c>
      <c r="C40">
        <v>84</v>
      </c>
      <c r="D40">
        <v>10</v>
      </c>
      <c r="E40">
        <v>7.99</v>
      </c>
      <c r="F40" s="2">
        <v>0.15</v>
      </c>
      <c r="G40">
        <v>8.7799999999999994</v>
      </c>
      <c r="H40" s="2">
        <v>0.2</v>
      </c>
      <c r="I40" s="46">
        <v>2</v>
      </c>
      <c r="K40" s="1">
        <f t="shared" si="0"/>
        <v>1.3929335282808272E+39</v>
      </c>
      <c r="L40" s="1">
        <f t="shared" si="1"/>
        <v>5.1141763054069587E+39</v>
      </c>
      <c r="M40" s="1">
        <f t="shared" si="2"/>
        <v>5.9621894791335216E+30</v>
      </c>
      <c r="N40" s="1">
        <f t="shared" si="3"/>
        <v>1.3847647806313402E+79</v>
      </c>
      <c r="O40" s="1">
        <f t="shared" si="4"/>
        <v>3.8955112391652941E+17</v>
      </c>
      <c r="P40" s="2">
        <f t="shared" si="5"/>
        <v>1.9242792860618816</v>
      </c>
      <c r="Q40" s="2">
        <f t="shared" si="6"/>
        <v>39.143930392095442</v>
      </c>
      <c r="R40" s="2">
        <f t="shared" si="7"/>
        <v>39.708775695756323</v>
      </c>
    </row>
    <row r="41" spans="1:18" x14ac:dyDescent="0.25">
      <c r="A41" t="s">
        <v>540</v>
      </c>
      <c r="B41">
        <v>5.7</v>
      </c>
      <c r="C41">
        <v>90</v>
      </c>
      <c r="D41">
        <v>3</v>
      </c>
      <c r="E41">
        <v>8.98</v>
      </c>
      <c r="F41" s="2">
        <v>0.38</v>
      </c>
      <c r="G41">
        <v>9.27</v>
      </c>
      <c r="H41" s="2">
        <v>0.4</v>
      </c>
      <c r="I41" s="46">
        <v>2</v>
      </c>
      <c r="K41" s="1">
        <f t="shared" si="0"/>
        <v>5.6034532763913551E+39</v>
      </c>
      <c r="L41" s="1">
        <f t="shared" si="1"/>
        <v>6.7395141467416516E+39</v>
      </c>
      <c r="M41" s="1">
        <f t="shared" si="2"/>
        <v>9.7679118601373745E+30</v>
      </c>
      <c r="N41" s="1">
        <f t="shared" si="3"/>
        <v>1.2906343011410732E+78</v>
      </c>
      <c r="O41" s="1">
        <f t="shared" si="4"/>
        <v>1.3526945456962176E+16</v>
      </c>
      <c r="P41" s="2">
        <f t="shared" si="5"/>
        <v>1.954242509439325</v>
      </c>
      <c r="Q41" s="2">
        <f t="shared" si="6"/>
        <v>39.748455754981094</v>
      </c>
      <c r="R41" s="2">
        <f t="shared" si="7"/>
        <v>39.828628589266096</v>
      </c>
    </row>
    <row r="42" spans="1:18" x14ac:dyDescent="0.25">
      <c r="A42" t="s">
        <v>541</v>
      </c>
      <c r="B42">
        <v>7.9</v>
      </c>
      <c r="C42">
        <v>95</v>
      </c>
      <c r="D42">
        <v>3</v>
      </c>
      <c r="E42">
        <v>8.92</v>
      </c>
      <c r="F42" s="2">
        <v>0.15</v>
      </c>
      <c r="G42">
        <v>9.01</v>
      </c>
      <c r="H42" s="2">
        <v>0.17</v>
      </c>
      <c r="I42" s="46">
        <v>2</v>
      </c>
      <c r="K42" s="1">
        <f t="shared" si="0"/>
        <v>3.6898934080459768E+39</v>
      </c>
      <c r="L42" s="1">
        <f t="shared" si="1"/>
        <v>8.3666764128707388E+39</v>
      </c>
      <c r="M42" s="1">
        <f t="shared" si="2"/>
        <v>5.7517729249145015E+30</v>
      </c>
      <c r="N42" s="1">
        <f t="shared" si="3"/>
        <v>2.1872299274217731E+79</v>
      </c>
      <c r="O42" s="1">
        <f t="shared" si="4"/>
        <v>6.6113625797325926E+17</v>
      </c>
      <c r="P42" s="2">
        <f t="shared" si="5"/>
        <v>1.9777236052888478</v>
      </c>
      <c r="Q42" s="2">
        <f t="shared" si="6"/>
        <v>39.567013820639801</v>
      </c>
      <c r="R42" s="2">
        <f t="shared" si="7"/>
        <v>39.922552972664185</v>
      </c>
    </row>
    <row r="43" spans="1:18" x14ac:dyDescent="0.25">
      <c r="A43" t="s">
        <v>542</v>
      </c>
      <c r="B43">
        <v>18.600000000000001</v>
      </c>
      <c r="C43">
        <v>108</v>
      </c>
      <c r="D43">
        <v>3</v>
      </c>
      <c r="E43">
        <v>9.5299999999999994</v>
      </c>
      <c r="F43" s="2">
        <v>0.16</v>
      </c>
      <c r="G43">
        <v>9.74</v>
      </c>
      <c r="H43" s="2">
        <v>0.2</v>
      </c>
      <c r="I43" s="46">
        <v>2</v>
      </c>
      <c r="K43" s="1">
        <f t="shared" si="0"/>
        <v>1.767086663166693E+40</v>
      </c>
      <c r="L43" s="1">
        <f t="shared" si="1"/>
        <v>1.3975056534683488E+40</v>
      </c>
      <c r="M43" s="1">
        <f t="shared" si="2"/>
        <v>6.0276352971151244E+30</v>
      </c>
      <c r="N43" s="1">
        <f t="shared" si="3"/>
        <v>1.3659012272964758E+79</v>
      </c>
      <c r="O43" s="1">
        <f t="shared" si="4"/>
        <v>3.7594590659757798E+17</v>
      </c>
      <c r="P43" s="2">
        <f t="shared" si="5"/>
        <v>2.0334237554869499</v>
      </c>
      <c r="Q43" s="2">
        <f t="shared" si="6"/>
        <v>40.247257849117481</v>
      </c>
      <c r="R43" s="2">
        <f t="shared" si="7"/>
        <v>40.145353573456596</v>
      </c>
    </row>
    <row r="44" spans="1:18" x14ac:dyDescent="0.25">
      <c r="A44" t="s">
        <v>543</v>
      </c>
      <c r="B44">
        <v>61</v>
      </c>
      <c r="C44">
        <v>111</v>
      </c>
      <c r="D44">
        <v>5</v>
      </c>
      <c r="E44">
        <v>9.41</v>
      </c>
      <c r="F44" s="2">
        <v>0.17</v>
      </c>
      <c r="G44">
        <v>9.6300000000000008</v>
      </c>
      <c r="H44" s="2">
        <v>0.21</v>
      </c>
      <c r="I44" s="46">
        <v>2</v>
      </c>
      <c r="K44" s="1">
        <f t="shared" si="0"/>
        <v>1.3597867459988072E+40</v>
      </c>
      <c r="L44" s="1">
        <f t="shared" si="1"/>
        <v>1.559374638613763E+40</v>
      </c>
      <c r="M44" s="1">
        <f t="shared" si="2"/>
        <v>6.1680369595620288E+30</v>
      </c>
      <c r="N44" s="1">
        <f t="shared" si="3"/>
        <v>3.9835326878479102E+78</v>
      </c>
      <c r="O44" s="1">
        <f t="shared" si="4"/>
        <v>1.0470669472587941E+17</v>
      </c>
      <c r="P44" s="2">
        <f t="shared" si="5"/>
        <v>2.0453229787866576</v>
      </c>
      <c r="Q44" s="2">
        <f t="shared" si="6"/>
        <v>40.133470803739378</v>
      </c>
      <c r="R44" s="2">
        <f t="shared" si="7"/>
        <v>40.192950466655425</v>
      </c>
    </row>
    <row r="45" spans="1:18" x14ac:dyDescent="0.25">
      <c r="A45" t="s">
        <v>544</v>
      </c>
      <c r="B45">
        <v>85</v>
      </c>
      <c r="C45">
        <v>118</v>
      </c>
      <c r="D45">
        <v>4</v>
      </c>
      <c r="E45">
        <v>9.5</v>
      </c>
      <c r="F45" s="2">
        <v>0.18</v>
      </c>
      <c r="G45">
        <v>9.8699999999999992</v>
      </c>
      <c r="H45" s="2">
        <v>0.22</v>
      </c>
      <c r="I45" s="46">
        <v>2</v>
      </c>
      <c r="K45" s="1">
        <f t="shared" si="0"/>
        <v>2.1035488503557507E+40</v>
      </c>
      <c r="L45" s="1">
        <f t="shared" si="1"/>
        <v>1.9915287518530849E+40</v>
      </c>
      <c r="M45" s="1">
        <f t="shared" si="2"/>
        <v>6.311708996848513E+30</v>
      </c>
      <c r="N45" s="1">
        <f t="shared" si="3"/>
        <v>1.2548502468546951E+78</v>
      </c>
      <c r="O45" s="1">
        <f t="shared" si="4"/>
        <v>3.1499086978149432E+16</v>
      </c>
      <c r="P45" s="2">
        <f t="shared" si="5"/>
        <v>2.0718820073061255</v>
      </c>
      <c r="Q45" s="2">
        <f t="shared" si="6"/>
        <v>40.32295260201672</v>
      </c>
      <c r="R45" s="2">
        <f t="shared" si="7"/>
        <v>40.299186580733299</v>
      </c>
    </row>
    <row r="46" spans="1:18" x14ac:dyDescent="0.25">
      <c r="A46" t="s">
        <v>545</v>
      </c>
      <c r="B46">
        <v>77</v>
      </c>
      <c r="C46">
        <v>120</v>
      </c>
      <c r="D46">
        <v>6</v>
      </c>
      <c r="E46">
        <v>9.6199999999999992</v>
      </c>
      <c r="F46" s="2">
        <v>0.18</v>
      </c>
      <c r="G46">
        <v>9.7100000000000009</v>
      </c>
      <c r="H46" s="2">
        <v>0.22</v>
      </c>
      <c r="I46" s="46">
        <v>2</v>
      </c>
      <c r="K46" s="1">
        <f t="shared" si="0"/>
        <v>1.8493274695580712E+40</v>
      </c>
      <c r="L46" s="1">
        <f t="shared" si="1"/>
        <v>2.1300192858837813E+40</v>
      </c>
      <c r="M46" s="1">
        <f t="shared" si="2"/>
        <v>6.311708996848513E+30</v>
      </c>
      <c r="N46" s="1">
        <f t="shared" si="3"/>
        <v>7.8787895752226164E+78</v>
      </c>
      <c r="O46" s="1">
        <f t="shared" si="4"/>
        <v>1.9777234672784944E+17</v>
      </c>
      <c r="P46" s="2">
        <f t="shared" si="5"/>
        <v>2.0791812460476247</v>
      </c>
      <c r="Q46" s="2">
        <f t="shared" si="6"/>
        <v>40.267013820639797</v>
      </c>
      <c r="R46" s="2">
        <f t="shared" si="7"/>
        <v>40.328383535699295</v>
      </c>
    </row>
    <row r="47" spans="1:18" x14ac:dyDescent="0.25">
      <c r="A47" t="s">
        <v>546</v>
      </c>
      <c r="B47">
        <v>80</v>
      </c>
      <c r="C47">
        <v>124</v>
      </c>
      <c r="D47">
        <v>5</v>
      </c>
      <c r="E47">
        <v>9.3800000000000008</v>
      </c>
      <c r="F47" s="2">
        <v>0.18</v>
      </c>
      <c r="G47">
        <v>9.65</v>
      </c>
      <c r="H47" s="2">
        <v>0.22</v>
      </c>
      <c r="I47" s="46">
        <v>2</v>
      </c>
      <c r="K47" s="1">
        <f t="shared" si="0"/>
        <v>1.3656501890696522E+40</v>
      </c>
      <c r="L47" s="1">
        <f t="shared" si="1"/>
        <v>2.4285401739736734E+40</v>
      </c>
      <c r="M47" s="1">
        <f t="shared" si="2"/>
        <v>6.311708996848513E+30</v>
      </c>
      <c r="N47" s="1">
        <f t="shared" si="3"/>
        <v>1.1297351200092704E+80</v>
      </c>
      <c r="O47" s="1">
        <f t="shared" si="4"/>
        <v>2.8358463407596334E+18</v>
      </c>
      <c r="P47" s="2">
        <f t="shared" si="5"/>
        <v>2.0934216851622351</v>
      </c>
      <c r="Q47" s="2">
        <f t="shared" si="6"/>
        <v>40.135339469175413</v>
      </c>
      <c r="R47" s="2">
        <f t="shared" si="7"/>
        <v>40.385345292157737</v>
      </c>
    </row>
    <row r="48" spans="1:18" x14ac:dyDescent="0.25">
      <c r="A48" t="s">
        <v>547</v>
      </c>
      <c r="B48">
        <v>3.18</v>
      </c>
      <c r="C48">
        <v>134</v>
      </c>
      <c r="D48">
        <v>3</v>
      </c>
      <c r="E48">
        <v>9.61</v>
      </c>
      <c r="F48" s="2">
        <v>0.15</v>
      </c>
      <c r="G48">
        <v>9.77</v>
      </c>
      <c r="H48" s="2">
        <v>0.2</v>
      </c>
      <c r="I48" s="46">
        <v>2</v>
      </c>
      <c r="K48" s="1">
        <f t="shared" si="0"/>
        <v>1.9815890254479659E+40</v>
      </c>
      <c r="L48" s="1">
        <f t="shared" si="1"/>
        <v>3.3119040402914867E+40</v>
      </c>
      <c r="M48" s="1">
        <f t="shared" si="2"/>
        <v>5.9621894791335216E+30</v>
      </c>
      <c r="N48" s="1">
        <f t="shared" si="3"/>
        <v>1.7697380387181167E+80</v>
      </c>
      <c r="O48" s="1">
        <f t="shared" si="4"/>
        <v>4.9784876945394637E+18</v>
      </c>
      <c r="P48" s="2">
        <f t="shared" si="5"/>
        <v>2.1271047983648077</v>
      </c>
      <c r="Q48" s="2">
        <f t="shared" si="6"/>
        <v>40.297013588349387</v>
      </c>
      <c r="R48" s="2">
        <f t="shared" si="7"/>
        <v>40.520077744968027</v>
      </c>
    </row>
    <row r="49" spans="1:18" x14ac:dyDescent="0.25">
      <c r="A49" t="s">
        <v>548</v>
      </c>
      <c r="B49">
        <v>14.5</v>
      </c>
      <c r="C49">
        <v>149</v>
      </c>
      <c r="D49">
        <v>3</v>
      </c>
      <c r="E49">
        <v>10.119999999999999</v>
      </c>
      <c r="F49" s="2">
        <v>0.15</v>
      </c>
      <c r="G49">
        <v>10.29</v>
      </c>
      <c r="H49" s="2">
        <v>0.2</v>
      </c>
      <c r="I49" s="46">
        <v>2</v>
      </c>
      <c r="K49" s="1">
        <f t="shared" si="0"/>
        <v>6.5005803720412789E+40</v>
      </c>
      <c r="L49" s="1">
        <f t="shared" si="1"/>
        <v>5.0629498449135573E+40</v>
      </c>
      <c r="M49" s="1">
        <f t="shared" si="2"/>
        <v>5.9621894791335216E+30</v>
      </c>
      <c r="N49" s="1">
        <f t="shared" si="3"/>
        <v>2.0667815325295306E+80</v>
      </c>
      <c r="O49" s="1">
        <f t="shared" si="4"/>
        <v>5.8141070609821389E+18</v>
      </c>
      <c r="P49" s="2">
        <f t="shared" si="5"/>
        <v>2.173186268412274</v>
      </c>
      <c r="Q49" s="2">
        <f t="shared" si="6"/>
        <v>40.812952132200245</v>
      </c>
      <c r="R49" s="2">
        <f t="shared" si="7"/>
        <v>40.704403625157894</v>
      </c>
    </row>
    <row r="50" spans="1:18" x14ac:dyDescent="0.25">
      <c r="O50" s="1">
        <f>SUM(O3:O49)</f>
        <v>1.6671019039641053E+19</v>
      </c>
    </row>
    <row r="51" spans="1:18" x14ac:dyDescent="0.25">
      <c r="O51" s="1">
        <f>SUM(O3:O49)/COUNT(O3:O49)</f>
        <v>3.5470253275832026E+17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D13A-7A4C-47B2-BC00-A1DAEB191D75}">
  <dimension ref="A1:U80"/>
  <sheetViews>
    <sheetView workbookViewId="0"/>
  </sheetViews>
  <sheetFormatPr defaultRowHeight="15" x14ac:dyDescent="0.25"/>
  <cols>
    <col min="8" max="8" width="10.7109375" style="2" customWidth="1"/>
    <col min="9" max="9" width="9.140625" style="2"/>
    <col min="10" max="10" width="9.140625" style="2" customWidth="1"/>
    <col min="11" max="15" width="9.140625" style="2"/>
    <col min="17" max="17" width="9.140625" style="6"/>
    <col min="18" max="18" width="12" style="6" bestFit="1" customWidth="1"/>
  </cols>
  <sheetData>
    <row r="1" spans="1:21" ht="60" x14ac:dyDescent="0.25">
      <c r="A1" s="4" t="s">
        <v>638</v>
      </c>
      <c r="B1" s="5" t="s">
        <v>639</v>
      </c>
      <c r="C1" s="4" t="s">
        <v>640</v>
      </c>
      <c r="D1" s="4" t="s">
        <v>641</v>
      </c>
      <c r="E1" s="4" t="s">
        <v>642</v>
      </c>
      <c r="F1" s="4" t="s">
        <v>643</v>
      </c>
      <c r="G1" s="7" t="s">
        <v>644</v>
      </c>
      <c r="H1" s="7" t="s">
        <v>647</v>
      </c>
      <c r="I1" s="7" t="s">
        <v>648</v>
      </c>
      <c r="J1" s="7" t="s">
        <v>649</v>
      </c>
      <c r="K1" s="7" t="s">
        <v>650</v>
      </c>
      <c r="L1" s="7" t="s">
        <v>645</v>
      </c>
      <c r="M1" s="7" t="s">
        <v>646</v>
      </c>
      <c r="N1" s="7" t="s">
        <v>651</v>
      </c>
      <c r="O1" s="7" t="s">
        <v>652</v>
      </c>
    </row>
    <row r="2" spans="1:21" x14ac:dyDescent="0.25">
      <c r="A2" s="1">
        <f>100000000*SecondsPerYear</f>
        <v>3155690000000000</v>
      </c>
      <c r="B2" s="6">
        <f t="shared" ref="B2:B39" si="0">A2/Gyr</f>
        <v>0.1</v>
      </c>
      <c r="C2" s="1">
        <f t="shared" ref="C2:C39" si="1">1/ScaleFactor-1</f>
        <v>151.41167130453172</v>
      </c>
      <c r="D2" s="1">
        <f t="shared" ref="D2:D39" si="2">time*(-2*InitialTangentVelocity+UniverseAcceleration*time)/(Age*(-2*InitialTangentVelocity+UniverseAcceleration*Age))</f>
        <v>6.5611773130019252E-3</v>
      </c>
      <c r="E2" s="1">
        <f t="shared" ref="E2:E39" si="3">(2*InitialTangentVelocity-2*UniverseAcceleration*time)/(2*InitialTangentVelocity*Age-UniverseAcceleration*Age^2)</f>
        <v>2.0787812944901045E-18</v>
      </c>
      <c r="F2" s="1">
        <f t="shared" ref="F2:F39" si="4">(2*InitialTangentVelocity-2*UniverseAcceleration*time)/(2*InitialTangentVelocity*time-UniverseAcceleration*time^2)</f>
        <v>3.1683053136983474E-16</v>
      </c>
      <c r="G2" s="2">
        <f t="shared" ref="G2:G39" si="5">F2*Mpc/1000</f>
        <v>9776.3686730738555</v>
      </c>
      <c r="H2" s="2">
        <f t="shared" ref="H2:H39" si="6">(2*InitialTangentVelocity*time-UniverseAcceleration*time^2)*(ScaleFactor/Gpc)</f>
        <v>4.264678755620007E-4</v>
      </c>
      <c r="I2" s="2">
        <f>-H2</f>
        <v>-4.264678755620007E-4</v>
      </c>
      <c r="J2" s="2">
        <f t="shared" ref="J2:J39" si="7">(RedShift*Age*(2*InitialTangentVelocity-UniverseAcceleration*Age))/(2+RedShift)*(ScaleFactor/Gpc)</f>
        <v>6.4151305704944844E-2</v>
      </c>
      <c r="K2" s="2">
        <f t="shared" ref="K2:K39" si="8">-J2</f>
        <v>-6.4151305704944844E-2</v>
      </c>
      <c r="L2" s="2">
        <f t="shared" ref="L2:L39" si="9">((InitialTangentVelocity+UniverseAcceleration*time)/HubbleFunction)*(ScaleFactor/Gpc)</f>
        <v>2.1338839868851418E-4</v>
      </c>
      <c r="M2" s="2">
        <f t="shared" ref="M2:M39" si="10">-L2</f>
        <v>-2.1338839868851418E-4</v>
      </c>
      <c r="N2" s="2">
        <f t="shared" ref="N2:N39" si="11">$H$23*ScaleFactor</f>
        <v>6.4998681672097575E-2</v>
      </c>
      <c r="O2" s="2">
        <f>-N2</f>
        <v>-6.4998681672097575E-2</v>
      </c>
      <c r="Q2" s="6">
        <v>-100</v>
      </c>
      <c r="R2" s="6">
        <f>Age/Gyr</f>
        <v>15.68369696997522</v>
      </c>
      <c r="T2">
        <v>0</v>
      </c>
      <c r="U2">
        <v>100</v>
      </c>
    </row>
    <row r="3" spans="1:21" x14ac:dyDescent="0.25">
      <c r="A3" s="1">
        <f>A2+200000000*SecondsPerYear</f>
        <v>9467070000000000</v>
      </c>
      <c r="B3" s="6">
        <f t="shared" si="0"/>
        <v>0.3</v>
      </c>
      <c r="C3" s="1">
        <f t="shared" si="1"/>
        <v>49.822294250949682</v>
      </c>
      <c r="D3" s="1">
        <f t="shared" si="2"/>
        <v>1.9676404120251099E-2</v>
      </c>
      <c r="E3" s="1">
        <f t="shared" si="3"/>
        <v>2.0772754814445314E-18</v>
      </c>
      <c r="F3" s="1">
        <f t="shared" si="4"/>
        <v>1.0557190575825714E-16</v>
      </c>
      <c r="G3" s="2">
        <f t="shared" si="5"/>
        <v>3257.6086267612691</v>
      </c>
      <c r="H3" s="2">
        <f t="shared" si="6"/>
        <v>3.8354315904350865E-3</v>
      </c>
      <c r="I3" s="2">
        <f t="shared" ref="I3:I39" si="12">-H3</f>
        <v>-3.8354315904350865E-3</v>
      </c>
      <c r="J3" s="2">
        <f t="shared" si="7"/>
        <v>0.18740259214187865</v>
      </c>
      <c r="K3" s="2">
        <f t="shared" si="8"/>
        <v>-0.18740259214187865</v>
      </c>
      <c r="L3" s="2">
        <f t="shared" si="9"/>
        <v>1.9218862408150619E-3</v>
      </c>
      <c r="M3" s="2">
        <f t="shared" si="10"/>
        <v>-1.9218862408150619E-3</v>
      </c>
      <c r="N3" s="2">
        <f t="shared" si="11"/>
        <v>0.19492543286847994</v>
      </c>
      <c r="O3" s="2">
        <f t="shared" ref="O3:O39" si="13">-N3</f>
        <v>-0.19492543286847994</v>
      </c>
      <c r="Q3" s="6">
        <v>100</v>
      </c>
      <c r="R3" s="6">
        <f>Age/Gyr</f>
        <v>15.68369696997522</v>
      </c>
      <c r="T3">
        <v>0</v>
      </c>
      <c r="U3">
        <v>0</v>
      </c>
    </row>
    <row r="4" spans="1:21" x14ac:dyDescent="0.25">
      <c r="A4" s="1">
        <f t="shared" ref="A4:A11" si="14">A3+100000000*SecondsPerYear</f>
        <v>1.262276E+16</v>
      </c>
      <c r="B4" s="6">
        <f t="shared" si="0"/>
        <v>0.4</v>
      </c>
      <c r="C4" s="1">
        <f t="shared" si="1"/>
        <v>37.123625870018145</v>
      </c>
      <c r="D4" s="1">
        <f t="shared" si="2"/>
        <v>2.6230453614498345E-2</v>
      </c>
      <c r="E4" s="1">
        <f t="shared" si="3"/>
        <v>2.0765225749217447E-18</v>
      </c>
      <c r="F4" s="1">
        <f t="shared" si="4"/>
        <v>7.9164569756963311E-17</v>
      </c>
      <c r="G4" s="2">
        <f t="shared" si="5"/>
        <v>2442.7633802940773</v>
      </c>
      <c r="H4" s="2">
        <f t="shared" si="6"/>
        <v>6.8160752410783496E-3</v>
      </c>
      <c r="I4" s="2">
        <f t="shared" si="12"/>
        <v>-6.8160752410783496E-3</v>
      </c>
      <c r="J4" s="2">
        <f t="shared" si="7"/>
        <v>0.24656978971970697</v>
      </c>
      <c r="K4" s="2">
        <f t="shared" si="8"/>
        <v>-0.24656978971970697</v>
      </c>
      <c r="L4" s="2">
        <f t="shared" si="9"/>
        <v>3.4179231234868256E-3</v>
      </c>
      <c r="M4" s="2">
        <f t="shared" si="10"/>
        <v>-3.4179231234868256E-3</v>
      </c>
      <c r="N4" s="2">
        <f t="shared" si="11"/>
        <v>0.25985350239276472</v>
      </c>
      <c r="O4" s="2">
        <f t="shared" si="13"/>
        <v>-0.25985350239276472</v>
      </c>
    </row>
    <row r="5" spans="1:21" x14ac:dyDescent="0.25">
      <c r="A5" s="1">
        <f t="shared" si="14"/>
        <v>1.577845E+16</v>
      </c>
      <c r="B5" s="6">
        <f t="shared" si="0"/>
        <v>0.5</v>
      </c>
      <c r="C5" s="1">
        <f t="shared" si="1"/>
        <v>29.504426843317702</v>
      </c>
      <c r="D5" s="1">
        <f t="shared" si="2"/>
        <v>3.2782127169160694E-2</v>
      </c>
      <c r="E5" s="1">
        <f t="shared" si="3"/>
        <v>2.0757696683989579E-18</v>
      </c>
      <c r="F5" s="1">
        <f t="shared" si="4"/>
        <v>6.3320163993253845E-17</v>
      </c>
      <c r="G5" s="2">
        <f t="shared" si="5"/>
        <v>1953.8561039590666</v>
      </c>
      <c r="H5" s="2">
        <f t="shared" si="6"/>
        <v>1.0646259187314863E-2</v>
      </c>
      <c r="I5" s="2">
        <f t="shared" si="12"/>
        <v>-1.0646259187314863E-2</v>
      </c>
      <c r="J5" s="2">
        <f t="shared" si="7"/>
        <v>0.3041413741425848</v>
      </c>
      <c r="K5" s="2">
        <f t="shared" si="8"/>
        <v>-0.3041413741425848</v>
      </c>
      <c r="L5" s="2">
        <f t="shared" si="9"/>
        <v>5.3424372223106389E-3</v>
      </c>
      <c r="M5" s="2">
        <f t="shared" si="10"/>
        <v>-5.3424372223106389E-3</v>
      </c>
      <c r="N5" s="2">
        <f t="shared" si="11"/>
        <v>0.32475803453444513</v>
      </c>
      <c r="O5" s="2">
        <f t="shared" si="13"/>
        <v>-0.32475803453444513</v>
      </c>
    </row>
    <row r="6" spans="1:21" x14ac:dyDescent="0.25">
      <c r="A6" s="1">
        <f t="shared" si="14"/>
        <v>1.893414E+16</v>
      </c>
      <c r="B6" s="6">
        <f t="shared" si="0"/>
        <v>0.6</v>
      </c>
      <c r="C6" s="1">
        <f t="shared" si="1"/>
        <v>24.424962494639765</v>
      </c>
      <c r="D6" s="1">
        <f t="shared" si="2"/>
        <v>3.9331424784238157E-2</v>
      </c>
      <c r="E6" s="1">
        <f t="shared" si="3"/>
        <v>2.0750167618761708E-18</v>
      </c>
      <c r="F6" s="1">
        <f t="shared" si="4"/>
        <v>5.2757223346450501E-17</v>
      </c>
      <c r="G6" s="2">
        <f t="shared" si="5"/>
        <v>1627.9178126319487</v>
      </c>
      <c r="H6" s="2">
        <f t="shared" si="6"/>
        <v>1.5325058173661704E-2</v>
      </c>
      <c r="I6" s="2">
        <f t="shared" si="12"/>
        <v>-1.5325058173661704E-2</v>
      </c>
      <c r="J6" s="2">
        <f t="shared" si="7"/>
        <v>0.36014880546652006</v>
      </c>
      <c r="K6" s="2">
        <f t="shared" si="8"/>
        <v>-0.36014880546652006</v>
      </c>
      <c r="L6" s="2">
        <f t="shared" si="9"/>
        <v>7.6958926812066503E-3</v>
      </c>
      <c r="M6" s="2">
        <f t="shared" si="10"/>
        <v>-7.6958926812066503E-3</v>
      </c>
      <c r="N6" s="2">
        <f t="shared" si="11"/>
        <v>0.3896390292935214</v>
      </c>
      <c r="O6" s="2">
        <f t="shared" si="13"/>
        <v>-0.3896390292935214</v>
      </c>
    </row>
    <row r="7" spans="1:21" x14ac:dyDescent="0.25">
      <c r="A7" s="1">
        <f t="shared" si="14"/>
        <v>2.208983E+16</v>
      </c>
      <c r="B7" s="6">
        <f t="shared" si="0"/>
        <v>0.7</v>
      </c>
      <c r="C7" s="1">
        <f t="shared" si="1"/>
        <v>20.796775105609797</v>
      </c>
      <c r="D7" s="1">
        <f t="shared" si="2"/>
        <v>4.5878346459730726E-2</v>
      </c>
      <c r="E7" s="1">
        <f t="shared" si="3"/>
        <v>2.0742638553533844E-18</v>
      </c>
      <c r="F7" s="1">
        <f t="shared" si="4"/>
        <v>4.5212262764832844E-17</v>
      </c>
      <c r="G7" s="2">
        <f t="shared" si="5"/>
        <v>1395.1046555451351</v>
      </c>
      <c r="H7" s="2">
        <f t="shared" si="6"/>
        <v>2.0851547280176342E-2</v>
      </c>
      <c r="I7" s="2">
        <f t="shared" si="12"/>
        <v>-2.0851547280176342E-2</v>
      </c>
      <c r="J7" s="2">
        <f t="shared" si="7"/>
        <v>0.41462273395150895</v>
      </c>
      <c r="K7" s="2">
        <f t="shared" si="8"/>
        <v>-0.41462273395150895</v>
      </c>
      <c r="L7" s="2">
        <f t="shared" si="9"/>
        <v>1.0478753814919096E-2</v>
      </c>
      <c r="M7" s="2">
        <f t="shared" si="10"/>
        <v>-1.0478753814919096E-2</v>
      </c>
      <c r="N7" s="2">
        <f t="shared" si="11"/>
        <v>0.45449648666999337</v>
      </c>
      <c r="O7" s="2">
        <f t="shared" si="13"/>
        <v>-0.45449648666999337</v>
      </c>
    </row>
    <row r="8" spans="1:21" x14ac:dyDescent="0.25">
      <c r="A8" s="1">
        <f t="shared" si="14"/>
        <v>2.524552E+16</v>
      </c>
      <c r="B8" s="6">
        <f t="shared" si="0"/>
        <v>0.8</v>
      </c>
      <c r="C8" s="1">
        <f t="shared" si="1"/>
        <v>18.075635817041018</v>
      </c>
      <c r="D8" s="1">
        <f t="shared" si="2"/>
        <v>5.2422892195638407E-2</v>
      </c>
      <c r="E8" s="1">
        <f t="shared" si="3"/>
        <v>2.0735109488305973E-18</v>
      </c>
      <c r="F8" s="1">
        <f t="shared" si="4"/>
        <v>3.9553539722539649E-17</v>
      </c>
      <c r="G8" s="2">
        <f t="shared" si="5"/>
        <v>1220.4947073148001</v>
      </c>
      <c r="H8" s="2">
        <f t="shared" si="6"/>
        <v>2.7224801922456646E-2</v>
      </c>
      <c r="I8" s="2">
        <f t="shared" si="12"/>
        <v>-2.7224801922456646E-2</v>
      </c>
      <c r="J8" s="2">
        <f t="shared" si="7"/>
        <v>0.46759302595056551</v>
      </c>
      <c r="K8" s="2">
        <f t="shared" si="8"/>
        <v>-0.46759302595056551</v>
      </c>
      <c r="L8" s="2">
        <f t="shared" si="9"/>
        <v>1.3691485109631031E-2</v>
      </c>
      <c r="M8" s="2">
        <f t="shared" si="10"/>
        <v>-1.3691485109631031E-2</v>
      </c>
      <c r="N8" s="2">
        <f t="shared" si="11"/>
        <v>0.5193304066638611</v>
      </c>
      <c r="O8" s="2">
        <f t="shared" si="13"/>
        <v>-0.5193304066638611</v>
      </c>
    </row>
    <row r="9" spans="1:21" x14ac:dyDescent="0.25">
      <c r="A9" s="1">
        <f t="shared" si="14"/>
        <v>2.840121E+16</v>
      </c>
      <c r="B9" s="6">
        <f t="shared" si="0"/>
        <v>0.9</v>
      </c>
      <c r="C9" s="1">
        <f t="shared" si="1"/>
        <v>15.959195262718996</v>
      </c>
      <c r="D9" s="1">
        <f t="shared" si="2"/>
        <v>5.8965061991961179E-2</v>
      </c>
      <c r="E9" s="1">
        <f t="shared" si="3"/>
        <v>2.0727580423078109E-18</v>
      </c>
      <c r="F9" s="1">
        <f t="shared" si="4"/>
        <v>3.5152308371869329E-17</v>
      </c>
      <c r="G9" s="2">
        <f t="shared" si="5"/>
        <v>1084.6868982832348</v>
      </c>
      <c r="H9" s="2">
        <f t="shared" si="6"/>
        <v>3.4443897851640842E-2</v>
      </c>
      <c r="I9" s="2">
        <f t="shared" si="12"/>
        <v>-3.4443897851640842E-2</v>
      </c>
      <c r="J9" s="2">
        <f t="shared" si="7"/>
        <v>0.51908878881186027</v>
      </c>
      <c r="K9" s="2">
        <f t="shared" si="8"/>
        <v>-0.51908878881186027</v>
      </c>
      <c r="L9" s="2">
        <f t="shared" si="9"/>
        <v>1.7334551223580387E-2</v>
      </c>
      <c r="M9" s="2">
        <f t="shared" si="10"/>
        <v>-1.7334551223580387E-2</v>
      </c>
      <c r="N9" s="2">
        <f t="shared" si="11"/>
        <v>0.58414078927512447</v>
      </c>
      <c r="O9" s="2">
        <f t="shared" si="13"/>
        <v>-0.58414078927512447</v>
      </c>
    </row>
    <row r="10" spans="1:21" x14ac:dyDescent="0.25">
      <c r="A10" s="1">
        <f t="shared" si="14"/>
        <v>3.15569E+16</v>
      </c>
      <c r="B10" s="6">
        <f t="shared" si="0"/>
        <v>1</v>
      </c>
      <c r="C10" s="1">
        <f t="shared" si="1"/>
        <v>14.266043822915458</v>
      </c>
      <c r="D10" s="1">
        <f t="shared" si="2"/>
        <v>6.550485584869907E-2</v>
      </c>
      <c r="E10" s="1">
        <f t="shared" si="3"/>
        <v>2.0720051357850242E-18</v>
      </c>
      <c r="F10" s="1">
        <f t="shared" si="4"/>
        <v>3.1631321204200065E-17</v>
      </c>
      <c r="G10" s="2">
        <f t="shared" si="5"/>
        <v>976.04058665578748</v>
      </c>
      <c r="H10" s="2">
        <f t="shared" si="6"/>
        <v>4.2507911154407628E-2</v>
      </c>
      <c r="I10" s="2">
        <f t="shared" si="12"/>
        <v>-4.2507911154407628E-2</v>
      </c>
      <c r="J10" s="2">
        <f t="shared" si="7"/>
        <v>0.56913839483758033</v>
      </c>
      <c r="K10" s="2">
        <f t="shared" si="8"/>
        <v>-0.56913839483758033</v>
      </c>
      <c r="L10" s="2">
        <f t="shared" si="9"/>
        <v>2.1408416987677432E-2</v>
      </c>
      <c r="M10" s="2">
        <f t="shared" si="10"/>
        <v>-2.1408416987677432E-2</v>
      </c>
      <c r="N10" s="2">
        <f t="shared" si="11"/>
        <v>0.64892763450378355</v>
      </c>
      <c r="O10" s="2">
        <f t="shared" si="13"/>
        <v>-0.64892763450378355</v>
      </c>
    </row>
    <row r="11" spans="1:21" x14ac:dyDescent="0.25">
      <c r="A11" s="1">
        <f t="shared" si="14"/>
        <v>3.471259E+16</v>
      </c>
      <c r="B11" s="6">
        <f t="shared" si="0"/>
        <v>1.1000000000000001</v>
      </c>
      <c r="C11" s="1">
        <f t="shared" si="1"/>
        <v>12.880739012349141</v>
      </c>
      <c r="D11" s="1">
        <f t="shared" si="2"/>
        <v>7.204227376585208E-2</v>
      </c>
      <c r="E11" s="1">
        <f t="shared" si="3"/>
        <v>2.071252229262237E-18</v>
      </c>
      <c r="F11" s="1">
        <f t="shared" si="4"/>
        <v>2.8750511623135466E-17</v>
      </c>
      <c r="G11" s="2">
        <f t="shared" si="5"/>
        <v>887.14809129038508</v>
      </c>
      <c r="H11" s="2">
        <f t="shared" si="6"/>
        <v>5.1415918252976013E-2</v>
      </c>
      <c r="I11" s="2">
        <f t="shared" si="12"/>
        <v>-5.1415918252976013E-2</v>
      </c>
      <c r="J11" s="2">
        <f t="shared" si="7"/>
        <v>0.61776950434093802</v>
      </c>
      <c r="K11" s="2">
        <f t="shared" si="8"/>
        <v>-0.61776950434093802</v>
      </c>
      <c r="L11" s="2">
        <f t="shared" si="9"/>
        <v>2.5913547406123453E-2</v>
      </c>
      <c r="M11" s="2">
        <f t="shared" si="10"/>
        <v>-2.5913547406123453E-2</v>
      </c>
      <c r="N11" s="2">
        <f t="shared" si="11"/>
        <v>0.71369094234983854</v>
      </c>
      <c r="O11" s="2">
        <f t="shared" si="13"/>
        <v>-0.71369094234983854</v>
      </c>
    </row>
    <row r="12" spans="1:21" x14ac:dyDescent="0.25">
      <c r="A12" s="1">
        <f t="shared" ref="A12:A19" si="15">A11+1000000000*SecondsPerYear</f>
        <v>6.626949E+16</v>
      </c>
      <c r="B12" s="6">
        <f t="shared" si="0"/>
        <v>2.1</v>
      </c>
      <c r="C12" s="1">
        <f t="shared" si="1"/>
        <v>6.2840757960576301</v>
      </c>
      <c r="D12" s="1">
        <f t="shared" si="2"/>
        <v>0.13728577626021291</v>
      </c>
      <c r="E12" s="1">
        <f t="shared" si="3"/>
        <v>2.0637231640343696E-18</v>
      </c>
      <c r="F12" s="1">
        <f t="shared" si="4"/>
        <v>1.503231594890622E-17</v>
      </c>
      <c r="G12" s="2">
        <f t="shared" si="5"/>
        <v>463.84880299016345</v>
      </c>
      <c r="H12" s="2">
        <f t="shared" si="6"/>
        <v>0.18671270080732036</v>
      </c>
      <c r="I12" s="2">
        <f t="shared" si="12"/>
        <v>-0.18671270080732036</v>
      </c>
      <c r="J12" s="2">
        <f t="shared" si="7"/>
        <v>1.0316815601247569</v>
      </c>
      <c r="K12" s="2">
        <f t="shared" si="8"/>
        <v>-1.0316815601247569</v>
      </c>
      <c r="L12" s="2">
        <f t="shared" si="9"/>
        <v>9.4786833652708555E-2</v>
      </c>
      <c r="M12" s="2">
        <f t="shared" si="10"/>
        <v>-9.4786833652708555E-2</v>
      </c>
      <c r="N12" s="2">
        <f t="shared" si="11"/>
        <v>1.360029464767152</v>
      </c>
      <c r="O12" s="2">
        <f t="shared" si="13"/>
        <v>-1.360029464767152</v>
      </c>
    </row>
    <row r="13" spans="1:21" x14ac:dyDescent="0.25">
      <c r="A13" s="1">
        <f t="shared" si="15"/>
        <v>9.782639E+16</v>
      </c>
      <c r="B13" s="6">
        <f t="shared" si="0"/>
        <v>3.1</v>
      </c>
      <c r="C13" s="1">
        <f t="shared" si="1"/>
        <v>3.9433569205181476</v>
      </c>
      <c r="D13" s="1">
        <f t="shared" si="2"/>
        <v>0.2022916847960845</v>
      </c>
      <c r="E13" s="1">
        <f t="shared" si="3"/>
        <v>2.0561940988065021E-18</v>
      </c>
      <c r="F13" s="1">
        <f t="shared" si="4"/>
        <v>1.0164501328263699E-17</v>
      </c>
      <c r="G13" s="2">
        <f t="shared" si="5"/>
        <v>313.64373860503514</v>
      </c>
      <c r="H13" s="2">
        <f t="shared" si="6"/>
        <v>0.40539541877020363</v>
      </c>
      <c r="I13" s="2">
        <f t="shared" si="12"/>
        <v>-0.40539541877020363</v>
      </c>
      <c r="J13" s="2">
        <f t="shared" si="7"/>
        <v>1.3296430894179978</v>
      </c>
      <c r="K13" s="2">
        <f t="shared" si="8"/>
        <v>-1.3296430894179978</v>
      </c>
      <c r="L13" s="2">
        <f t="shared" si="9"/>
        <v>0.2072994006911856</v>
      </c>
      <c r="M13" s="2">
        <f t="shared" si="10"/>
        <v>-0.2072994006911856</v>
      </c>
      <c r="N13" s="2">
        <f t="shared" si="11"/>
        <v>2.0040142489240389</v>
      </c>
      <c r="O13" s="2">
        <f t="shared" si="13"/>
        <v>-2.0040142489240389</v>
      </c>
    </row>
    <row r="14" spans="1:21" x14ac:dyDescent="0.25">
      <c r="A14" s="1">
        <f t="shared" si="15"/>
        <v>1.2938329E+17</v>
      </c>
      <c r="B14" s="6">
        <f t="shared" si="0"/>
        <v>4.0999999999999996</v>
      </c>
      <c r="C14" s="1">
        <f t="shared" si="1"/>
        <v>2.7444769053622382</v>
      </c>
      <c r="D14" s="1">
        <f t="shared" si="2"/>
        <v>0.26705999937346675</v>
      </c>
      <c r="E14" s="1">
        <f t="shared" si="3"/>
        <v>2.0486650335786343E-18</v>
      </c>
      <c r="F14" s="1">
        <f t="shared" si="4"/>
        <v>7.6711789050583505E-18</v>
      </c>
      <c r="G14" s="2">
        <f t="shared" si="5"/>
        <v>236.70784759507501</v>
      </c>
      <c r="H14" s="2">
        <f t="shared" si="6"/>
        <v>0.70654603077717748</v>
      </c>
      <c r="I14" s="2">
        <f t="shared" si="12"/>
        <v>-0.70654603077717748</v>
      </c>
      <c r="J14" s="2">
        <f t="shared" si="7"/>
        <v>1.530392613611165</v>
      </c>
      <c r="K14" s="2">
        <f t="shared" si="8"/>
        <v>-1.530392613611165</v>
      </c>
      <c r="L14" s="2">
        <f t="shared" si="9"/>
        <v>0.36391921052863646</v>
      </c>
      <c r="M14" s="2">
        <f t="shared" si="10"/>
        <v>-0.36391921052863646</v>
      </c>
      <c r="N14" s="2">
        <f t="shared" si="11"/>
        <v>2.6456452948204983</v>
      </c>
      <c r="O14" s="2">
        <f t="shared" si="13"/>
        <v>-2.6456452948204983</v>
      </c>
    </row>
    <row r="15" spans="1:21" x14ac:dyDescent="0.25">
      <c r="A15" s="1">
        <f t="shared" si="15"/>
        <v>1.6094019E+17</v>
      </c>
      <c r="B15" s="6">
        <f t="shared" si="0"/>
        <v>5.0999999999999996</v>
      </c>
      <c r="C15" s="1">
        <f t="shared" si="1"/>
        <v>2.0157659418907787</v>
      </c>
      <c r="D15" s="1">
        <f t="shared" si="2"/>
        <v>0.33159071999235967</v>
      </c>
      <c r="E15" s="1">
        <f t="shared" si="3"/>
        <v>2.0411359683507668E-18</v>
      </c>
      <c r="F15" s="1">
        <f t="shared" si="4"/>
        <v>6.1555883361204964E-18</v>
      </c>
      <c r="G15" s="2">
        <f t="shared" si="5"/>
        <v>189.94160920476517</v>
      </c>
      <c r="H15" s="2">
        <f t="shared" si="6"/>
        <v>1.0892498508677368</v>
      </c>
      <c r="I15" s="2">
        <f t="shared" si="12"/>
        <v>-1.0892498508677368</v>
      </c>
      <c r="J15" s="2">
        <f t="shared" si="7"/>
        <v>1.6489096226214253</v>
      </c>
      <c r="K15" s="2">
        <f t="shared" si="8"/>
        <v>-1.6489096226214253</v>
      </c>
      <c r="L15" s="2">
        <f t="shared" si="9"/>
        <v>0.56511609792278339</v>
      </c>
      <c r="M15" s="2">
        <f t="shared" si="10"/>
        <v>-0.56511609792278339</v>
      </c>
      <c r="N15" s="2">
        <f t="shared" si="11"/>
        <v>3.2849226024565303</v>
      </c>
      <c r="O15" s="2">
        <f t="shared" si="13"/>
        <v>-3.2849226024565303</v>
      </c>
    </row>
    <row r="16" spans="1:21" x14ac:dyDescent="0.25">
      <c r="A16" s="1">
        <f t="shared" si="15"/>
        <v>1.9249709E+17</v>
      </c>
      <c r="B16" s="6">
        <f t="shared" si="0"/>
        <v>6.1</v>
      </c>
      <c r="C16" s="1">
        <f t="shared" si="1"/>
        <v>1.5259934408920639</v>
      </c>
      <c r="D16" s="1">
        <f t="shared" si="2"/>
        <v>0.39588384665276338</v>
      </c>
      <c r="E16" s="1">
        <f t="shared" si="3"/>
        <v>2.0336069031228994E-18</v>
      </c>
      <c r="F16" s="1">
        <f t="shared" si="4"/>
        <v>5.1368776986412667E-18</v>
      </c>
      <c r="G16" s="2">
        <f t="shared" si="5"/>
        <v>158.50748345899353</v>
      </c>
      <c r="H16" s="2">
        <f t="shared" si="6"/>
        <v>1.5525955484853204</v>
      </c>
      <c r="I16" s="2">
        <f t="shared" si="12"/>
        <v>-1.5525955484853204</v>
      </c>
      <c r="J16" s="2">
        <f t="shared" si="7"/>
        <v>1.69731215747508</v>
      </c>
      <c r="K16" s="2">
        <f t="shared" si="8"/>
        <v>-1.69731215747508</v>
      </c>
      <c r="L16" s="2">
        <f t="shared" si="9"/>
        <v>0.81136183610656309</v>
      </c>
      <c r="M16" s="2">
        <f t="shared" si="10"/>
        <v>-0.81136183610656309</v>
      </c>
      <c r="N16" s="2">
        <f t="shared" si="11"/>
        <v>3.921846171832136</v>
      </c>
      <c r="O16" s="2">
        <f t="shared" si="13"/>
        <v>-3.921846171832136</v>
      </c>
    </row>
    <row r="17" spans="1:15" x14ac:dyDescent="0.25">
      <c r="A17" s="1">
        <f t="shared" si="15"/>
        <v>2.2405399E+17</v>
      </c>
      <c r="B17" s="6">
        <f t="shared" si="0"/>
        <v>7.1</v>
      </c>
      <c r="C17" s="1">
        <f t="shared" si="1"/>
        <v>1.1741995682193149</v>
      </c>
      <c r="D17" s="1">
        <f t="shared" si="2"/>
        <v>0.45993937935467777</v>
      </c>
      <c r="E17" s="1">
        <f t="shared" si="3"/>
        <v>2.0260778378950315E-18</v>
      </c>
      <c r="F17" s="1">
        <f t="shared" si="4"/>
        <v>4.4050975603301016E-18</v>
      </c>
      <c r="G17" s="2">
        <f t="shared" si="5"/>
        <v>135.92710779623292</v>
      </c>
      <c r="H17" s="2">
        <f t="shared" si="6"/>
        <v>2.0956751484773086</v>
      </c>
      <c r="I17" s="2">
        <f t="shared" si="12"/>
        <v>-2.0956751484773086</v>
      </c>
      <c r="J17" s="2">
        <f t="shared" si="7"/>
        <v>1.6855089254169584</v>
      </c>
      <c r="K17" s="2">
        <f t="shared" si="8"/>
        <v>-1.6855089254169584</v>
      </c>
      <c r="L17" s="2">
        <f t="shared" si="9"/>
        <v>1.1031302039781252</v>
      </c>
      <c r="M17" s="2">
        <f t="shared" si="10"/>
        <v>-1.1031302039781252</v>
      </c>
      <c r="N17" s="2">
        <f t="shared" si="11"/>
        <v>4.556416002947314</v>
      </c>
      <c r="O17" s="2">
        <f t="shared" si="13"/>
        <v>-4.556416002947314</v>
      </c>
    </row>
    <row r="18" spans="1:15" x14ac:dyDescent="0.25">
      <c r="A18" s="1">
        <f t="shared" si="15"/>
        <v>2.5561089E+17</v>
      </c>
      <c r="B18" s="6">
        <f t="shared" si="0"/>
        <v>8.1</v>
      </c>
      <c r="C18" s="1">
        <f t="shared" si="1"/>
        <v>0.90928119845896638</v>
      </c>
      <c r="D18" s="1">
        <f t="shared" si="2"/>
        <v>0.52375731809810289</v>
      </c>
      <c r="E18" s="1">
        <f t="shared" si="3"/>
        <v>2.0185487726671641E-18</v>
      </c>
      <c r="F18" s="1">
        <f t="shared" si="4"/>
        <v>3.8539772198258396E-18</v>
      </c>
      <c r="G18" s="2">
        <f t="shared" si="5"/>
        <v>118.92131101047325</v>
      </c>
      <c r="H18" s="2">
        <f t="shared" si="6"/>
        <v>2.7175840310950274</v>
      </c>
      <c r="I18" s="2">
        <f t="shared" si="12"/>
        <v>-2.7175840310950274</v>
      </c>
      <c r="J18" s="2">
        <f t="shared" si="7"/>
        <v>1.6216808512469072</v>
      </c>
      <c r="K18" s="2">
        <f t="shared" si="8"/>
        <v>-1.6216808512469072</v>
      </c>
      <c r="L18" s="2">
        <f t="shared" si="9"/>
        <v>1.4408970547945228</v>
      </c>
      <c r="M18" s="2">
        <f t="shared" si="10"/>
        <v>-1.4408970547945228</v>
      </c>
      <c r="N18" s="2">
        <f t="shared" si="11"/>
        <v>5.1886320958020651</v>
      </c>
      <c r="O18" s="2">
        <f t="shared" si="13"/>
        <v>-5.1886320958020651</v>
      </c>
    </row>
    <row r="19" spans="1:15" x14ac:dyDescent="0.25">
      <c r="A19" s="1">
        <f t="shared" si="15"/>
        <v>2.8716779E+17</v>
      </c>
      <c r="B19" s="6">
        <f t="shared" si="0"/>
        <v>9.1</v>
      </c>
      <c r="C19" s="1">
        <f t="shared" si="1"/>
        <v>0.70259811892760959</v>
      </c>
      <c r="D19" s="1">
        <f t="shared" si="2"/>
        <v>0.58733766288303857</v>
      </c>
      <c r="E19" s="1">
        <f t="shared" si="3"/>
        <v>2.0110197074392966E-18</v>
      </c>
      <c r="F19" s="1">
        <f t="shared" si="4"/>
        <v>3.4239583710124982E-18</v>
      </c>
      <c r="G19" s="2">
        <f t="shared" si="5"/>
        <v>105.65231580286587</v>
      </c>
      <c r="H19" s="2">
        <f t="shared" si="6"/>
        <v>3.4174209319937447</v>
      </c>
      <c r="I19" s="2">
        <f t="shared" si="12"/>
        <v>-3.4174209319937447</v>
      </c>
      <c r="J19" s="2">
        <f t="shared" si="7"/>
        <v>1.5126419378480809</v>
      </c>
      <c r="K19" s="2">
        <f t="shared" si="8"/>
        <v>-1.5126419378480809</v>
      </c>
      <c r="L19" s="2">
        <f t="shared" si="9"/>
        <v>1.8251403864084914</v>
      </c>
      <c r="M19" s="2">
        <f t="shared" si="10"/>
        <v>-1.8251403864084914</v>
      </c>
      <c r="N19" s="2">
        <f t="shared" si="11"/>
        <v>5.818494450396388</v>
      </c>
      <c r="O19" s="2">
        <f t="shared" si="13"/>
        <v>-5.818494450396388</v>
      </c>
    </row>
    <row r="20" spans="1:15" x14ac:dyDescent="0.25">
      <c r="A20" s="1">
        <f t="shared" ref="A20:A29" si="16">A19+2000000000*SecondsPerYear</f>
        <v>3.5028159E+17</v>
      </c>
      <c r="B20" s="6">
        <f t="shared" si="0"/>
        <v>11.1</v>
      </c>
      <c r="C20" s="1">
        <f t="shared" si="1"/>
        <v>0.40098096854355614</v>
      </c>
      <c r="D20" s="1">
        <f t="shared" si="2"/>
        <v>0.7137855705774423</v>
      </c>
      <c r="E20" s="1">
        <f t="shared" si="3"/>
        <v>1.9959615769835613E-18</v>
      </c>
      <c r="F20" s="1">
        <f t="shared" si="4"/>
        <v>2.7963041832981533E-18</v>
      </c>
      <c r="G20" s="2">
        <f t="shared" si="5"/>
        <v>86.2849312526332</v>
      </c>
      <c r="H20" s="2">
        <f t="shared" si="6"/>
        <v>5.047290508274962</v>
      </c>
      <c r="I20" s="2">
        <f t="shared" si="12"/>
        <v>-5.047290508274962</v>
      </c>
      <c r="J20" s="2">
        <f t="shared" si="7"/>
        <v>1.1809338760197816</v>
      </c>
      <c r="K20" s="2">
        <f t="shared" si="8"/>
        <v>-1.1809338760197816</v>
      </c>
      <c r="L20" s="2">
        <f t="shared" si="9"/>
        <v>2.7349796389668461</v>
      </c>
      <c r="M20" s="2">
        <f t="shared" si="10"/>
        <v>-2.7349796389668461</v>
      </c>
      <c r="N20" s="2">
        <f t="shared" si="11"/>
        <v>7.0711579448037538</v>
      </c>
      <c r="O20" s="2">
        <f t="shared" si="13"/>
        <v>-7.0711579448037538</v>
      </c>
    </row>
    <row r="21" spans="1:15" x14ac:dyDescent="0.25">
      <c r="A21" s="1">
        <f t="shared" si="16"/>
        <v>4.1339539E+17</v>
      </c>
      <c r="B21" s="6">
        <f t="shared" si="0"/>
        <v>13.1</v>
      </c>
      <c r="C21" s="1">
        <f t="shared" si="1"/>
        <v>0.19149306961533319</v>
      </c>
      <c r="D21" s="1">
        <f t="shared" si="2"/>
        <v>0.83928310243788862</v>
      </c>
      <c r="E21" s="1">
        <f t="shared" si="3"/>
        <v>1.9809034465278264E-18</v>
      </c>
      <c r="F21" s="1">
        <f t="shared" si="4"/>
        <v>2.3602327281150323E-18</v>
      </c>
      <c r="G21" s="2">
        <f t="shared" si="5"/>
        <v>72.829172127267896</v>
      </c>
      <c r="H21" s="2">
        <f t="shared" si="6"/>
        <v>6.9781408706419681</v>
      </c>
      <c r="I21" s="2">
        <f t="shared" si="12"/>
        <v>-6.9781408706419681</v>
      </c>
      <c r="J21" s="2">
        <f t="shared" si="7"/>
        <v>0.72651437603938318</v>
      </c>
      <c r="K21" s="2">
        <f t="shared" si="8"/>
        <v>-0.72651437603938318</v>
      </c>
      <c r="L21" s="2">
        <f t="shared" si="9"/>
        <v>3.8365176065502955</v>
      </c>
      <c r="M21" s="2">
        <f t="shared" si="10"/>
        <v>-3.8365176065502955</v>
      </c>
      <c r="N21" s="2">
        <f t="shared" si="11"/>
        <v>8.3144064861694105</v>
      </c>
      <c r="O21" s="2">
        <f t="shared" si="13"/>
        <v>-8.3144064861694105</v>
      </c>
    </row>
    <row r="22" spans="1:15" x14ac:dyDescent="0.25">
      <c r="A22" s="1">
        <f>A21+2000000000*SecondsPerYear</f>
        <v>4.7650919E+17</v>
      </c>
      <c r="B22" s="6">
        <f t="shared" si="0"/>
        <v>15.1</v>
      </c>
      <c r="C22" s="1">
        <f t="shared" si="1"/>
        <v>3.7527086556972566E-2</v>
      </c>
      <c r="D22" s="1">
        <f t="shared" si="2"/>
        <v>0.96383025846437809</v>
      </c>
      <c r="E22" s="1">
        <f t="shared" si="3"/>
        <v>1.9658453160720911E-18</v>
      </c>
      <c r="F22" s="1">
        <f t="shared" si="4"/>
        <v>2.0396177634059474E-18</v>
      </c>
      <c r="G22" s="2">
        <f t="shared" si="5"/>
        <v>62.93602804311476</v>
      </c>
      <c r="H22" s="2">
        <f t="shared" si="6"/>
        <v>9.2028826988788666</v>
      </c>
      <c r="I22" s="2">
        <f t="shared" si="12"/>
        <v>-9.2028826988788666</v>
      </c>
      <c r="J22" s="2">
        <f t="shared" si="7"/>
        <v>0.1758590764787103</v>
      </c>
      <c r="K22" s="2">
        <f t="shared" si="8"/>
        <v>-0.1758590764787103</v>
      </c>
      <c r="L22" s="2">
        <f t="shared" si="9"/>
        <v>5.1336630169951709</v>
      </c>
      <c r="M22" s="2">
        <f t="shared" si="10"/>
        <v>-5.1336630169951709</v>
      </c>
      <c r="N22" s="2">
        <f t="shared" si="11"/>
        <v>9.5482400744933589</v>
      </c>
      <c r="O22" s="2">
        <f t="shared" si="13"/>
        <v>-9.5482400744933589</v>
      </c>
    </row>
    <row r="23" spans="1:15" x14ac:dyDescent="0.25">
      <c r="A23" s="49">
        <f>Age</f>
        <v>4.9492885691181101E+17</v>
      </c>
      <c r="B23" s="50">
        <f>A23/Gyr</f>
        <v>15.68369696997522</v>
      </c>
      <c r="C23" s="1">
        <f t="shared" si="1"/>
        <v>0</v>
      </c>
      <c r="D23" s="51">
        <f t="shared" si="2"/>
        <v>1</v>
      </c>
      <c r="E23" s="51">
        <f t="shared" si="3"/>
        <v>1.9614506235118389E-18</v>
      </c>
      <c r="F23" s="51">
        <f t="shared" si="4"/>
        <v>1.9614506235118389E-18</v>
      </c>
      <c r="G23" s="52">
        <f>F23*Mpc/1000</f>
        <v>60.524042132475017</v>
      </c>
      <c r="H23" s="53">
        <f t="shared" si="6"/>
        <v>9.9065577062356258</v>
      </c>
      <c r="I23" s="53">
        <f>-H23</f>
        <v>-9.9065577062356258</v>
      </c>
      <c r="J23" s="2">
        <f t="shared" si="7"/>
        <v>0</v>
      </c>
      <c r="K23" s="52">
        <f t="shared" si="8"/>
        <v>0</v>
      </c>
      <c r="L23" s="53">
        <f t="shared" si="9"/>
        <v>5.5496750920292355</v>
      </c>
      <c r="M23" s="52">
        <f t="shared" si="10"/>
        <v>-5.5496750920292355</v>
      </c>
      <c r="N23" s="52">
        <f t="shared" si="11"/>
        <v>9.9065577062356258</v>
      </c>
      <c r="O23" s="52">
        <f>-N23</f>
        <v>-9.9065577062356258</v>
      </c>
    </row>
    <row r="24" spans="1:15" x14ac:dyDescent="0.25">
      <c r="A24" s="1">
        <f>A22+2000000000*SecondsPerYear</f>
        <v>5.3962299E+17</v>
      </c>
      <c r="B24" s="6">
        <f t="shared" si="0"/>
        <v>17.100000000000001</v>
      </c>
      <c r="C24" s="1">
        <f t="shared" si="1"/>
        <v>-8.0398073203046261E-2</v>
      </c>
      <c r="D24" s="1">
        <f t="shared" si="2"/>
        <v>1.08742703865691</v>
      </c>
      <c r="E24" s="1">
        <f t="shared" si="3"/>
        <v>1.9507871856163558E-18</v>
      </c>
      <c r="F24" s="1">
        <f t="shared" si="4"/>
        <v>1.7939476546636073E-18</v>
      </c>
      <c r="G24" s="2">
        <f t="shared" si="5"/>
        <v>55.35544057689075</v>
      </c>
      <c r="H24" s="2">
        <f t="shared" si="6"/>
        <v>11.714480359232851</v>
      </c>
      <c r="I24" s="2">
        <f t="shared" si="12"/>
        <v>-11.714480359232851</v>
      </c>
      <c r="J24" s="2">
        <f t="shared" si="7"/>
        <v>-0.45118781735395941</v>
      </c>
      <c r="K24" s="2">
        <f t="shared" si="8"/>
        <v>0.45118781735395941</v>
      </c>
      <c r="L24" s="2">
        <f t="shared" si="9"/>
        <v>6.63036622549828</v>
      </c>
      <c r="M24" s="2">
        <f t="shared" si="10"/>
        <v>-6.63036622549828</v>
      </c>
      <c r="N24" s="2">
        <f t="shared" si="11"/>
        <v>10.772658709775598</v>
      </c>
      <c r="O24" s="2">
        <f t="shared" si="13"/>
        <v>-10.772658709775598</v>
      </c>
    </row>
    <row r="25" spans="1:15" x14ac:dyDescent="0.25">
      <c r="A25" s="1">
        <f>A24+2000000000*SecondsPerYear</f>
        <v>6.0273679E+17</v>
      </c>
      <c r="B25" s="6">
        <f t="shared" si="0"/>
        <v>19.100000000000001</v>
      </c>
      <c r="C25" s="1">
        <f t="shared" si="1"/>
        <v>-0.17360387853152548</v>
      </c>
      <c r="D25" s="1">
        <f t="shared" si="2"/>
        <v>1.2100734430154851</v>
      </c>
      <c r="E25" s="1">
        <f t="shared" si="3"/>
        <v>1.9357290551606209E-18</v>
      </c>
      <c r="F25" s="1">
        <f t="shared" si="4"/>
        <v>1.5996789833985716E-18</v>
      </c>
      <c r="G25" s="2">
        <f t="shared" si="5"/>
        <v>49.360935742701642</v>
      </c>
      <c r="H25" s="2">
        <f t="shared" si="6"/>
        <v>14.505951904414207</v>
      </c>
      <c r="I25" s="2">
        <f t="shared" si="12"/>
        <v>-14.505951904414207</v>
      </c>
      <c r="J25" s="2">
        <f t="shared" si="7"/>
        <v>-1.1394596502467589</v>
      </c>
      <c r="K25" s="2">
        <f t="shared" si="8"/>
        <v>1.1394596502467589</v>
      </c>
      <c r="L25" s="2">
        <f t="shared" si="9"/>
        <v>8.3306218777972525</v>
      </c>
      <c r="M25" s="2">
        <f t="shared" si="10"/>
        <v>-8.3306218777972525</v>
      </c>
      <c r="N25" s="2">
        <f t="shared" si="11"/>
        <v>11.98766239201613</v>
      </c>
      <c r="O25" s="2">
        <f t="shared" si="13"/>
        <v>-11.98766239201613</v>
      </c>
    </row>
    <row r="26" spans="1:15" x14ac:dyDescent="0.25">
      <c r="A26" s="1">
        <f t="shared" si="16"/>
        <v>6.6585059E+17</v>
      </c>
      <c r="B26" s="6">
        <f t="shared" si="0"/>
        <v>21.1</v>
      </c>
      <c r="C26" s="1">
        <f t="shared" si="1"/>
        <v>-0.24911929476535721</v>
      </c>
      <c r="D26" s="1">
        <f t="shared" si="2"/>
        <v>1.3317694715401029</v>
      </c>
      <c r="E26" s="1">
        <f t="shared" si="3"/>
        <v>1.9206709247048856E-18</v>
      </c>
      <c r="F26" s="1">
        <f t="shared" si="4"/>
        <v>1.4421947384660778E-18</v>
      </c>
      <c r="G26" s="2">
        <f t="shared" si="5"/>
        <v>44.501479704787393</v>
      </c>
      <c r="H26" s="2">
        <f t="shared" si="6"/>
        <v>17.570369073596311</v>
      </c>
      <c r="I26" s="2">
        <f t="shared" si="12"/>
        <v>-17.570369073596311</v>
      </c>
      <c r="J26" s="2">
        <f t="shared" si="7"/>
        <v>-1.8771658201230015</v>
      </c>
      <c r="K26" s="2">
        <f t="shared" si="8"/>
        <v>1.8771658201230015</v>
      </c>
      <c r="L26" s="2">
        <f t="shared" si="9"/>
        <v>10.23847169862743</v>
      </c>
      <c r="M26" s="2">
        <f t="shared" si="10"/>
        <v>-10.23847169862743</v>
      </c>
      <c r="N26" s="2">
        <f t="shared" si="11"/>
        <v>13.193251121214955</v>
      </c>
      <c r="O26" s="2">
        <f t="shared" si="13"/>
        <v>-13.193251121214955</v>
      </c>
    </row>
    <row r="27" spans="1:15" x14ac:dyDescent="0.25">
      <c r="A27" s="1">
        <f t="shared" si="16"/>
        <v>7.2896439E+17</v>
      </c>
      <c r="B27" s="6">
        <f t="shared" si="0"/>
        <v>23.1</v>
      </c>
      <c r="C27" s="1">
        <f t="shared" si="1"/>
        <v>-0.31153901028769715</v>
      </c>
      <c r="D27" s="1">
        <f t="shared" si="2"/>
        <v>1.4525151242307635</v>
      </c>
      <c r="E27" s="1">
        <f t="shared" si="3"/>
        <v>1.9056127942491503E-18</v>
      </c>
      <c r="F27" s="1">
        <f t="shared" si="4"/>
        <v>1.3119400703371967E-18</v>
      </c>
      <c r="G27" s="2">
        <f t="shared" si="5"/>
        <v>40.482240613431102</v>
      </c>
      <c r="H27" s="2">
        <f t="shared" si="6"/>
        <v>20.900857292415633</v>
      </c>
      <c r="I27" s="2">
        <f t="shared" si="12"/>
        <v>-20.900857292415633</v>
      </c>
      <c r="J27" s="2">
        <f t="shared" si="7"/>
        <v>-2.6550019327957814</v>
      </c>
      <c r="K27" s="2">
        <f t="shared" si="8"/>
        <v>2.6550019327957814</v>
      </c>
      <c r="L27" s="2">
        <f t="shared" si="9"/>
        <v>12.358007412384939</v>
      </c>
      <c r="M27" s="2">
        <f t="shared" si="10"/>
        <v>-12.358007412384939</v>
      </c>
      <c r="N27" s="2">
        <f t="shared" si="11"/>
        <v>14.389424897372066</v>
      </c>
      <c r="O27" s="2">
        <f t="shared" si="13"/>
        <v>-14.389424897372066</v>
      </c>
    </row>
    <row r="28" spans="1:15" x14ac:dyDescent="0.25">
      <c r="A28" s="1">
        <f t="shared" si="16"/>
        <v>7.9207819E+17</v>
      </c>
      <c r="B28" s="6">
        <f t="shared" si="0"/>
        <v>25.1</v>
      </c>
      <c r="C28" s="1">
        <f t="shared" si="1"/>
        <v>-0.36399326792701769</v>
      </c>
      <c r="D28" s="1">
        <f t="shared" si="2"/>
        <v>1.5723104010874671</v>
      </c>
      <c r="E28" s="1">
        <f t="shared" si="3"/>
        <v>1.890554663793415E-18</v>
      </c>
      <c r="F28" s="1">
        <f t="shared" si="4"/>
        <v>1.2024054935245856E-18</v>
      </c>
      <c r="G28" s="2">
        <f t="shared" si="5"/>
        <v>37.102356734376485</v>
      </c>
      <c r="H28" s="2">
        <f t="shared" si="6"/>
        <v>24.49059567297174</v>
      </c>
      <c r="I28" s="2">
        <f t="shared" si="12"/>
        <v>-24.49059567297174</v>
      </c>
      <c r="J28" s="2">
        <f t="shared" si="7"/>
        <v>-3.4655273130006456</v>
      </c>
      <c r="K28" s="2">
        <f t="shared" si="8"/>
        <v>3.4655273130006456</v>
      </c>
      <c r="L28" s="2">
        <f t="shared" si="9"/>
        <v>14.693373803366903</v>
      </c>
      <c r="M28" s="2">
        <f t="shared" si="10"/>
        <v>-14.693373803366903</v>
      </c>
      <c r="N28" s="2">
        <f t="shared" si="11"/>
        <v>15.576183720487474</v>
      </c>
      <c r="O28" s="2">
        <f t="shared" si="13"/>
        <v>-15.576183720487474</v>
      </c>
    </row>
    <row r="29" spans="1:15" x14ac:dyDescent="0.25">
      <c r="A29" s="1">
        <f t="shared" si="16"/>
        <v>8.5519199E+17</v>
      </c>
      <c r="B29" s="6">
        <f t="shared" si="0"/>
        <v>27.1</v>
      </c>
      <c r="C29" s="1">
        <f t="shared" si="1"/>
        <v>-0.40868825071700621</v>
      </c>
      <c r="D29" s="1">
        <f t="shared" si="2"/>
        <v>1.6911553021102133</v>
      </c>
      <c r="E29" s="1">
        <f t="shared" si="3"/>
        <v>1.8754965333376801E-18</v>
      </c>
      <c r="F29" s="1">
        <f t="shared" si="4"/>
        <v>1.1090031359020942E-18</v>
      </c>
      <c r="G29" s="2">
        <f t="shared" si="5"/>
        <v>34.22026112602785</v>
      </c>
      <c r="H29" s="2">
        <f t="shared" si="6"/>
        <v>28.332817013827274</v>
      </c>
      <c r="I29" s="2">
        <f t="shared" si="12"/>
        <v>-28.332817013827274</v>
      </c>
      <c r="J29" s="2">
        <f t="shared" si="7"/>
        <v>-4.3027206249250796</v>
      </c>
      <c r="K29" s="2">
        <f t="shared" si="8"/>
        <v>4.3027206249250796</v>
      </c>
      <c r="L29" s="2">
        <f t="shared" si="9"/>
        <v>17.248771923433488</v>
      </c>
      <c r="M29" s="2">
        <f t="shared" si="10"/>
        <v>-17.248771923433488</v>
      </c>
      <c r="N29" s="2">
        <f t="shared" si="11"/>
        <v>16.75352759056117</v>
      </c>
      <c r="O29" s="2">
        <f t="shared" si="13"/>
        <v>-16.75352759056117</v>
      </c>
    </row>
    <row r="30" spans="1:15" x14ac:dyDescent="0.25">
      <c r="A30" s="1">
        <f>A29+2000000000*SecondsPerYear</f>
        <v>9.1830579E+17</v>
      </c>
      <c r="B30" s="6">
        <f t="shared" si="0"/>
        <v>29.1</v>
      </c>
      <c r="C30" s="1">
        <f t="shared" si="1"/>
        <v>-0.44722362816670025</v>
      </c>
      <c r="D30" s="1">
        <f t="shared" si="2"/>
        <v>1.8090498272990023</v>
      </c>
      <c r="E30" s="1">
        <f t="shared" si="3"/>
        <v>1.8604384028819448E-18</v>
      </c>
      <c r="F30" s="1">
        <f t="shared" si="4"/>
        <v>1.0284063903644201E-18</v>
      </c>
      <c r="G30" s="2">
        <f t="shared" si="5"/>
        <v>31.733305418762189</v>
      </c>
      <c r="H30" s="2">
        <f t="shared" si="6"/>
        <v>32.420807800007985</v>
      </c>
      <c r="I30" s="2">
        <f t="shared" si="12"/>
        <v>-32.420807800007985</v>
      </c>
      <c r="J30" s="2">
        <f t="shared" si="7"/>
        <v>-5.1616568533269662</v>
      </c>
      <c r="K30" s="2">
        <f t="shared" si="8"/>
        <v>5.1616568533269662</v>
      </c>
      <c r="L30" s="2">
        <f t="shared" si="9"/>
        <v>20.028462455444121</v>
      </c>
      <c r="M30" s="2">
        <f t="shared" si="10"/>
        <v>-20.028462455444121</v>
      </c>
      <c r="N30" s="2">
        <f t="shared" si="11"/>
        <v>17.92145650759316</v>
      </c>
      <c r="O30" s="2">
        <f t="shared" si="13"/>
        <v>-17.92145650759316</v>
      </c>
    </row>
    <row r="31" spans="1:15" x14ac:dyDescent="0.25">
      <c r="A31" s="1">
        <f t="shared" ref="A31:A39" si="17">A30+2000000000*SecondsPerYear</f>
        <v>9.8141959E+17</v>
      </c>
      <c r="B31" s="6">
        <f t="shared" si="0"/>
        <v>31.1</v>
      </c>
      <c r="C31" s="1">
        <f t="shared" si="1"/>
        <v>-0.48078757663750804</v>
      </c>
      <c r="D31" s="1">
        <f t="shared" si="2"/>
        <v>1.9259939766538343</v>
      </c>
      <c r="E31" s="1">
        <f t="shared" si="3"/>
        <v>1.8453802724262095E-18</v>
      </c>
      <c r="F31" s="1">
        <f t="shared" si="4"/>
        <v>9.5814436327174784E-19</v>
      </c>
      <c r="G31" s="2">
        <f t="shared" si="5"/>
        <v>29.565245801510073</v>
      </c>
      <c r="H31" s="2">
        <f t="shared" si="6"/>
        <v>36.747908203002723</v>
      </c>
      <c r="I31" s="2">
        <f t="shared" si="12"/>
        <v>-36.747908203002723</v>
      </c>
      <c r="J31" s="2">
        <f t="shared" si="7"/>
        <v>-6.0382686609711786</v>
      </c>
      <c r="K31" s="2">
        <f t="shared" si="8"/>
        <v>6.0382686609711786</v>
      </c>
      <c r="L31" s="2">
        <f t="shared" si="9"/>
        <v>23.036769241365665</v>
      </c>
      <c r="M31" s="2">
        <f t="shared" si="10"/>
        <v>-23.036769241365665</v>
      </c>
      <c r="N31" s="2">
        <f t="shared" si="11"/>
        <v>19.07997047158344</v>
      </c>
      <c r="O31" s="2">
        <f t="shared" si="13"/>
        <v>-19.07997047158344</v>
      </c>
    </row>
    <row r="32" spans="1:15" x14ac:dyDescent="0.25">
      <c r="A32" s="1">
        <f t="shared" si="17"/>
        <v>1.04453339E+18</v>
      </c>
      <c r="B32" s="6">
        <f t="shared" si="0"/>
        <v>33.1</v>
      </c>
      <c r="C32" s="1">
        <f t="shared" si="1"/>
        <v>-0.5102810974676798</v>
      </c>
      <c r="D32" s="1">
        <f t="shared" si="2"/>
        <v>2.0419877501747088</v>
      </c>
      <c r="E32" s="1">
        <f t="shared" si="3"/>
        <v>1.8303221419704746E-18</v>
      </c>
      <c r="F32" s="1">
        <f t="shared" si="4"/>
        <v>8.9634335064638629E-19</v>
      </c>
      <c r="G32" s="2">
        <f t="shared" si="5"/>
        <v>27.658265810716326</v>
      </c>
      <c r="H32" s="2">
        <f t="shared" si="6"/>
        <v>41.307512080763402</v>
      </c>
      <c r="I32" s="2">
        <f t="shared" si="12"/>
        <v>-41.307512080763402</v>
      </c>
      <c r="J32" s="2">
        <f t="shared" si="7"/>
        <v>-6.9291674816970579</v>
      </c>
      <c r="K32" s="2">
        <f t="shared" si="8"/>
        <v>6.9291674816970579</v>
      </c>
      <c r="L32" s="2">
        <f t="shared" si="9"/>
        <v>26.278082984535896</v>
      </c>
      <c r="M32" s="2">
        <f t="shared" si="10"/>
        <v>-26.278082984535896</v>
      </c>
      <c r="N32" s="2">
        <f t="shared" si="11"/>
        <v>20.229069482532008</v>
      </c>
      <c r="O32" s="2">
        <f t="shared" si="13"/>
        <v>-20.229069482532008</v>
      </c>
    </row>
    <row r="33" spans="1:21" x14ac:dyDescent="0.25">
      <c r="A33" s="1">
        <f t="shared" si="17"/>
        <v>1.10764719E+18</v>
      </c>
      <c r="B33" s="6">
        <f t="shared" si="0"/>
        <v>35.1</v>
      </c>
      <c r="C33" s="1">
        <f t="shared" si="1"/>
        <v>-0.53639983317285422</v>
      </c>
      <c r="D33" s="1">
        <f t="shared" si="2"/>
        <v>2.1570311478616269</v>
      </c>
      <c r="E33" s="1">
        <f t="shared" si="3"/>
        <v>1.8152640115147393E-18</v>
      </c>
      <c r="F33" s="1">
        <f t="shared" si="4"/>
        <v>8.4155669857354711E-19</v>
      </c>
      <c r="G33" s="2">
        <f t="shared" si="5"/>
        <v>25.967726370872121</v>
      </c>
      <c r="H33" s="2">
        <f t="shared" si="6"/>
        <v>46.093066977705071</v>
      </c>
      <c r="I33" s="2">
        <f t="shared" si="12"/>
        <v>-46.093066977705071</v>
      </c>
      <c r="J33" s="2">
        <f t="shared" si="7"/>
        <v>-7.8315076029620041</v>
      </c>
      <c r="K33" s="2">
        <f t="shared" si="8"/>
        <v>7.8315076029620041</v>
      </c>
      <c r="L33" s="2">
        <f t="shared" si="9"/>
        <v>29.756865136194971</v>
      </c>
      <c r="M33" s="2">
        <f t="shared" si="10"/>
        <v>-29.756865136194971</v>
      </c>
      <c r="N33" s="2">
        <f t="shared" si="11"/>
        <v>21.368753540438878</v>
      </c>
      <c r="O33" s="2">
        <f t="shared" si="13"/>
        <v>-21.368753540438878</v>
      </c>
    </row>
    <row r="34" spans="1:21" x14ac:dyDescent="0.25">
      <c r="A34" s="1">
        <f t="shared" si="17"/>
        <v>1.17076099E+18</v>
      </c>
      <c r="B34" s="6">
        <f t="shared" si="0"/>
        <v>37.1</v>
      </c>
      <c r="C34" s="1">
        <f t="shared" si="1"/>
        <v>-0.5596894201845114</v>
      </c>
      <c r="D34" s="1">
        <f t="shared" si="2"/>
        <v>2.2711241697145872</v>
      </c>
      <c r="E34" s="1">
        <f t="shared" si="3"/>
        <v>1.8002058810590044E-18</v>
      </c>
      <c r="F34" s="1">
        <f t="shared" si="4"/>
        <v>7.9264969527634268E-19</v>
      </c>
      <c r="G34" s="2">
        <f t="shared" si="5"/>
        <v>24.458613935080422</v>
      </c>
      <c r="H34" s="2">
        <f t="shared" si="6"/>
        <v>51.098074124705811</v>
      </c>
      <c r="I34" s="2">
        <f t="shared" si="12"/>
        <v>-51.098074124705811</v>
      </c>
      <c r="J34" s="2">
        <f t="shared" si="7"/>
        <v>-8.7428816503462503</v>
      </c>
      <c r="K34" s="2">
        <f t="shared" si="8"/>
        <v>8.7428816503462503</v>
      </c>
      <c r="L34" s="2">
        <f t="shared" si="9"/>
        <v>33.477651977074125</v>
      </c>
      <c r="M34" s="2">
        <f t="shared" si="10"/>
        <v>-33.477651977074125</v>
      </c>
      <c r="N34" s="2">
        <f t="shared" si="11"/>
        <v>22.499022645304031</v>
      </c>
      <c r="O34" s="2">
        <f t="shared" si="13"/>
        <v>-22.499022645304031</v>
      </c>
    </row>
    <row r="35" spans="1:21" x14ac:dyDescent="0.25">
      <c r="A35" s="1">
        <f t="shared" si="17"/>
        <v>1.23387479E+18</v>
      </c>
      <c r="B35" s="6">
        <f t="shared" si="0"/>
        <v>39.1</v>
      </c>
      <c r="C35" s="1">
        <f t="shared" si="1"/>
        <v>-0.58058385353473096</v>
      </c>
      <c r="D35" s="1">
        <f t="shared" si="2"/>
        <v>2.3842668157335902</v>
      </c>
      <c r="E35" s="1">
        <f t="shared" si="3"/>
        <v>1.7851477506032691E-18</v>
      </c>
      <c r="F35" s="1">
        <f t="shared" si="4"/>
        <v>7.4871979042916627E-19</v>
      </c>
      <c r="G35" s="2">
        <f t="shared" si="5"/>
        <v>23.103078710295769</v>
      </c>
      <c r="H35" s="2">
        <f t="shared" si="6"/>
        <v>56.316088439106828</v>
      </c>
      <c r="I35" s="2">
        <f t="shared" si="12"/>
        <v>-56.316088439106828</v>
      </c>
      <c r="J35" s="2">
        <f t="shared" si="7"/>
        <v>-9.6612393236766607</v>
      </c>
      <c r="K35" s="2">
        <f t="shared" si="8"/>
        <v>9.6612393236766607</v>
      </c>
      <c r="L35" s="2">
        <f t="shared" si="9"/>
        <v>37.445058905559357</v>
      </c>
      <c r="M35" s="2">
        <f t="shared" si="10"/>
        <v>-37.445058905559357</v>
      </c>
      <c r="N35" s="2">
        <f t="shared" si="11"/>
        <v>23.619876797127475</v>
      </c>
      <c r="O35" s="2">
        <f t="shared" si="13"/>
        <v>-23.619876797127475</v>
      </c>
    </row>
    <row r="36" spans="1:21" x14ac:dyDescent="0.25">
      <c r="A36" s="1">
        <f t="shared" si="17"/>
        <v>1.29698859E+18</v>
      </c>
      <c r="B36" s="6">
        <f t="shared" si="0"/>
        <v>41.1</v>
      </c>
      <c r="C36" s="1">
        <f t="shared" si="1"/>
        <v>-0.59943265017218406</v>
      </c>
      <c r="D36" s="1">
        <f t="shared" si="2"/>
        <v>2.4964590859186364</v>
      </c>
      <c r="E36" s="1">
        <f t="shared" si="3"/>
        <v>1.7700896201475338E-18</v>
      </c>
      <c r="F36" s="1">
        <f t="shared" si="4"/>
        <v>7.090401081002231E-19</v>
      </c>
      <c r="G36" s="2">
        <f t="shared" si="5"/>
        <v>21.878691648856346</v>
      </c>
      <c r="H36" s="2">
        <f t="shared" si="6"/>
        <v>61.740718524712463</v>
      </c>
      <c r="I36" s="2">
        <f t="shared" si="12"/>
        <v>-61.740718524712463</v>
      </c>
      <c r="J36" s="2">
        <f t="shared" si="7"/>
        <v>-10.584823565604415</v>
      </c>
      <c r="K36" s="2">
        <f t="shared" si="8"/>
        <v>10.584823565604415</v>
      </c>
      <c r="L36" s="2">
        <f t="shared" si="9"/>
        <v>41.663784944731155</v>
      </c>
      <c r="M36" s="2">
        <f t="shared" si="10"/>
        <v>-41.663784944731155</v>
      </c>
      <c r="N36" s="2">
        <f t="shared" si="11"/>
        <v>24.731315995909213</v>
      </c>
      <c r="O36" s="2">
        <f t="shared" si="13"/>
        <v>-24.731315995909213</v>
      </c>
    </row>
    <row r="37" spans="1:21" x14ac:dyDescent="0.25">
      <c r="A37" s="1">
        <f t="shared" si="17"/>
        <v>1.36010239E+18</v>
      </c>
      <c r="B37" s="6">
        <f t="shared" si="0"/>
        <v>43.1</v>
      </c>
      <c r="C37" s="1">
        <f t="shared" si="1"/>
        <v>-0.61652044940499051</v>
      </c>
      <c r="D37" s="1">
        <f t="shared" si="2"/>
        <v>2.6077009802697249</v>
      </c>
      <c r="E37" s="1">
        <f t="shared" si="3"/>
        <v>1.7550314896917989E-18</v>
      </c>
      <c r="F37" s="1">
        <f t="shared" si="4"/>
        <v>6.7301868694710117E-19</v>
      </c>
      <c r="G37" s="2">
        <f t="shared" si="5"/>
        <v>20.767186732337088</v>
      </c>
      <c r="H37" s="2">
        <f t="shared" si="6"/>
        <v>67.365626671790054</v>
      </c>
      <c r="I37" s="2">
        <f t="shared" si="12"/>
        <v>-67.365626671790054</v>
      </c>
      <c r="J37" s="2">
        <f t="shared" si="7"/>
        <v>-11.51211995042774</v>
      </c>
      <c r="K37" s="2">
        <f t="shared" si="8"/>
        <v>11.51211995042774</v>
      </c>
      <c r="L37" s="2">
        <f t="shared" si="9"/>
        <v>46.138617481425932</v>
      </c>
      <c r="M37" s="2">
        <f t="shared" si="10"/>
        <v>-46.138617481425932</v>
      </c>
      <c r="N37" s="2">
        <f t="shared" si="11"/>
        <v>25.833340241649239</v>
      </c>
      <c r="O37" s="2">
        <f t="shared" si="13"/>
        <v>-25.833340241649239</v>
      </c>
    </row>
    <row r="38" spans="1:21" x14ac:dyDescent="0.25">
      <c r="A38" s="1">
        <f t="shared" si="17"/>
        <v>1.42321619E+18</v>
      </c>
      <c r="B38" s="6">
        <f t="shared" si="0"/>
        <v>45.1</v>
      </c>
      <c r="C38" s="1">
        <f t="shared" si="1"/>
        <v>-0.63208139814722153</v>
      </c>
      <c r="D38" s="1">
        <f t="shared" si="2"/>
        <v>2.7179924987868569</v>
      </c>
      <c r="E38" s="1">
        <f t="shared" si="3"/>
        <v>1.7399733592360636E-18</v>
      </c>
      <c r="F38" s="1">
        <f t="shared" si="4"/>
        <v>6.4016856559121483E-19</v>
      </c>
      <c r="G38" s="2">
        <f t="shared" si="5"/>
        <v>19.753537902655708</v>
      </c>
      <c r="H38" s="2">
        <f t="shared" si="6"/>
        <v>73.18452885707012</v>
      </c>
      <c r="I38" s="2">
        <f t="shared" si="12"/>
        <v>-73.18452885707012</v>
      </c>
      <c r="J38" s="2">
        <f t="shared" si="7"/>
        <v>-12.441816205335613</v>
      </c>
      <c r="K38" s="2">
        <f t="shared" si="8"/>
        <v>12.441816205335613</v>
      </c>
      <c r="L38" s="2">
        <f t="shared" si="9"/>
        <v>50.874437251375262</v>
      </c>
      <c r="M38" s="2">
        <f t="shared" si="10"/>
        <v>-50.874437251375262</v>
      </c>
      <c r="N38" s="2">
        <f t="shared" si="11"/>
        <v>26.925949534347563</v>
      </c>
      <c r="O38" s="2">
        <f t="shared" si="13"/>
        <v>-26.925949534347563</v>
      </c>
    </row>
    <row r="39" spans="1:21" x14ac:dyDescent="0.25">
      <c r="A39" s="1">
        <f t="shared" si="17"/>
        <v>1.48632999E+18</v>
      </c>
      <c r="B39" s="6">
        <f t="shared" si="0"/>
        <v>47.1</v>
      </c>
      <c r="C39" s="1">
        <f t="shared" si="1"/>
        <v>-0.64630987113354466</v>
      </c>
      <c r="D39" s="1">
        <f t="shared" si="2"/>
        <v>2.8273336414700312</v>
      </c>
      <c r="E39" s="1">
        <f t="shared" si="3"/>
        <v>1.7249152287803283E-18</v>
      </c>
      <c r="F39" s="1">
        <f t="shared" si="4"/>
        <v>6.1008548955102586E-19</v>
      </c>
      <c r="G39" s="2">
        <f t="shared" si="5"/>
        <v>18.825271169909247</v>
      </c>
      <c r="H39" s="2">
        <f t="shared" si="6"/>
        <v>79.191194743746223</v>
      </c>
      <c r="I39" s="2">
        <f t="shared" si="12"/>
        <v>-79.191194743746223</v>
      </c>
      <c r="J39" s="2">
        <f t="shared" si="7"/>
        <v>-13.37276957388112</v>
      </c>
      <c r="K39" s="2">
        <f t="shared" si="8"/>
        <v>13.37276957388112</v>
      </c>
      <c r="L39" s="2">
        <f t="shared" si="9"/>
        <v>55.876223585459883</v>
      </c>
      <c r="M39" s="2">
        <f t="shared" si="10"/>
        <v>-55.876223585459883</v>
      </c>
      <c r="N39" s="2">
        <f t="shared" si="11"/>
        <v>28.00914387400417</v>
      </c>
      <c r="O39" s="2">
        <f t="shared" si="13"/>
        <v>-28.00914387400417</v>
      </c>
    </row>
    <row r="42" spans="1:21" ht="60" x14ac:dyDescent="0.25">
      <c r="A42" s="4" t="s">
        <v>638</v>
      </c>
      <c r="B42" s="5" t="s">
        <v>639</v>
      </c>
      <c r="C42" s="4" t="s">
        <v>640</v>
      </c>
      <c r="D42" s="4" t="s">
        <v>641</v>
      </c>
      <c r="E42" s="4" t="s">
        <v>642</v>
      </c>
      <c r="F42" s="4" t="s">
        <v>643</v>
      </c>
      <c r="G42" s="7" t="s">
        <v>644</v>
      </c>
      <c r="H42" s="7" t="s">
        <v>647</v>
      </c>
      <c r="I42" s="7" t="s">
        <v>648</v>
      </c>
      <c r="J42" s="7" t="s">
        <v>649</v>
      </c>
      <c r="K42" s="7" t="s">
        <v>650</v>
      </c>
      <c r="L42" s="7" t="s">
        <v>645</v>
      </c>
      <c r="M42" s="7" t="s">
        <v>646</v>
      </c>
      <c r="N42" s="7" t="s">
        <v>651</v>
      </c>
      <c r="O42" s="7" t="s">
        <v>652</v>
      </c>
    </row>
    <row r="43" spans="1:21" x14ac:dyDescent="0.25">
      <c r="A43" s="1">
        <f>100000000*SecondsPerYear</f>
        <v>3155690000000000</v>
      </c>
      <c r="B43" s="6">
        <f t="shared" ref="B43:B65" si="18">A43/Gyr</f>
        <v>0.1</v>
      </c>
      <c r="C43" s="1">
        <f>Age^2/time^2-1</f>
        <v>24596.835064600989</v>
      </c>
      <c r="D43" s="1">
        <f t="shared" ref="D43:D80" si="19">time*(-2*InitialTangentVelocity+UniverseAcceleration*time)/(Age*(-2*InitialTangentVelocity+UniverseAcceleration*Age))</f>
        <v>6.5611773130019252E-3</v>
      </c>
      <c r="E43" s="1">
        <f t="shared" ref="E43:E80" si="20">(2*InitialTangentVelocity-2*UniverseAcceleration*time)/(2*InitialTangentVelocity*Age-UniverseAcceleration*Age^2)</f>
        <v>2.0787812944901045E-18</v>
      </c>
      <c r="F43" s="1">
        <f t="shared" ref="F43:F80" si="21">(2*InitialTangentVelocity-2*UniverseAcceleration*time)/(2*InitialTangentVelocity*time-UniverseAcceleration*time^2)</f>
        <v>3.1683053136983474E-16</v>
      </c>
      <c r="G43" s="2">
        <f t="shared" ref="G43:G65" si="22">F43*Mpc/1000</f>
        <v>9776.3686730738555</v>
      </c>
      <c r="H43" s="2">
        <f t="shared" ref="H43:H80" si="23">(2*InitialTangentVelocity*time-UniverseAcceleration*time^2)*(1/Gpc)</f>
        <v>6.4998681672097589E-2</v>
      </c>
      <c r="I43" s="2">
        <f>-H43</f>
        <v>-6.4998681672097589E-2</v>
      </c>
      <c r="J43" s="2">
        <f t="shared" ref="J43:J80" si="24">(RedShift*Age*(2*InitialTangentVelocity-UniverseAcceleration*Age))/(2+RedShift)*(1/Gpc)</f>
        <v>9.9057522568978662</v>
      </c>
      <c r="K43" s="2">
        <f t="shared" ref="K43:K80" si="25">-J43</f>
        <v>-9.9057522568978662</v>
      </c>
      <c r="L43" s="2">
        <f t="shared" ref="L43:L80" si="26">((InitialTangentVelocity+UniverseAcceleration*time)/HubbleFunction)*(1/Gpc)</f>
        <v>3.2522882481114193E-2</v>
      </c>
      <c r="M43" s="2">
        <f t="shared" ref="M43:M80" si="27">-L43</f>
        <v>-3.2522882481114193E-2</v>
      </c>
      <c r="N43" s="2">
        <f t="shared" ref="N43:N80" si="28">$H$64</f>
        <v>9.9065577062356258</v>
      </c>
      <c r="O43" s="2">
        <f>-N43</f>
        <v>-9.9065577062356258</v>
      </c>
      <c r="Q43" s="6">
        <v>-100</v>
      </c>
      <c r="R43" s="6">
        <f>Age/Gyr</f>
        <v>15.68369696997522</v>
      </c>
      <c r="T43">
        <v>0</v>
      </c>
      <c r="U43">
        <v>100</v>
      </c>
    </row>
    <row r="44" spans="1:21" x14ac:dyDescent="0.25">
      <c r="A44" s="1">
        <f>A43+200000000*SecondsPerYear</f>
        <v>9467070000000000</v>
      </c>
      <c r="B44" s="6">
        <f t="shared" si="18"/>
        <v>0.3</v>
      </c>
      <c r="C44" s="1">
        <f t="shared" ref="C44:C80" si="29">Age^2/time^2-1</f>
        <v>2732.0927849556651</v>
      </c>
      <c r="D44" s="1">
        <f t="shared" si="19"/>
        <v>1.9676404120251099E-2</v>
      </c>
      <c r="E44" s="1">
        <f t="shared" si="20"/>
        <v>2.0772754814445314E-18</v>
      </c>
      <c r="F44" s="1">
        <f t="shared" si="21"/>
        <v>1.0557190575825714E-16</v>
      </c>
      <c r="G44" s="2">
        <f t="shared" si="22"/>
        <v>3257.6086267612691</v>
      </c>
      <c r="H44" s="2">
        <f t="shared" si="23"/>
        <v>0.19492543286847991</v>
      </c>
      <c r="I44" s="2">
        <f t="shared" ref="I44:I80" si="30">-H44</f>
        <v>-0.19492543286847991</v>
      </c>
      <c r="J44" s="2">
        <f t="shared" si="24"/>
        <v>9.8993110189536555</v>
      </c>
      <c r="K44" s="2">
        <f t="shared" si="25"/>
        <v>-9.8993110189536555</v>
      </c>
      <c r="L44" s="2">
        <f t="shared" si="26"/>
        <v>9.7674668047554619E-2</v>
      </c>
      <c r="M44" s="2">
        <f t="shared" si="27"/>
        <v>-9.7674668047554619E-2</v>
      </c>
      <c r="N44" s="2">
        <f t="shared" si="28"/>
        <v>9.9065577062356258</v>
      </c>
      <c r="O44" s="2">
        <f t="shared" ref="O44:O65" si="31">-N44</f>
        <v>-9.9065577062356258</v>
      </c>
      <c r="Q44" s="6">
        <v>100</v>
      </c>
      <c r="R44" s="6">
        <f>Age/Gyr</f>
        <v>15.68369696997522</v>
      </c>
      <c r="T44">
        <v>0</v>
      </c>
      <c r="U44">
        <v>0</v>
      </c>
    </row>
    <row r="45" spans="1:21" x14ac:dyDescent="0.25">
      <c r="A45" s="1">
        <f t="shared" ref="A45:A52" si="32">A44+100000000*SecondsPerYear</f>
        <v>1.262276E+16</v>
      </c>
      <c r="B45" s="6">
        <f t="shared" si="18"/>
        <v>0.4</v>
      </c>
      <c r="C45" s="1">
        <f t="shared" si="29"/>
        <v>1536.3646915375618</v>
      </c>
      <c r="D45" s="1">
        <f t="shared" si="19"/>
        <v>2.6230453614498345E-2</v>
      </c>
      <c r="E45" s="1">
        <f t="shared" si="20"/>
        <v>2.0765225749217447E-18</v>
      </c>
      <c r="F45" s="1">
        <f t="shared" si="21"/>
        <v>7.9164569756963311E-17</v>
      </c>
      <c r="G45" s="2">
        <f t="shared" si="22"/>
        <v>2442.7633802940773</v>
      </c>
      <c r="H45" s="2">
        <f t="shared" si="23"/>
        <v>0.25985350239276472</v>
      </c>
      <c r="I45" s="2">
        <f t="shared" si="30"/>
        <v>-0.25985350239276472</v>
      </c>
      <c r="J45" s="2">
        <f t="shared" si="24"/>
        <v>9.893678370456886</v>
      </c>
      <c r="K45" s="2">
        <f t="shared" si="25"/>
        <v>-9.893678370456886</v>
      </c>
      <c r="L45" s="2">
        <f t="shared" si="26"/>
        <v>0.13030362241229557</v>
      </c>
      <c r="M45" s="2">
        <f t="shared" si="27"/>
        <v>-0.13030362241229557</v>
      </c>
      <c r="N45" s="2">
        <f t="shared" si="28"/>
        <v>9.9065577062356258</v>
      </c>
      <c r="O45" s="2">
        <f t="shared" si="31"/>
        <v>-9.9065577062356258</v>
      </c>
    </row>
    <row r="46" spans="1:21" x14ac:dyDescent="0.25">
      <c r="A46" s="1">
        <f t="shared" si="32"/>
        <v>1.577845E+16</v>
      </c>
      <c r="B46" s="6">
        <f t="shared" si="18"/>
        <v>0.5</v>
      </c>
      <c r="C46" s="1">
        <f t="shared" si="29"/>
        <v>982.91340258403955</v>
      </c>
      <c r="D46" s="1">
        <f t="shared" si="19"/>
        <v>3.2782127169160694E-2</v>
      </c>
      <c r="E46" s="1">
        <f t="shared" si="20"/>
        <v>2.0757696683989579E-18</v>
      </c>
      <c r="F46" s="1">
        <f t="shared" si="21"/>
        <v>6.3320163993253845E-17</v>
      </c>
      <c r="G46" s="2">
        <f t="shared" si="22"/>
        <v>1953.8561039590666</v>
      </c>
      <c r="H46" s="2">
        <f t="shared" si="23"/>
        <v>0.32475803453444524</v>
      </c>
      <c r="I46" s="2">
        <f t="shared" si="30"/>
        <v>-0.32475803453444524</v>
      </c>
      <c r="J46" s="2">
        <f t="shared" si="24"/>
        <v>9.886441099678656</v>
      </c>
      <c r="K46" s="2">
        <f t="shared" si="25"/>
        <v>-9.886441099678656</v>
      </c>
      <c r="L46" s="2">
        <f t="shared" si="26"/>
        <v>0.16296798541299232</v>
      </c>
      <c r="M46" s="2">
        <f t="shared" si="27"/>
        <v>-0.16296798541299232</v>
      </c>
      <c r="N46" s="2">
        <f t="shared" si="28"/>
        <v>9.9065577062356258</v>
      </c>
      <c r="O46" s="2">
        <f t="shared" si="31"/>
        <v>-9.9065577062356258</v>
      </c>
    </row>
    <row r="47" spans="1:21" x14ac:dyDescent="0.25">
      <c r="A47" s="1">
        <f t="shared" si="32"/>
        <v>1.893414E+16</v>
      </c>
      <c r="B47" s="6">
        <f t="shared" si="18"/>
        <v>0.6</v>
      </c>
      <c r="C47" s="1">
        <f t="shared" si="29"/>
        <v>682.27319623891628</v>
      </c>
      <c r="D47" s="1">
        <f t="shared" si="19"/>
        <v>3.9331424784238157E-2</v>
      </c>
      <c r="E47" s="1">
        <f t="shared" si="20"/>
        <v>2.0750167618761708E-18</v>
      </c>
      <c r="F47" s="1">
        <f t="shared" si="21"/>
        <v>5.2757223346450501E-17</v>
      </c>
      <c r="G47" s="2">
        <f t="shared" si="22"/>
        <v>1627.9178126319487</v>
      </c>
      <c r="H47" s="2">
        <f t="shared" si="23"/>
        <v>0.38963902929352134</v>
      </c>
      <c r="I47" s="2">
        <f t="shared" si="30"/>
        <v>-0.38963902929352134</v>
      </c>
      <c r="J47" s="2">
        <f t="shared" si="24"/>
        <v>9.877602728134228</v>
      </c>
      <c r="K47" s="2">
        <f t="shared" si="25"/>
        <v>-9.877602728134228</v>
      </c>
      <c r="L47" s="2">
        <f t="shared" si="26"/>
        <v>0.19566778278245175</v>
      </c>
      <c r="M47" s="2">
        <f t="shared" si="27"/>
        <v>-0.19566778278245175</v>
      </c>
      <c r="N47" s="2">
        <f t="shared" si="28"/>
        <v>9.9065577062356258</v>
      </c>
      <c r="O47" s="2">
        <f t="shared" si="31"/>
        <v>-9.9065577062356258</v>
      </c>
    </row>
    <row r="48" spans="1:21" x14ac:dyDescent="0.25">
      <c r="A48" s="1">
        <f t="shared" si="32"/>
        <v>2.208983E+16</v>
      </c>
      <c r="B48" s="6">
        <f t="shared" si="18"/>
        <v>0.7</v>
      </c>
      <c r="C48" s="1">
        <f t="shared" si="29"/>
        <v>500.99663397144877</v>
      </c>
      <c r="D48" s="1">
        <f t="shared" si="19"/>
        <v>4.5878346459730726E-2</v>
      </c>
      <c r="E48" s="1">
        <f t="shared" si="20"/>
        <v>2.0742638553533844E-18</v>
      </c>
      <c r="F48" s="1">
        <f t="shared" si="21"/>
        <v>4.5212262764832844E-17</v>
      </c>
      <c r="G48" s="2">
        <f t="shared" si="22"/>
        <v>1395.1046555451351</v>
      </c>
      <c r="H48" s="2">
        <f t="shared" si="23"/>
        <v>0.45449648666999343</v>
      </c>
      <c r="I48" s="2">
        <f t="shared" si="30"/>
        <v>-0.45449648666999343</v>
      </c>
      <c r="J48" s="2">
        <f t="shared" si="24"/>
        <v>9.8671675511643393</v>
      </c>
      <c r="K48" s="2">
        <f t="shared" si="25"/>
        <v>-9.8671675511643393</v>
      </c>
      <c r="L48" s="2">
        <f t="shared" si="26"/>
        <v>0.22840304029084224</v>
      </c>
      <c r="M48" s="2">
        <f t="shared" si="27"/>
        <v>-0.22840304029084224</v>
      </c>
      <c r="N48" s="2">
        <f t="shared" si="28"/>
        <v>9.9065577062356258</v>
      </c>
      <c r="O48" s="2">
        <f t="shared" si="31"/>
        <v>-9.9065577062356258</v>
      </c>
    </row>
    <row r="49" spans="1:15" x14ac:dyDescent="0.25">
      <c r="A49" s="1">
        <f t="shared" si="32"/>
        <v>2.524552E+16</v>
      </c>
      <c r="B49" s="6">
        <f t="shared" si="18"/>
        <v>0.8</v>
      </c>
      <c r="C49" s="1">
        <f t="shared" si="29"/>
        <v>383.34117288439046</v>
      </c>
      <c r="D49" s="1">
        <f t="shared" si="19"/>
        <v>5.2422892195638407E-2</v>
      </c>
      <c r="E49" s="1">
        <f t="shared" si="20"/>
        <v>2.0735109488305973E-18</v>
      </c>
      <c r="F49" s="1">
        <f t="shared" si="21"/>
        <v>3.9553539722539649E-17</v>
      </c>
      <c r="G49" s="2">
        <f t="shared" si="22"/>
        <v>1220.4947073148001</v>
      </c>
      <c r="H49" s="2">
        <f t="shared" si="23"/>
        <v>0.5193304066638611</v>
      </c>
      <c r="I49" s="2">
        <f t="shared" si="30"/>
        <v>-0.5193304066638611</v>
      </c>
      <c r="J49" s="2">
        <f t="shared" si="24"/>
        <v>9.8551406327260285</v>
      </c>
      <c r="K49" s="2">
        <f t="shared" si="25"/>
        <v>-9.8551406327260285</v>
      </c>
      <c r="L49" s="2">
        <f t="shared" si="26"/>
        <v>0.2611737837457615</v>
      </c>
      <c r="M49" s="2">
        <f t="shared" si="27"/>
        <v>-0.2611737837457615</v>
      </c>
      <c r="N49" s="2">
        <f t="shared" si="28"/>
        <v>9.9065577062356258</v>
      </c>
      <c r="O49" s="2">
        <f t="shared" si="31"/>
        <v>-9.9065577062356258</v>
      </c>
    </row>
    <row r="50" spans="1:15" x14ac:dyDescent="0.25">
      <c r="A50" s="1">
        <f t="shared" si="32"/>
        <v>2.840121E+16</v>
      </c>
      <c r="B50" s="6">
        <f t="shared" si="18"/>
        <v>0.9</v>
      </c>
      <c r="C50" s="1">
        <f t="shared" si="29"/>
        <v>302.67697610618507</v>
      </c>
      <c r="D50" s="1">
        <f t="shared" si="19"/>
        <v>5.8965061991961179E-2</v>
      </c>
      <c r="E50" s="1">
        <f t="shared" si="20"/>
        <v>2.0727580423078109E-18</v>
      </c>
      <c r="F50" s="1">
        <f t="shared" si="21"/>
        <v>3.5152308371869329E-17</v>
      </c>
      <c r="G50" s="2">
        <f t="shared" si="22"/>
        <v>1084.6868982832348</v>
      </c>
      <c r="H50" s="2">
        <f t="shared" si="23"/>
        <v>0.58414078927512447</v>
      </c>
      <c r="I50" s="2">
        <f t="shared" si="30"/>
        <v>-0.58414078927512447</v>
      </c>
      <c r="J50" s="2">
        <f t="shared" si="24"/>
        <v>9.8415277992643624</v>
      </c>
      <c r="K50" s="2">
        <f t="shared" si="25"/>
        <v>-9.8415277992643624</v>
      </c>
      <c r="L50" s="2">
        <f t="shared" si="26"/>
        <v>0.29398003899230429</v>
      </c>
      <c r="M50" s="2">
        <f t="shared" si="27"/>
        <v>-0.29398003899230429</v>
      </c>
      <c r="N50" s="2">
        <f t="shared" si="28"/>
        <v>9.9065577062356258</v>
      </c>
      <c r="O50" s="2">
        <f t="shared" si="31"/>
        <v>-9.9065577062356258</v>
      </c>
    </row>
    <row r="51" spans="1:15" x14ac:dyDescent="0.25">
      <c r="A51" s="1">
        <f t="shared" si="32"/>
        <v>3.15569E+16</v>
      </c>
      <c r="B51" s="6">
        <f t="shared" si="18"/>
        <v>1</v>
      </c>
      <c r="C51" s="1">
        <f t="shared" si="29"/>
        <v>244.97835064600989</v>
      </c>
      <c r="D51" s="1">
        <f t="shared" si="19"/>
        <v>6.550485584869907E-2</v>
      </c>
      <c r="E51" s="1">
        <f t="shared" si="20"/>
        <v>2.0720051357850242E-18</v>
      </c>
      <c r="F51" s="1">
        <f t="shared" si="21"/>
        <v>3.1631321204200065E-17</v>
      </c>
      <c r="G51" s="2">
        <f t="shared" si="22"/>
        <v>976.04058665578748</v>
      </c>
      <c r="H51" s="2">
        <f t="shared" si="23"/>
        <v>0.64892763450378366</v>
      </c>
      <c r="I51" s="2">
        <f t="shared" si="30"/>
        <v>-0.64892763450378366</v>
      </c>
      <c r="J51" s="2">
        <f t="shared" si="24"/>
        <v>9.8263356326787861</v>
      </c>
      <c r="K51" s="2">
        <f t="shared" si="25"/>
        <v>-9.8263356326787861</v>
      </c>
      <c r="L51" s="2">
        <f t="shared" si="26"/>
        <v>0.32682183191313147</v>
      </c>
      <c r="M51" s="2">
        <f t="shared" si="27"/>
        <v>-0.32682183191313147</v>
      </c>
      <c r="N51" s="2">
        <f t="shared" si="28"/>
        <v>9.9065577062356258</v>
      </c>
      <c r="O51" s="2">
        <f t="shared" si="31"/>
        <v>-9.9065577062356258</v>
      </c>
    </row>
    <row r="52" spans="1:15" x14ac:dyDescent="0.25">
      <c r="A52" s="1">
        <f t="shared" si="32"/>
        <v>3.471259E+16</v>
      </c>
      <c r="B52" s="6">
        <f t="shared" si="18"/>
        <v>1.1000000000000001</v>
      </c>
      <c r="C52" s="1">
        <f t="shared" si="29"/>
        <v>202.28789309587594</v>
      </c>
      <c r="D52" s="1">
        <f t="shared" si="19"/>
        <v>7.204227376585208E-2</v>
      </c>
      <c r="E52" s="1">
        <f t="shared" si="20"/>
        <v>2.071252229262237E-18</v>
      </c>
      <c r="F52" s="1">
        <f t="shared" si="21"/>
        <v>2.8750511623135466E-17</v>
      </c>
      <c r="G52" s="2">
        <f t="shared" si="22"/>
        <v>887.14809129038508</v>
      </c>
      <c r="H52" s="2">
        <f t="shared" si="23"/>
        <v>0.71369094234983843</v>
      </c>
      <c r="I52" s="2">
        <f t="shared" si="30"/>
        <v>-0.71369094234983843</v>
      </c>
      <c r="J52" s="2">
        <f t="shared" si="24"/>
        <v>9.8095714623999601</v>
      </c>
      <c r="K52" s="2">
        <f t="shared" si="25"/>
        <v>-9.8095714623999601</v>
      </c>
      <c r="L52" s="2">
        <f t="shared" si="26"/>
        <v>0.35969918842853671</v>
      </c>
      <c r="M52" s="2">
        <f t="shared" si="27"/>
        <v>-0.35969918842853671</v>
      </c>
      <c r="N52" s="2">
        <f t="shared" si="28"/>
        <v>9.9065577062356258</v>
      </c>
      <c r="O52" s="2">
        <f t="shared" si="31"/>
        <v>-9.9065577062356258</v>
      </c>
    </row>
    <row r="53" spans="1:15" x14ac:dyDescent="0.25">
      <c r="A53" s="1">
        <f t="shared" ref="A53:A60" si="33">A52+1000000000*SecondsPerYear</f>
        <v>6.626949E+16</v>
      </c>
      <c r="B53" s="6">
        <f t="shared" si="18"/>
        <v>2.1</v>
      </c>
      <c r="C53" s="1">
        <f t="shared" si="29"/>
        <v>54.777403774605425</v>
      </c>
      <c r="D53" s="1">
        <f t="shared" si="19"/>
        <v>0.13728577626021291</v>
      </c>
      <c r="E53" s="1">
        <f t="shared" si="20"/>
        <v>2.0637231640343696E-18</v>
      </c>
      <c r="F53" s="1">
        <f t="shared" si="21"/>
        <v>1.503231594890622E-17</v>
      </c>
      <c r="G53" s="2">
        <f t="shared" si="22"/>
        <v>463.84880299016345</v>
      </c>
      <c r="H53" s="2">
        <f t="shared" si="23"/>
        <v>1.3600294647671523</v>
      </c>
      <c r="I53" s="2">
        <f t="shared" si="30"/>
        <v>-1.3600294647671523</v>
      </c>
      <c r="J53" s="2">
        <f t="shared" si="24"/>
        <v>9.557596427711422</v>
      </c>
      <c r="K53" s="2">
        <f t="shared" si="25"/>
        <v>-9.557596427711422</v>
      </c>
      <c r="L53" s="2">
        <f t="shared" si="26"/>
        <v>0.69043448079463521</v>
      </c>
      <c r="M53" s="2">
        <f t="shared" si="27"/>
        <v>-0.69043448079463521</v>
      </c>
      <c r="N53" s="2">
        <f t="shared" si="28"/>
        <v>9.9065577062356258</v>
      </c>
      <c r="O53" s="2">
        <f t="shared" si="31"/>
        <v>-9.9065577062356258</v>
      </c>
    </row>
    <row r="54" spans="1:15" x14ac:dyDescent="0.25">
      <c r="A54" s="1">
        <f t="shared" si="33"/>
        <v>9.782639E+16</v>
      </c>
      <c r="B54" s="6">
        <f t="shared" si="18"/>
        <v>3.1</v>
      </c>
      <c r="C54" s="1">
        <f t="shared" si="29"/>
        <v>24.596082273258055</v>
      </c>
      <c r="D54" s="1">
        <f t="shared" si="19"/>
        <v>0.2022916847960845</v>
      </c>
      <c r="E54" s="1">
        <f t="shared" si="20"/>
        <v>2.0561940988065021E-18</v>
      </c>
      <c r="F54" s="1">
        <f t="shared" si="21"/>
        <v>1.0164501328263699E-17</v>
      </c>
      <c r="G54" s="2">
        <f t="shared" si="22"/>
        <v>313.64373860503514</v>
      </c>
      <c r="H54" s="2">
        <f t="shared" si="23"/>
        <v>2.0040142489240389</v>
      </c>
      <c r="I54" s="2">
        <f t="shared" si="30"/>
        <v>-2.0040142489240389</v>
      </c>
      <c r="J54" s="2">
        <f t="shared" si="24"/>
        <v>9.161594022904227</v>
      </c>
      <c r="K54" s="2">
        <f t="shared" si="25"/>
        <v>-9.161594022904227</v>
      </c>
      <c r="L54" s="2">
        <f t="shared" si="26"/>
        <v>1.0247549270260368</v>
      </c>
      <c r="M54" s="2">
        <f t="shared" si="27"/>
        <v>-1.0247549270260368</v>
      </c>
      <c r="N54" s="2">
        <f t="shared" si="28"/>
        <v>9.9065577062356258</v>
      </c>
      <c r="O54" s="2">
        <f t="shared" si="31"/>
        <v>-9.9065577062356258</v>
      </c>
    </row>
    <row r="55" spans="1:15" x14ac:dyDescent="0.25">
      <c r="A55" s="1">
        <f t="shared" si="33"/>
        <v>1.2938329E+17</v>
      </c>
      <c r="B55" s="6">
        <f t="shared" si="18"/>
        <v>4.0999999999999996</v>
      </c>
      <c r="C55" s="1">
        <f t="shared" si="29"/>
        <v>13.63285845603866</v>
      </c>
      <c r="D55" s="1">
        <f t="shared" si="19"/>
        <v>0.26705999937346675</v>
      </c>
      <c r="E55" s="1">
        <f t="shared" si="20"/>
        <v>2.0486650335786343E-18</v>
      </c>
      <c r="F55" s="1">
        <f t="shared" si="21"/>
        <v>7.6711789050583505E-18</v>
      </c>
      <c r="G55" s="2">
        <f t="shared" si="22"/>
        <v>236.70784759507501</v>
      </c>
      <c r="H55" s="2">
        <f t="shared" si="23"/>
        <v>2.6456452948204983</v>
      </c>
      <c r="I55" s="2">
        <f t="shared" si="30"/>
        <v>-2.6456452948204983</v>
      </c>
      <c r="J55" s="2">
        <f t="shared" si="24"/>
        <v>8.6391557484818371</v>
      </c>
      <c r="K55" s="2">
        <f t="shared" si="25"/>
        <v>-8.6391557484818371</v>
      </c>
      <c r="L55" s="2">
        <f t="shared" si="26"/>
        <v>1.3626870792421375</v>
      </c>
      <c r="M55" s="2">
        <f t="shared" si="27"/>
        <v>-1.3626870792421375</v>
      </c>
      <c r="N55" s="2">
        <f t="shared" si="28"/>
        <v>9.9065577062356258</v>
      </c>
      <c r="O55" s="2">
        <f t="shared" si="31"/>
        <v>-9.9065577062356258</v>
      </c>
    </row>
    <row r="56" spans="1:15" x14ac:dyDescent="0.25">
      <c r="A56" s="1">
        <f t="shared" si="33"/>
        <v>1.6094019E+17</v>
      </c>
      <c r="B56" s="6">
        <f t="shared" si="18"/>
        <v>5.0999999999999996</v>
      </c>
      <c r="C56" s="1">
        <f t="shared" si="29"/>
        <v>8.4570684600542059</v>
      </c>
      <c r="D56" s="1">
        <f t="shared" si="19"/>
        <v>0.33159071999235967</v>
      </c>
      <c r="E56" s="1">
        <f t="shared" si="20"/>
        <v>2.0411359683507668E-18</v>
      </c>
      <c r="F56" s="1">
        <f t="shared" si="21"/>
        <v>6.1555883361204964E-18</v>
      </c>
      <c r="G56" s="2">
        <f t="shared" si="22"/>
        <v>189.94160920476517</v>
      </c>
      <c r="H56" s="2">
        <f t="shared" si="23"/>
        <v>3.2849226024565308</v>
      </c>
      <c r="I56" s="2">
        <f t="shared" si="30"/>
        <v>-3.2849226024565308</v>
      </c>
      <c r="J56" s="2">
        <f t="shared" si="24"/>
        <v>8.0118473973037343</v>
      </c>
      <c r="K56" s="2">
        <f t="shared" si="25"/>
        <v>-8.0118473973037343</v>
      </c>
      <c r="L56" s="2">
        <f t="shared" si="26"/>
        <v>1.7042578813297442</v>
      </c>
      <c r="M56" s="2">
        <f t="shared" si="27"/>
        <v>-1.7042578813297442</v>
      </c>
      <c r="N56" s="2">
        <f t="shared" si="28"/>
        <v>9.9065577062356258</v>
      </c>
      <c r="O56" s="2">
        <f t="shared" si="31"/>
        <v>-9.9065577062356258</v>
      </c>
    </row>
    <row r="57" spans="1:15" x14ac:dyDescent="0.25">
      <c r="A57" s="1">
        <f t="shared" si="33"/>
        <v>1.9249709E+17</v>
      </c>
      <c r="B57" s="6">
        <f t="shared" si="18"/>
        <v>6.1</v>
      </c>
      <c r="C57" s="1">
        <f t="shared" si="29"/>
        <v>5.6105442259072804</v>
      </c>
      <c r="D57" s="1">
        <f t="shared" si="19"/>
        <v>0.39588384665276338</v>
      </c>
      <c r="E57" s="1">
        <f t="shared" si="20"/>
        <v>2.0336069031228994E-18</v>
      </c>
      <c r="F57" s="1">
        <f t="shared" si="21"/>
        <v>5.1368776986412667E-18</v>
      </c>
      <c r="G57" s="2">
        <f t="shared" si="22"/>
        <v>158.50748345899353</v>
      </c>
      <c r="H57" s="2">
        <f t="shared" si="23"/>
        <v>3.921846171832136</v>
      </c>
      <c r="I57" s="2">
        <f t="shared" si="30"/>
        <v>-3.921846171832136</v>
      </c>
      <c r="J57" s="2">
        <f t="shared" si="24"/>
        <v>7.3031807565261904</v>
      </c>
      <c r="K57" s="2">
        <f t="shared" si="25"/>
        <v>-7.3031807565261904</v>
      </c>
      <c r="L57" s="2">
        <f t="shared" si="26"/>
        <v>2.0494946761953203</v>
      </c>
      <c r="M57" s="2">
        <f t="shared" si="27"/>
        <v>-2.0494946761953203</v>
      </c>
      <c r="N57" s="2">
        <f t="shared" si="28"/>
        <v>9.9065577062356258</v>
      </c>
      <c r="O57" s="2">
        <f t="shared" si="31"/>
        <v>-9.9065577062356258</v>
      </c>
    </row>
    <row r="58" spans="1:15" x14ac:dyDescent="0.25">
      <c r="A58" s="1">
        <f t="shared" si="33"/>
        <v>2.2405399E+17</v>
      </c>
      <c r="B58" s="6">
        <f t="shared" si="18"/>
        <v>7.1</v>
      </c>
      <c r="C58" s="1">
        <f t="shared" si="29"/>
        <v>3.8795546646699046</v>
      </c>
      <c r="D58" s="1">
        <f t="shared" si="19"/>
        <v>0.45993937935467777</v>
      </c>
      <c r="E58" s="1">
        <f t="shared" si="20"/>
        <v>2.0260778378950315E-18</v>
      </c>
      <c r="F58" s="1">
        <f t="shared" si="21"/>
        <v>4.4050975603301016E-18</v>
      </c>
      <c r="G58" s="2">
        <f t="shared" si="22"/>
        <v>135.92710779623292</v>
      </c>
      <c r="H58" s="2">
        <f t="shared" si="23"/>
        <v>4.5564160029473131</v>
      </c>
      <c r="I58" s="2">
        <f t="shared" si="30"/>
        <v>-4.5564160029473131</v>
      </c>
      <c r="J58" s="2">
        <f t="shared" si="24"/>
        <v>6.5367250331034645</v>
      </c>
      <c r="K58" s="2">
        <f t="shared" si="25"/>
        <v>-6.5367250331034645</v>
      </c>
      <c r="L58" s="2">
        <f t="shared" si="26"/>
        <v>2.3984252131789248</v>
      </c>
      <c r="M58" s="2">
        <f t="shared" si="27"/>
        <v>-2.3984252131789248</v>
      </c>
      <c r="N58" s="2">
        <f t="shared" si="28"/>
        <v>9.9065577062356258</v>
      </c>
      <c r="O58" s="2">
        <f t="shared" si="31"/>
        <v>-9.9065577062356258</v>
      </c>
    </row>
    <row r="59" spans="1:15" x14ac:dyDescent="0.25">
      <c r="A59" s="1">
        <f t="shared" si="33"/>
        <v>2.5561089E+17</v>
      </c>
      <c r="B59" s="6">
        <f t="shared" si="18"/>
        <v>8.1</v>
      </c>
      <c r="C59" s="1">
        <f t="shared" si="29"/>
        <v>2.7490984704467292</v>
      </c>
      <c r="D59" s="1">
        <f t="shared" si="19"/>
        <v>0.52375731809810289</v>
      </c>
      <c r="E59" s="1">
        <f t="shared" si="20"/>
        <v>2.0185487726671641E-18</v>
      </c>
      <c r="F59" s="1">
        <f t="shared" si="21"/>
        <v>3.8539772198258396E-18</v>
      </c>
      <c r="G59" s="2">
        <f t="shared" si="22"/>
        <v>118.92131101047325</v>
      </c>
      <c r="H59" s="2">
        <f t="shared" si="23"/>
        <v>5.1886320958020642</v>
      </c>
      <c r="I59" s="2">
        <f t="shared" si="30"/>
        <v>-5.1886320958020642</v>
      </c>
      <c r="J59" s="2">
        <f t="shared" si="24"/>
        <v>5.7345836914269777</v>
      </c>
      <c r="K59" s="2">
        <f t="shared" si="25"/>
        <v>-5.7345836914269777</v>
      </c>
      <c r="L59" s="2">
        <f t="shared" si="26"/>
        <v>2.7510776556340821</v>
      </c>
      <c r="M59" s="2">
        <f t="shared" si="27"/>
        <v>-2.7510776556340821</v>
      </c>
      <c r="N59" s="2">
        <f t="shared" si="28"/>
        <v>9.9065577062356258</v>
      </c>
      <c r="O59" s="2">
        <f t="shared" si="31"/>
        <v>-9.9065577062356258</v>
      </c>
    </row>
    <row r="60" spans="1:15" x14ac:dyDescent="0.25">
      <c r="A60" s="1">
        <f t="shared" si="33"/>
        <v>2.8716779E+17</v>
      </c>
      <c r="B60" s="6">
        <f t="shared" si="18"/>
        <v>9.1</v>
      </c>
      <c r="C60" s="1">
        <f t="shared" si="29"/>
        <v>1.9703942838547266</v>
      </c>
      <c r="D60" s="1">
        <f t="shared" si="19"/>
        <v>0.58733766288303857</v>
      </c>
      <c r="E60" s="1">
        <f t="shared" si="20"/>
        <v>2.0110197074392966E-18</v>
      </c>
      <c r="F60" s="1">
        <f t="shared" si="21"/>
        <v>3.4239583710124982E-18</v>
      </c>
      <c r="G60" s="2">
        <f t="shared" si="22"/>
        <v>105.65231580286587</v>
      </c>
      <c r="H60" s="2">
        <f t="shared" si="23"/>
        <v>5.818494450396388</v>
      </c>
      <c r="I60" s="2">
        <f t="shared" si="30"/>
        <v>-5.818494450396388</v>
      </c>
      <c r="J60" s="2">
        <f t="shared" si="24"/>
        <v>4.9163441415426643</v>
      </c>
      <c r="K60" s="2">
        <f t="shared" si="25"/>
        <v>-4.9163441415426643</v>
      </c>
      <c r="L60" s="2">
        <f t="shared" si="26"/>
        <v>3.107480588677908</v>
      </c>
      <c r="M60" s="2">
        <f t="shared" si="27"/>
        <v>-3.107480588677908</v>
      </c>
      <c r="N60" s="2">
        <f t="shared" si="28"/>
        <v>9.9065577062356258</v>
      </c>
      <c r="O60" s="2">
        <f t="shared" si="31"/>
        <v>-9.9065577062356258</v>
      </c>
    </row>
    <row r="61" spans="1:15" x14ac:dyDescent="0.25">
      <c r="A61" s="1">
        <f t="shared" ref="A61:A70" si="34">A60+2000000000*SecondsPerYear</f>
        <v>3.5028159E+17</v>
      </c>
      <c r="B61" s="6">
        <f t="shared" si="18"/>
        <v>11.1</v>
      </c>
      <c r="C61" s="1">
        <f t="shared" si="29"/>
        <v>0.99641547476673886</v>
      </c>
      <c r="D61" s="1">
        <f t="shared" si="19"/>
        <v>0.7137855705774423</v>
      </c>
      <c r="E61" s="1">
        <f t="shared" si="20"/>
        <v>1.9959615769835613E-18</v>
      </c>
      <c r="F61" s="1">
        <f t="shared" si="21"/>
        <v>2.7963041832981533E-18</v>
      </c>
      <c r="G61" s="2">
        <f t="shared" si="22"/>
        <v>86.2849312526332</v>
      </c>
      <c r="H61" s="2">
        <f t="shared" si="23"/>
        <v>7.0711579448037556</v>
      </c>
      <c r="I61" s="2">
        <f t="shared" si="30"/>
        <v>-7.0711579448037556</v>
      </c>
      <c r="J61" s="2">
        <f t="shared" si="24"/>
        <v>3.2942852829617348</v>
      </c>
      <c r="K61" s="2">
        <f t="shared" si="25"/>
        <v>-3.2942852829617348</v>
      </c>
      <c r="L61" s="2">
        <f t="shared" si="26"/>
        <v>3.8316544235466781</v>
      </c>
      <c r="M61" s="2">
        <f t="shared" si="27"/>
        <v>-3.8316544235466781</v>
      </c>
      <c r="N61" s="2">
        <f t="shared" si="28"/>
        <v>9.9065577062356258</v>
      </c>
      <c r="O61" s="2">
        <f t="shared" si="31"/>
        <v>-9.9065577062356258</v>
      </c>
    </row>
    <row r="62" spans="1:15" x14ac:dyDescent="0.25">
      <c r="A62" s="1">
        <f t="shared" si="34"/>
        <v>4.1339539E+17</v>
      </c>
      <c r="B62" s="6">
        <f t="shared" si="18"/>
        <v>13.1</v>
      </c>
      <c r="C62" s="1">
        <f t="shared" si="29"/>
        <v>0.4333567428821743</v>
      </c>
      <c r="D62" s="1">
        <f t="shared" si="19"/>
        <v>0.83928310243788862</v>
      </c>
      <c r="E62" s="1">
        <f t="shared" si="20"/>
        <v>1.9809034465278264E-18</v>
      </c>
      <c r="F62" s="1">
        <f t="shared" si="21"/>
        <v>2.3602327281150323E-18</v>
      </c>
      <c r="G62" s="2">
        <f t="shared" si="22"/>
        <v>72.829172127267896</v>
      </c>
      <c r="H62" s="2">
        <f t="shared" si="23"/>
        <v>8.3144064861694122</v>
      </c>
      <c r="I62" s="2">
        <f t="shared" si="30"/>
        <v>-8.3144064861694122</v>
      </c>
      <c r="J62" s="2">
        <f t="shared" si="24"/>
        <v>1.7642598411869814</v>
      </c>
      <c r="K62" s="2">
        <f t="shared" si="25"/>
        <v>-1.7642598411869814</v>
      </c>
      <c r="L62" s="2">
        <f t="shared" si="26"/>
        <v>4.5711841396618826</v>
      </c>
      <c r="M62" s="2">
        <f t="shared" si="27"/>
        <v>-4.5711841396618826</v>
      </c>
      <c r="N62" s="2">
        <f t="shared" si="28"/>
        <v>9.9065577062356258</v>
      </c>
      <c r="O62" s="2">
        <f t="shared" si="31"/>
        <v>-9.9065577062356258</v>
      </c>
    </row>
    <row r="63" spans="1:15" x14ac:dyDescent="0.25">
      <c r="A63" s="1">
        <f t="shared" si="34"/>
        <v>4.7650919E+17</v>
      </c>
      <c r="B63" s="6">
        <f t="shared" si="18"/>
        <v>15.1</v>
      </c>
      <c r="C63" s="1">
        <f t="shared" si="29"/>
        <v>7.8805099100959897E-2</v>
      </c>
      <c r="D63" s="1">
        <f t="shared" si="19"/>
        <v>0.96383025846437809</v>
      </c>
      <c r="E63" s="1">
        <f t="shared" si="20"/>
        <v>1.9658453160720911E-18</v>
      </c>
      <c r="F63" s="1">
        <f t="shared" si="21"/>
        <v>2.0396177634059474E-18</v>
      </c>
      <c r="G63" s="2">
        <f t="shared" si="22"/>
        <v>62.93602804311476</v>
      </c>
      <c r="H63" s="2">
        <f t="shared" si="23"/>
        <v>9.5482400744933607</v>
      </c>
      <c r="I63" s="2">
        <f t="shared" si="30"/>
        <v>-9.5482400744933607</v>
      </c>
      <c r="J63" s="2">
        <f t="shared" si="24"/>
        <v>0.37554615491702786</v>
      </c>
      <c r="K63" s="2">
        <f t="shared" si="25"/>
        <v>-0.37554615491702786</v>
      </c>
      <c r="L63" s="2">
        <f t="shared" si="26"/>
        <v>5.3263144333882781</v>
      </c>
      <c r="M63" s="2">
        <f t="shared" si="27"/>
        <v>-5.3263144333882781</v>
      </c>
      <c r="N63" s="2">
        <f t="shared" si="28"/>
        <v>9.9065577062356258</v>
      </c>
      <c r="O63" s="2">
        <f t="shared" si="31"/>
        <v>-9.9065577062356258</v>
      </c>
    </row>
    <row r="64" spans="1:15" x14ac:dyDescent="0.25">
      <c r="A64" s="49">
        <f>Age</f>
        <v>4.9492885691181101E+17</v>
      </c>
      <c r="B64" s="50">
        <f>A64/Gyr</f>
        <v>15.68369696997522</v>
      </c>
      <c r="C64" s="49">
        <f t="shared" si="29"/>
        <v>0</v>
      </c>
      <c r="D64" s="51">
        <f t="shared" si="19"/>
        <v>1</v>
      </c>
      <c r="E64" s="51">
        <f t="shared" si="20"/>
        <v>1.9614506235118389E-18</v>
      </c>
      <c r="F64" s="51">
        <f t="shared" si="21"/>
        <v>1.9614506235118389E-18</v>
      </c>
      <c r="G64" s="52">
        <f>F64*Mpc/1000</f>
        <v>60.524042132475017</v>
      </c>
      <c r="H64" s="53">
        <f t="shared" si="23"/>
        <v>9.9065577062356258</v>
      </c>
      <c r="I64" s="53">
        <f>-H64</f>
        <v>-9.9065577062356258</v>
      </c>
      <c r="J64" s="2">
        <f t="shared" si="24"/>
        <v>0</v>
      </c>
      <c r="K64" s="52">
        <f>-J64</f>
        <v>0</v>
      </c>
      <c r="L64" s="53">
        <f t="shared" si="26"/>
        <v>5.5496750920292355</v>
      </c>
      <c r="M64" s="52">
        <f>-L64</f>
        <v>-5.5496750920292355</v>
      </c>
      <c r="N64" s="53">
        <f t="shared" si="28"/>
        <v>9.9065577062356258</v>
      </c>
      <c r="O64" s="52">
        <f>-N64</f>
        <v>-9.9065577062356258</v>
      </c>
    </row>
    <row r="65" spans="1:15" x14ac:dyDescent="0.25">
      <c r="A65" s="1">
        <f>A63+2000000000*SecondsPerYear</f>
        <v>5.3962299E+17</v>
      </c>
      <c r="B65" s="6">
        <f t="shared" si="18"/>
        <v>17.100000000000001</v>
      </c>
      <c r="C65" s="1">
        <f t="shared" si="29"/>
        <v>-0.15878953987206357</v>
      </c>
      <c r="D65" s="1">
        <f t="shared" si="19"/>
        <v>1.08742703865691</v>
      </c>
      <c r="E65" s="1">
        <f t="shared" si="20"/>
        <v>1.9507871856163558E-18</v>
      </c>
      <c r="F65" s="1">
        <f t="shared" si="21"/>
        <v>1.7939476546636073E-18</v>
      </c>
      <c r="G65" s="2">
        <f t="shared" si="22"/>
        <v>55.35544057689075</v>
      </c>
      <c r="H65" s="2">
        <f t="shared" si="23"/>
        <v>10.772658709775602</v>
      </c>
      <c r="I65" s="2">
        <f t="shared" si="30"/>
        <v>-10.772658709775602</v>
      </c>
      <c r="J65" s="2">
        <f t="shared" si="24"/>
        <v>-0.85436063608931301</v>
      </c>
      <c r="K65" s="2">
        <f t="shared" si="25"/>
        <v>0.85436063608931301</v>
      </c>
      <c r="L65" s="2">
        <f t="shared" si="26"/>
        <v>6.097297556337665</v>
      </c>
      <c r="M65" s="2">
        <f t="shared" si="27"/>
        <v>-6.097297556337665</v>
      </c>
      <c r="N65" s="2">
        <f t="shared" si="28"/>
        <v>9.9065577062356258</v>
      </c>
      <c r="O65" s="2">
        <f t="shared" si="31"/>
        <v>-9.9065577062356258</v>
      </c>
    </row>
    <row r="66" spans="1:15" x14ac:dyDescent="0.25">
      <c r="A66" s="1">
        <f>A65+2000000000*SecondsPerYear</f>
        <v>6.0273679E+17</v>
      </c>
      <c r="B66" s="6">
        <f t="shared" ref="B66:B80" si="35">A66/Gyr</f>
        <v>19.100000000000001</v>
      </c>
      <c r="C66" s="1">
        <f t="shared" si="29"/>
        <v>-0.32573572367531078</v>
      </c>
      <c r="D66" s="1">
        <f t="shared" si="19"/>
        <v>1.2100734430154851</v>
      </c>
      <c r="E66" s="1">
        <f t="shared" si="20"/>
        <v>1.9357290551606209E-18</v>
      </c>
      <c r="F66" s="1">
        <f t="shared" si="21"/>
        <v>1.5996789833985716E-18</v>
      </c>
      <c r="G66" s="2">
        <f t="shared" ref="G66:G80" si="36">F66*Mpc/1000</f>
        <v>49.360935742701642</v>
      </c>
      <c r="H66" s="2">
        <f t="shared" si="23"/>
        <v>11.987662392016134</v>
      </c>
      <c r="I66" s="2">
        <f t="shared" si="30"/>
        <v>-11.987662392016134</v>
      </c>
      <c r="J66" s="2">
        <f t="shared" si="24"/>
        <v>-1.9273658222318144</v>
      </c>
      <c r="K66" s="2">
        <f t="shared" si="25"/>
        <v>1.9273658222318144</v>
      </c>
      <c r="L66" s="2">
        <f t="shared" si="26"/>
        <v>6.8843936092320694</v>
      </c>
      <c r="M66" s="2">
        <f t="shared" si="27"/>
        <v>-6.8843936092320694</v>
      </c>
      <c r="N66" s="2">
        <f t="shared" si="28"/>
        <v>9.9065577062356258</v>
      </c>
      <c r="O66" s="2">
        <f t="shared" ref="O66:O80" si="37">-N66</f>
        <v>-9.9065577062356258</v>
      </c>
    </row>
    <row r="67" spans="1:15" x14ac:dyDescent="0.25">
      <c r="A67" s="1">
        <f t="shared" si="34"/>
        <v>6.6585059E+17</v>
      </c>
      <c r="B67" s="6">
        <f t="shared" si="35"/>
        <v>21.1</v>
      </c>
      <c r="C67" s="1">
        <f t="shared" si="29"/>
        <v>-0.44750039162190902</v>
      </c>
      <c r="D67" s="1">
        <f t="shared" si="19"/>
        <v>1.3317694715401029</v>
      </c>
      <c r="E67" s="1">
        <f t="shared" si="20"/>
        <v>1.9206709247048856E-18</v>
      </c>
      <c r="F67" s="1">
        <f t="shared" si="21"/>
        <v>1.4421947384660778E-18</v>
      </c>
      <c r="G67" s="2">
        <f t="shared" si="36"/>
        <v>44.501479704787393</v>
      </c>
      <c r="H67" s="2">
        <f t="shared" si="23"/>
        <v>13.193251121214956</v>
      </c>
      <c r="I67" s="2">
        <f t="shared" si="30"/>
        <v>-13.193251121214956</v>
      </c>
      <c r="J67" s="2">
        <f t="shared" si="24"/>
        <v>-2.8555166321728551</v>
      </c>
      <c r="K67" s="2">
        <f t="shared" si="25"/>
        <v>2.8555166321728551</v>
      </c>
      <c r="L67" s="2">
        <f t="shared" si="26"/>
        <v>7.687870849590297</v>
      </c>
      <c r="M67" s="2">
        <f t="shared" si="27"/>
        <v>-7.687870849590297</v>
      </c>
      <c r="N67" s="2">
        <f t="shared" si="28"/>
        <v>9.9065577062356258</v>
      </c>
      <c r="O67" s="2">
        <f t="shared" si="37"/>
        <v>-9.9065577062356258</v>
      </c>
    </row>
    <row r="68" spans="1:15" x14ac:dyDescent="0.25">
      <c r="A68" s="1">
        <f t="shared" si="34"/>
        <v>7.2896439E+17</v>
      </c>
      <c r="B68" s="6">
        <f t="shared" si="35"/>
        <v>23.1</v>
      </c>
      <c r="C68" s="1">
        <f t="shared" si="29"/>
        <v>-0.53902972087102952</v>
      </c>
      <c r="D68" s="1">
        <f t="shared" si="19"/>
        <v>1.4525151242307635</v>
      </c>
      <c r="E68" s="1">
        <f t="shared" si="20"/>
        <v>1.9056127942491503E-18</v>
      </c>
      <c r="F68" s="1">
        <f t="shared" si="21"/>
        <v>1.3119400703371967E-18</v>
      </c>
      <c r="G68" s="2">
        <f t="shared" si="36"/>
        <v>40.482240613431102</v>
      </c>
      <c r="H68" s="2">
        <f t="shared" si="23"/>
        <v>14.389424897372072</v>
      </c>
      <c r="I68" s="2">
        <f t="shared" si="30"/>
        <v>-14.389424897372072</v>
      </c>
      <c r="J68" s="2">
        <f t="shared" si="24"/>
        <v>-3.6550565822383452</v>
      </c>
      <c r="K68" s="2">
        <f t="shared" si="25"/>
        <v>3.6550565822383452</v>
      </c>
      <c r="L68" s="2">
        <f t="shared" si="26"/>
        <v>8.5080060140025111</v>
      </c>
      <c r="M68" s="2">
        <f t="shared" si="27"/>
        <v>-8.5080060140025111</v>
      </c>
      <c r="N68" s="2">
        <f t="shared" si="28"/>
        <v>9.9065577062356258</v>
      </c>
      <c r="O68" s="2">
        <f t="shared" si="37"/>
        <v>-9.9065577062356258</v>
      </c>
    </row>
    <row r="69" spans="1:15" x14ac:dyDescent="0.25">
      <c r="A69" s="1">
        <f t="shared" si="34"/>
        <v>7.9207819E+17</v>
      </c>
      <c r="B69" s="6">
        <f t="shared" si="35"/>
        <v>25.1</v>
      </c>
      <c r="C69" s="1">
        <f t="shared" si="29"/>
        <v>-0.60956437096869909</v>
      </c>
      <c r="D69" s="1">
        <f t="shared" si="19"/>
        <v>1.5723104010874671</v>
      </c>
      <c r="E69" s="1">
        <f t="shared" si="20"/>
        <v>1.890554663793415E-18</v>
      </c>
      <c r="F69" s="1">
        <f t="shared" si="21"/>
        <v>1.2024054935245856E-18</v>
      </c>
      <c r="G69" s="2">
        <f t="shared" si="36"/>
        <v>37.102356734376485</v>
      </c>
      <c r="H69" s="2">
        <f t="shared" si="23"/>
        <v>15.576183720487476</v>
      </c>
      <c r="I69" s="2">
        <f t="shared" si="30"/>
        <v>-15.576183720487476</v>
      </c>
      <c r="J69" s="2">
        <f t="shared" si="24"/>
        <v>-4.3430163112791584</v>
      </c>
      <c r="K69" s="2">
        <f t="shared" si="25"/>
        <v>4.3430163112791584</v>
      </c>
      <c r="L69" s="2">
        <f t="shared" si="26"/>
        <v>9.3450846558061507</v>
      </c>
      <c r="M69" s="2">
        <f t="shared" si="27"/>
        <v>-9.3450846558061507</v>
      </c>
      <c r="N69" s="2">
        <f t="shared" si="28"/>
        <v>9.9065577062356258</v>
      </c>
      <c r="O69" s="2">
        <f t="shared" si="37"/>
        <v>-9.9065577062356258</v>
      </c>
    </row>
    <row r="70" spans="1:15" x14ac:dyDescent="0.25">
      <c r="A70" s="1">
        <f t="shared" si="34"/>
        <v>8.5519199E+17</v>
      </c>
      <c r="B70" s="6">
        <f t="shared" si="35"/>
        <v>27.1</v>
      </c>
      <c r="C70" s="1">
        <f t="shared" si="29"/>
        <v>-0.66506671934476669</v>
      </c>
      <c r="D70" s="1">
        <f t="shared" si="19"/>
        <v>1.6911553021102133</v>
      </c>
      <c r="E70" s="1">
        <f t="shared" si="20"/>
        <v>1.8754965333376801E-18</v>
      </c>
      <c r="F70" s="1">
        <f t="shared" si="21"/>
        <v>1.1090031359020942E-18</v>
      </c>
      <c r="G70" s="2">
        <f t="shared" si="36"/>
        <v>34.22026112602785</v>
      </c>
      <c r="H70" s="2">
        <f t="shared" si="23"/>
        <v>16.753527590561173</v>
      </c>
      <c r="I70" s="2">
        <f t="shared" si="30"/>
        <v>-16.753527590561173</v>
      </c>
      <c r="J70" s="2">
        <f t="shared" si="24"/>
        <v>-4.9354690074487184</v>
      </c>
      <c r="K70" s="2">
        <f t="shared" si="25"/>
        <v>4.9354690074487184</v>
      </c>
      <c r="L70" s="2">
        <f t="shared" si="26"/>
        <v>10.199401499028845</v>
      </c>
      <c r="M70" s="2">
        <f t="shared" si="27"/>
        <v>-10.199401499028845</v>
      </c>
      <c r="N70" s="2">
        <f t="shared" si="28"/>
        <v>9.9065577062356258</v>
      </c>
      <c r="O70" s="2">
        <f t="shared" si="37"/>
        <v>-9.9065577062356258</v>
      </c>
    </row>
    <row r="71" spans="1:15" x14ac:dyDescent="0.25">
      <c r="A71" s="1">
        <f>A70+2000000000*SecondsPerYear</f>
        <v>9.1830579E+17</v>
      </c>
      <c r="B71" s="6">
        <f t="shared" si="35"/>
        <v>29.1</v>
      </c>
      <c r="C71" s="1">
        <f t="shared" si="29"/>
        <v>-0.70952356414542828</v>
      </c>
      <c r="D71" s="1">
        <f t="shared" si="19"/>
        <v>1.8090498272990023</v>
      </c>
      <c r="E71" s="1">
        <f t="shared" si="20"/>
        <v>1.8604384028819448E-18</v>
      </c>
      <c r="F71" s="1">
        <f t="shared" si="21"/>
        <v>1.0284063903644201E-18</v>
      </c>
      <c r="G71" s="2">
        <f t="shared" si="36"/>
        <v>31.733305418762189</v>
      </c>
      <c r="H71" s="2">
        <f t="shared" si="23"/>
        <v>17.921456507593163</v>
      </c>
      <c r="I71" s="2">
        <f t="shared" si="30"/>
        <v>-17.921456507593163</v>
      </c>
      <c r="J71" s="2">
        <f t="shared" si="24"/>
        <v>-5.4467760408860153</v>
      </c>
      <c r="K71" s="2">
        <f t="shared" si="25"/>
        <v>5.4467760408860153</v>
      </c>
      <c r="L71" s="2">
        <f t="shared" si="26"/>
        <v>11.071260809519865</v>
      </c>
      <c r="M71" s="2">
        <f t="shared" si="27"/>
        <v>-11.071260809519865</v>
      </c>
      <c r="N71" s="2">
        <f t="shared" si="28"/>
        <v>9.9065577062356258</v>
      </c>
      <c r="O71" s="2">
        <f t="shared" si="37"/>
        <v>-9.9065577062356258</v>
      </c>
    </row>
    <row r="72" spans="1:15" x14ac:dyDescent="0.25">
      <c r="A72" s="1">
        <f t="shared" ref="A72:A80" si="38">A71+2000000000*SecondsPerYear</f>
        <v>9.8141959E+17</v>
      </c>
      <c r="B72" s="6">
        <f t="shared" si="35"/>
        <v>31.1</v>
      </c>
      <c r="C72" s="1">
        <f t="shared" si="29"/>
        <v>-0.7456825811912513</v>
      </c>
      <c r="D72" s="1">
        <f t="shared" si="19"/>
        <v>1.9259939766538343</v>
      </c>
      <c r="E72" s="1">
        <f t="shared" si="20"/>
        <v>1.8453802724262095E-18</v>
      </c>
      <c r="F72" s="1">
        <f t="shared" si="21"/>
        <v>9.5814436327174784E-19</v>
      </c>
      <c r="G72" s="2">
        <f t="shared" si="36"/>
        <v>29.565245801510073</v>
      </c>
      <c r="H72" s="2">
        <f t="shared" si="23"/>
        <v>19.079970471583444</v>
      </c>
      <c r="I72" s="2">
        <f t="shared" si="30"/>
        <v>-19.079970471583444</v>
      </c>
      <c r="J72" s="2">
        <f t="shared" si="24"/>
        <v>-5.8893764930105101</v>
      </c>
      <c r="K72" s="2">
        <f t="shared" si="25"/>
        <v>5.8893764930105101</v>
      </c>
      <c r="L72" s="2">
        <f t="shared" si="26"/>
        <v>11.960976784251981</v>
      </c>
      <c r="M72" s="2">
        <f t="shared" si="27"/>
        <v>-11.960976784251981</v>
      </c>
      <c r="N72" s="2">
        <f t="shared" si="28"/>
        <v>9.9065577062356258</v>
      </c>
      <c r="O72" s="2">
        <f t="shared" si="37"/>
        <v>-9.9065577062356258</v>
      </c>
    </row>
    <row r="73" spans="1:15" x14ac:dyDescent="0.25">
      <c r="A73" s="1">
        <f t="shared" si="38"/>
        <v>1.04453339E+18</v>
      </c>
      <c r="B73" s="6">
        <f t="shared" si="35"/>
        <v>33.1</v>
      </c>
      <c r="C73" s="1">
        <f t="shared" si="29"/>
        <v>-0.7754873078504122</v>
      </c>
      <c r="D73" s="1">
        <f t="shared" si="19"/>
        <v>2.0419877501747088</v>
      </c>
      <c r="E73" s="1">
        <f t="shared" si="20"/>
        <v>1.8303221419704746E-18</v>
      </c>
      <c r="F73" s="1">
        <f t="shared" si="21"/>
        <v>8.9634335064638629E-19</v>
      </c>
      <c r="G73" s="2">
        <f t="shared" si="36"/>
        <v>27.658265810716326</v>
      </c>
      <c r="H73" s="2">
        <f t="shared" si="23"/>
        <v>20.229069482532012</v>
      </c>
      <c r="I73" s="2">
        <f t="shared" si="30"/>
        <v>-20.229069482532012</v>
      </c>
      <c r="J73" s="2">
        <f t="shared" si="24"/>
        <v>-6.27385066314603</v>
      </c>
      <c r="K73" s="2">
        <f t="shared" si="25"/>
        <v>6.27385066314603</v>
      </c>
      <c r="L73" s="2">
        <f t="shared" si="26"/>
        <v>12.868873959840156</v>
      </c>
      <c r="M73" s="2">
        <f t="shared" si="27"/>
        <v>-12.868873959840156</v>
      </c>
      <c r="N73" s="2">
        <f t="shared" si="28"/>
        <v>9.9065577062356258</v>
      </c>
      <c r="O73" s="2">
        <f t="shared" si="37"/>
        <v>-9.9065577062356258</v>
      </c>
    </row>
    <row r="74" spans="1:15" x14ac:dyDescent="0.25">
      <c r="A74" s="1">
        <f t="shared" si="38"/>
        <v>1.10764719E+18</v>
      </c>
      <c r="B74" s="6">
        <f t="shared" si="35"/>
        <v>35.1</v>
      </c>
      <c r="C74" s="1">
        <f t="shared" si="29"/>
        <v>-0.80034386843774818</v>
      </c>
      <c r="D74" s="1">
        <f t="shared" si="19"/>
        <v>2.1570311478616269</v>
      </c>
      <c r="E74" s="1">
        <f t="shared" si="20"/>
        <v>1.8152640115147393E-18</v>
      </c>
      <c r="F74" s="1">
        <f t="shared" si="21"/>
        <v>8.4155669857354711E-19</v>
      </c>
      <c r="G74" s="2">
        <f t="shared" si="36"/>
        <v>25.967726370872121</v>
      </c>
      <c r="H74" s="2">
        <f t="shared" si="23"/>
        <v>21.368753540438878</v>
      </c>
      <c r="I74" s="2">
        <f t="shared" si="30"/>
        <v>-21.368753540438878</v>
      </c>
      <c r="J74" s="2">
        <f t="shared" si="24"/>
        <v>-6.6091044832866581</v>
      </c>
      <c r="K74" s="2">
        <f t="shared" si="25"/>
        <v>6.6091044832866581</v>
      </c>
      <c r="L74" s="2">
        <f t="shared" si="26"/>
        <v>13.795287641392868</v>
      </c>
      <c r="M74" s="2">
        <f t="shared" si="27"/>
        <v>-13.795287641392868</v>
      </c>
      <c r="N74" s="2">
        <f t="shared" si="28"/>
        <v>9.9065577062356258</v>
      </c>
      <c r="O74" s="2">
        <f t="shared" si="37"/>
        <v>-9.9065577062356258</v>
      </c>
    </row>
    <row r="75" spans="1:15" x14ac:dyDescent="0.25">
      <c r="A75" s="1">
        <f t="shared" si="38"/>
        <v>1.17076099E+18</v>
      </c>
      <c r="B75" s="6">
        <f t="shared" si="35"/>
        <v>37.1</v>
      </c>
      <c r="C75" s="1">
        <f t="shared" si="29"/>
        <v>-0.82128991314651167</v>
      </c>
      <c r="D75" s="1">
        <f t="shared" si="19"/>
        <v>2.2711241697145872</v>
      </c>
      <c r="E75" s="1">
        <f t="shared" si="20"/>
        <v>1.8002058810590044E-18</v>
      </c>
      <c r="F75" s="1">
        <f t="shared" si="21"/>
        <v>7.9264969527634268E-19</v>
      </c>
      <c r="G75" s="2">
        <f t="shared" si="36"/>
        <v>24.458613935080422</v>
      </c>
      <c r="H75" s="2">
        <f t="shared" si="23"/>
        <v>22.499022645304031</v>
      </c>
      <c r="I75" s="2">
        <f t="shared" si="30"/>
        <v>-22.499022645304031</v>
      </c>
      <c r="J75" s="2">
        <f t="shared" si="24"/>
        <v>-6.9025929351756492</v>
      </c>
      <c r="K75" s="2">
        <f t="shared" si="25"/>
        <v>6.9025929351756492</v>
      </c>
      <c r="L75" s="2">
        <f t="shared" si="26"/>
        <v>14.740564352886647</v>
      </c>
      <c r="M75" s="2">
        <f t="shared" si="27"/>
        <v>-14.740564352886647</v>
      </c>
      <c r="N75" s="2">
        <f t="shared" si="28"/>
        <v>9.9065577062356258</v>
      </c>
      <c r="O75" s="2">
        <f t="shared" si="37"/>
        <v>-9.9065577062356258</v>
      </c>
    </row>
    <row r="76" spans="1:15" x14ac:dyDescent="0.25">
      <c r="A76" s="1">
        <f t="shared" si="38"/>
        <v>1.23387479E+18</v>
      </c>
      <c r="B76" s="6">
        <f t="shared" si="35"/>
        <v>39.1</v>
      </c>
      <c r="C76" s="1">
        <f t="shared" si="29"/>
        <v>-0.83910469538660148</v>
      </c>
      <c r="D76" s="1">
        <f t="shared" si="19"/>
        <v>2.3842668157335902</v>
      </c>
      <c r="E76" s="1">
        <f t="shared" si="20"/>
        <v>1.7851477506032691E-18</v>
      </c>
      <c r="F76" s="1">
        <f t="shared" si="21"/>
        <v>7.4871979042916627E-19</v>
      </c>
      <c r="G76" s="2">
        <f t="shared" si="36"/>
        <v>23.103078710295769</v>
      </c>
      <c r="H76" s="2">
        <f t="shared" si="23"/>
        <v>23.619876797127475</v>
      </c>
      <c r="I76" s="2">
        <f t="shared" si="30"/>
        <v>-23.619876797127475</v>
      </c>
      <c r="J76" s="2">
        <f t="shared" si="24"/>
        <v>-7.1605415694130237</v>
      </c>
      <c r="K76" s="2">
        <f t="shared" si="25"/>
        <v>7.1605415694130237</v>
      </c>
      <c r="L76" s="2">
        <f t="shared" si="26"/>
        <v>15.705062310334711</v>
      </c>
      <c r="M76" s="2">
        <f t="shared" si="27"/>
        <v>-15.705062310334711</v>
      </c>
      <c r="N76" s="2">
        <f t="shared" si="28"/>
        <v>9.9065577062356258</v>
      </c>
      <c r="O76" s="2">
        <f t="shared" si="37"/>
        <v>-9.9065577062356258</v>
      </c>
    </row>
    <row r="77" spans="1:15" x14ac:dyDescent="0.25">
      <c r="A77" s="1">
        <f t="shared" si="38"/>
        <v>1.29698859E+18</v>
      </c>
      <c r="B77" s="6">
        <f t="shared" si="35"/>
        <v>41.1</v>
      </c>
      <c r="C77" s="1">
        <f t="shared" si="29"/>
        <v>-0.8543826104238017</v>
      </c>
      <c r="D77" s="1">
        <f t="shared" si="19"/>
        <v>2.4964590859186364</v>
      </c>
      <c r="E77" s="1">
        <f t="shared" si="20"/>
        <v>1.7700896201475338E-18</v>
      </c>
      <c r="F77" s="1">
        <f t="shared" si="21"/>
        <v>7.090401081002231E-19</v>
      </c>
      <c r="G77" s="2">
        <f t="shared" si="36"/>
        <v>21.878691648856346</v>
      </c>
      <c r="H77" s="2">
        <f t="shared" si="23"/>
        <v>24.731315995909213</v>
      </c>
      <c r="I77" s="2">
        <f t="shared" si="30"/>
        <v>-24.731315995909213</v>
      </c>
      <c r="J77" s="2">
        <f t="shared" si="24"/>
        <v>-7.3881478322345764</v>
      </c>
      <c r="K77" s="2">
        <f t="shared" si="25"/>
        <v>7.3881478322345764</v>
      </c>
      <c r="L77" s="2">
        <f t="shared" si="26"/>
        <v>16.689151919107015</v>
      </c>
      <c r="M77" s="2">
        <f t="shared" si="27"/>
        <v>-16.689151919107015</v>
      </c>
      <c r="N77" s="2">
        <f t="shared" si="28"/>
        <v>9.9065577062356258</v>
      </c>
      <c r="O77" s="2">
        <f t="shared" si="37"/>
        <v>-9.9065577062356258</v>
      </c>
    </row>
    <row r="78" spans="1:15" x14ac:dyDescent="0.25">
      <c r="A78" s="1">
        <f t="shared" si="38"/>
        <v>1.36010239E+18</v>
      </c>
      <c r="B78" s="6">
        <f t="shared" si="35"/>
        <v>43.1</v>
      </c>
      <c r="C78" s="1">
        <f t="shared" si="29"/>
        <v>-0.86758342674403677</v>
      </c>
      <c r="D78" s="1">
        <f t="shared" si="19"/>
        <v>2.6077009802697249</v>
      </c>
      <c r="E78" s="1">
        <f t="shared" si="20"/>
        <v>1.7550314896917989E-18</v>
      </c>
      <c r="F78" s="1">
        <f t="shared" si="21"/>
        <v>6.7301868694710117E-19</v>
      </c>
      <c r="G78" s="2">
        <f t="shared" si="36"/>
        <v>20.767186732337088</v>
      </c>
      <c r="H78" s="2">
        <f t="shared" si="23"/>
        <v>25.833340241649243</v>
      </c>
      <c r="I78" s="2">
        <f t="shared" si="30"/>
        <v>-25.833340241649243</v>
      </c>
      <c r="J78" s="2">
        <f t="shared" si="24"/>
        <v>-7.5897558239557403</v>
      </c>
      <c r="K78" s="2">
        <f t="shared" si="25"/>
        <v>7.5897558239557403</v>
      </c>
      <c r="L78" s="2">
        <f t="shared" si="26"/>
        <v>17.69321629685227</v>
      </c>
      <c r="M78" s="2">
        <f t="shared" si="27"/>
        <v>-17.69321629685227</v>
      </c>
      <c r="N78" s="2">
        <f t="shared" si="28"/>
        <v>9.9065577062356258</v>
      </c>
      <c r="O78" s="2">
        <f t="shared" si="37"/>
        <v>-9.9065577062356258</v>
      </c>
    </row>
    <row r="79" spans="1:15" x14ac:dyDescent="0.25">
      <c r="A79" s="1">
        <f t="shared" si="38"/>
        <v>1.42321619E+18</v>
      </c>
      <c r="B79" s="6">
        <f t="shared" si="35"/>
        <v>45.1</v>
      </c>
      <c r="C79" s="1">
        <f t="shared" si="29"/>
        <v>-0.87906728548728374</v>
      </c>
      <c r="D79" s="1">
        <f t="shared" si="19"/>
        <v>2.7179924987868569</v>
      </c>
      <c r="E79" s="1">
        <f t="shared" si="20"/>
        <v>1.7399733592360636E-18</v>
      </c>
      <c r="F79" s="1">
        <f t="shared" si="21"/>
        <v>6.4016856559121483E-19</v>
      </c>
      <c r="G79" s="2">
        <f t="shared" si="36"/>
        <v>19.753537902655708</v>
      </c>
      <c r="H79" s="2">
        <f t="shared" si="23"/>
        <v>26.925949534347559</v>
      </c>
      <c r="I79" s="2">
        <f t="shared" si="30"/>
        <v>-26.925949534347559</v>
      </c>
      <c r="J79" s="2">
        <f t="shared" si="24"/>
        <v>-7.7690040433242169</v>
      </c>
      <c r="K79" s="2">
        <f t="shared" si="25"/>
        <v>7.7690040433242169</v>
      </c>
      <c r="L79" s="2">
        <f t="shared" si="26"/>
        <v>18.717651823572897</v>
      </c>
      <c r="M79" s="2">
        <f t="shared" si="27"/>
        <v>-18.717651823572897</v>
      </c>
      <c r="N79" s="2">
        <f t="shared" si="28"/>
        <v>9.9065577062356258</v>
      </c>
      <c r="O79" s="2">
        <f t="shared" si="37"/>
        <v>-9.9065577062356258</v>
      </c>
    </row>
    <row r="80" spans="1:15" x14ac:dyDescent="0.25">
      <c r="A80" s="1">
        <f t="shared" si="38"/>
        <v>1.48632999E+18</v>
      </c>
      <c r="B80" s="6">
        <f t="shared" si="35"/>
        <v>47.1</v>
      </c>
      <c r="C80" s="1">
        <f t="shared" si="29"/>
        <v>-0.88911952675744799</v>
      </c>
      <c r="D80" s="1">
        <f t="shared" si="19"/>
        <v>2.8273336414700312</v>
      </c>
      <c r="E80" s="1">
        <f t="shared" si="20"/>
        <v>1.7249152287803283E-18</v>
      </c>
      <c r="F80" s="1">
        <f t="shared" si="21"/>
        <v>6.1008548955102586E-19</v>
      </c>
      <c r="G80" s="2">
        <f t="shared" si="36"/>
        <v>18.825271169909247</v>
      </c>
      <c r="H80" s="2">
        <f t="shared" si="23"/>
        <v>28.00914387400417</v>
      </c>
      <c r="I80" s="2">
        <f t="shared" si="30"/>
        <v>-28.00914387400417</v>
      </c>
      <c r="J80" s="2">
        <f t="shared" si="24"/>
        <v>-7.92894835378062</v>
      </c>
      <c r="K80" s="2">
        <f t="shared" si="25"/>
        <v>7.92894835378062</v>
      </c>
      <c r="L80" s="2">
        <f t="shared" si="26"/>
        <v>19.762868720512184</v>
      </c>
      <c r="M80" s="2">
        <f t="shared" si="27"/>
        <v>-19.762868720512184</v>
      </c>
      <c r="N80" s="2">
        <f t="shared" si="28"/>
        <v>9.9065577062356258</v>
      </c>
      <c r="O80" s="2">
        <f t="shared" si="37"/>
        <v>-9.9065577062356258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0108154DBF84A9957198D40B40155" ma:contentTypeVersion="13" ma:contentTypeDescription="Create a new document." ma:contentTypeScope="" ma:versionID="4ba335fbef822dadca206cd1b92086de">
  <xsd:schema xmlns:xsd="http://www.w3.org/2001/XMLSchema" xmlns:xs="http://www.w3.org/2001/XMLSchema" xmlns:p="http://schemas.microsoft.com/office/2006/metadata/properties" xmlns:ns3="88f8ed94-7fb0-4b4c-b18c-6b35aef8c71e" xmlns:ns4="5affea6d-392a-4ef4-ac0b-e5e9669ff228" targetNamespace="http://schemas.microsoft.com/office/2006/metadata/properties" ma:root="true" ma:fieldsID="0cd7294525b2789f7824071f0f49b1a4" ns3:_="" ns4:_="">
    <xsd:import namespace="88f8ed94-7fb0-4b4c-b18c-6b35aef8c71e"/>
    <xsd:import namespace="5affea6d-392a-4ef4-ac0b-e5e9669ff2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8ed94-7fb0-4b4c-b18c-6b35aef8c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ea6d-392a-4ef4-ac0b-e5e9669ff22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38CBE2-BAB7-4297-A6E5-6FE63A01E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A5CD0B-ECC6-49BB-9DCC-1D9CA05E7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8ed94-7fb0-4b4c-b18c-6b35aef8c71e"/>
    <ds:schemaRef ds:uri="5affea6d-392a-4ef4-ac0b-e5e9669ff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5622C8-AC5E-48B4-99BA-46BD9ED38445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5affea6d-392a-4ef4-ac0b-e5e9669ff228"/>
    <ds:schemaRef ds:uri="http://schemas.microsoft.com/office/infopath/2007/PartnerControls"/>
    <ds:schemaRef ds:uri="88f8ed94-7fb0-4b4c-b18c-6b35aef8c7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107</vt:i4>
      </vt:variant>
    </vt:vector>
  </HeadingPairs>
  <TitlesOfParts>
    <vt:vector size="116" baseType="lpstr">
      <vt:lpstr>Constants</vt:lpstr>
      <vt:lpstr>SNe Ia Data</vt:lpstr>
      <vt:lpstr>SNe Ia Model</vt:lpstr>
      <vt:lpstr>Tau</vt:lpstr>
      <vt:lpstr>Recombination</vt:lpstr>
      <vt:lpstr>Geometry</vt:lpstr>
      <vt:lpstr>Rotation Curves</vt:lpstr>
      <vt:lpstr>BTFR Data</vt:lpstr>
      <vt:lpstr>Scale Factor</vt:lpstr>
      <vt:lpstr>accel</vt:lpstr>
      <vt:lpstr>Age</vt:lpstr>
      <vt:lpstr>Geometry!AgeOfCMB</vt:lpstr>
      <vt:lpstr>Geometry!AngularScale</vt:lpstr>
      <vt:lpstr>BaryonDensity</vt:lpstr>
      <vt:lpstr>BoltzmannConstant</vt:lpstr>
      <vt:lpstr>'Rotation Curves'!BulgeMass</vt:lpstr>
      <vt:lpstr>CMBTemperature</vt:lpstr>
      <vt:lpstr>'SNe Ia Data'!Color</vt:lpstr>
      <vt:lpstr>'SNe Ia Data'!ColorError</vt:lpstr>
      <vt:lpstr>'Rotation Curves'!CoreMass</vt:lpstr>
      <vt:lpstr>'Rotation Curves'!CoreRadius</vt:lpstr>
      <vt:lpstr>'Rotation Curves'!Density</vt:lpstr>
      <vt:lpstr>'Rotation Curves'!DiskScaleLengthPc</vt:lpstr>
      <vt:lpstr>Geometry!DistanceSurfaceLastScattering</vt:lpstr>
      <vt:lpstr>ElectronMass</vt:lpstr>
      <vt:lpstr>errorMass</vt:lpstr>
      <vt:lpstr>Gpc</vt:lpstr>
      <vt:lpstr>GravitationalConstant</vt:lpstr>
      <vt:lpstr>Gyr</vt:lpstr>
      <vt:lpstr>HeliumAbundance</vt:lpstr>
      <vt:lpstr>HeliumMass</vt:lpstr>
      <vt:lpstr>HubbleConstant</vt:lpstr>
      <vt:lpstr>HubbleConstantCMB</vt:lpstr>
      <vt:lpstr>HubbleConstantSNe</vt:lpstr>
      <vt:lpstr>'Scale Factor'!HubbleFunction</vt:lpstr>
      <vt:lpstr>HydrogenAbundance</vt:lpstr>
      <vt:lpstr>HydrogenMass</vt:lpstr>
      <vt:lpstr>InitialTangentVelocity</vt:lpstr>
      <vt:lpstr>km</vt:lpstr>
      <vt:lpstr>kpc</vt:lpstr>
      <vt:lpstr>kyr</vt:lpstr>
      <vt:lpstr>LCDMAge</vt:lpstr>
      <vt:lpstr>'Rotation Curves'!LCDMBulgeEffectiveRadius</vt:lpstr>
      <vt:lpstr>'Rotation Curves'!LCDMDiskSurfaceDensity</vt:lpstr>
      <vt:lpstr>'Rotation Curves'!LCDMHaloRepresentativeDensity</vt:lpstr>
      <vt:lpstr>'Rotation Curves'!LCDMHaloScaleLengthPc</vt:lpstr>
      <vt:lpstr>'Rotation Curves'!LCDMModelBER</vt:lpstr>
      <vt:lpstr>'Rotation Curves'!LCDMModelBTM</vt:lpstr>
      <vt:lpstr>'Rotation Curves'!LCDMModelChiSquare</vt:lpstr>
      <vt:lpstr>'Rotation Curves'!LCDMModelDSR</vt:lpstr>
      <vt:lpstr>'Rotation Curves'!LCDMModelDTM</vt:lpstr>
      <vt:lpstr>'Rotation Curves'!LCDMModelHSR</vt:lpstr>
      <vt:lpstr>'Rotation Curves'!LCDMModelHTM</vt:lpstr>
      <vt:lpstr>LCDMRedshift</vt:lpstr>
      <vt:lpstr>'Rotation Curves'!LCDMScaleLength</vt:lpstr>
      <vt:lpstr>'Rotation Curves'!LCDMTotalBulgeMass</vt:lpstr>
      <vt:lpstr>Geometry!LightTravelDistance</vt:lpstr>
      <vt:lpstr>LightYear</vt:lpstr>
      <vt:lpstr>Mag</vt:lpstr>
      <vt:lpstr>'SNe Ia Data'!Mb</vt:lpstr>
      <vt:lpstr>'SNe Ia Data'!MeanObservedDistanceModuli</vt:lpstr>
      <vt:lpstr>MeanObservedLuminousDistance</vt:lpstr>
      <vt:lpstr>'Rotation Curves'!ModelVelocity</vt:lpstr>
      <vt:lpstr>Mpc</vt:lpstr>
      <vt:lpstr>Myr</vt:lpstr>
      <vt:lpstr>ObservedDistanceModuli</vt:lpstr>
      <vt:lpstr>ObservedLuminousDistance</vt:lpstr>
      <vt:lpstr>observedMass</vt:lpstr>
      <vt:lpstr>'Rotation Curves'!ObservedVelocity</vt:lpstr>
      <vt:lpstr>pc</vt:lpstr>
      <vt:lpstr>'SNe Ia Data'!PeakMagnitude</vt:lpstr>
      <vt:lpstr>'SNe Ia Data'!PeakMagnitudeError</vt:lpstr>
      <vt:lpstr>PlanckAngularScale</vt:lpstr>
      <vt:lpstr>PlanckConstant</vt:lpstr>
      <vt:lpstr>predictedMass</vt:lpstr>
      <vt:lpstr>ProtonMass</vt:lpstr>
      <vt:lpstr>'Rotation Curves'!QEHModelChiSquare</vt:lpstr>
      <vt:lpstr>'Rotation Curves'!QESDiskSurfaceDensity</vt:lpstr>
      <vt:lpstr>QESLuminousDistance</vt:lpstr>
      <vt:lpstr>Geometry!QESRedShift</vt:lpstr>
      <vt:lpstr>RadiationDensityConstant</vt:lpstr>
      <vt:lpstr>'Rotation Curves'!RadiusKm</vt:lpstr>
      <vt:lpstr>'Rotation Curves'!RadiusKpc</vt:lpstr>
      <vt:lpstr>'SNe Ia Data'!RedShift</vt:lpstr>
      <vt:lpstr>RedShift</vt:lpstr>
      <vt:lpstr>ReducedPlanckConstant</vt:lpstr>
      <vt:lpstr>'Scale Factor'!ScaleFactor</vt:lpstr>
      <vt:lpstr>'SNe Ia Data'!ScatterError</vt:lpstr>
      <vt:lpstr>second</vt:lpstr>
      <vt:lpstr>SecondsPerYear</vt:lpstr>
      <vt:lpstr>SolarLuminosity</vt:lpstr>
      <vt:lpstr>SolarMass</vt:lpstr>
      <vt:lpstr>SoundHorizon</vt:lpstr>
      <vt:lpstr>StefanBoltzmannConstant</vt:lpstr>
      <vt:lpstr>'SNe Ia Data'!Stretch</vt:lpstr>
      <vt:lpstr>'SNe Ia Data'!StretchError</vt:lpstr>
      <vt:lpstr>StretchParameter</vt:lpstr>
      <vt:lpstr>'SNe Ia Data'!T2DistanceModuli</vt:lpstr>
      <vt:lpstr>T2LuminousDistance</vt:lpstr>
      <vt:lpstr>tau</vt:lpstr>
      <vt:lpstr>'Scale Factor'!time</vt:lpstr>
      <vt:lpstr>Tau!time</vt:lpstr>
      <vt:lpstr>'SNe Ia Data'!TotalError</vt:lpstr>
      <vt:lpstr>'Rotation Curves'!TotalMass</vt:lpstr>
      <vt:lpstr>UniverseAcceleration</vt:lpstr>
      <vt:lpstr>UniverseSize</vt:lpstr>
      <vt:lpstr>veloc</vt:lpstr>
      <vt:lpstr>velocity</vt:lpstr>
      <vt:lpstr>'Rotation Curves'!VelocityError</vt:lpstr>
      <vt:lpstr>VelocityOfLight</vt:lpstr>
      <vt:lpstr>ZError</vt:lpstr>
      <vt:lpstr>Zeta3</vt:lpstr>
      <vt:lpstr>'SNe Ia Data'!α</vt:lpstr>
      <vt:lpstr>'SNe Ia Data'!β</vt:lpstr>
      <vt:lpstr>'SNe Ia Data'!ΛCDMDistanceModuli</vt:lpstr>
      <vt:lpstr>'SNe Ia Data'!ΛCDMLuminousDistance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Roy Airey</dc:creator>
  <cp:lastModifiedBy>Donald Airey</cp:lastModifiedBy>
  <cp:lastPrinted>2015-12-21T16:04:41Z</cp:lastPrinted>
  <dcterms:created xsi:type="dcterms:W3CDTF">2013-09-02T02:29:31Z</dcterms:created>
  <dcterms:modified xsi:type="dcterms:W3CDTF">2023-07-16T20:11:33Z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0x0101009D00108154DBF84A9957198D40B40155</vt:lpwstr>
  </property>
</Properties>
</file>