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ource\Repos\quadratically-expanding-space\Models\"/>
    </mc:Choice>
  </mc:AlternateContent>
  <xr:revisionPtr revIDLastSave="0" documentId="13_ncr:1_{83324967-D1B1-4348-94C5-0439737248B5}" xr6:coauthVersionLast="47" xr6:coauthVersionMax="47" xr10:uidLastSave="{00000000-0000-0000-0000-000000000000}"/>
  <bookViews>
    <workbookView xWindow="-120" yWindow="-120" windowWidth="29040" windowHeight="17520" firstSheet="1" activeTab="5" xr2:uid="{00000000-000D-0000-FFFF-FFFF00000000}"/>
  </bookViews>
  <sheets>
    <sheet name="Constants" sheetId="1" r:id="rId1"/>
    <sheet name="SNe Ia Data" sheetId="3" r:id="rId2"/>
    <sheet name="SNe Ia Model" sheetId="14" r:id="rId3"/>
    <sheet name="Tau" sheetId="226" r:id="rId4"/>
    <sheet name="Geometry" sheetId="111" r:id="rId5"/>
    <sheet name="Rotation Curve" sheetId="220" r:id="rId6"/>
    <sheet name="BTFR Data" sheetId="115" r:id="rId7"/>
    <sheet name="Recombination" sheetId="224" r:id="rId8"/>
    <sheet name="Scale Factor" sheetId="227" r:id="rId9"/>
  </sheets>
  <definedNames>
    <definedName name="accel">Tau!$B$1</definedName>
    <definedName name="Age">Constants!$B$28</definedName>
    <definedName name="AgeOfCMB" localSheetId="4">Geometry!$B$8</definedName>
    <definedName name="AngularScale" localSheetId="4">Geometry!$B$9</definedName>
    <definedName name="BaryonDensity">Geometry!$B$5</definedName>
    <definedName name="BoltzmannConstant">Constants!$B$15</definedName>
    <definedName name="BulgeMass" localSheetId="5">'Rotation Curve'!$C:$C</definedName>
    <definedName name="CMBTemperature">Constants!$B$13</definedName>
    <definedName name="Color" localSheetId="1">'SNe Ia Data'!$H:$H</definedName>
    <definedName name="ColorError" localSheetId="1">'SNe Ia Data'!$I:$I</definedName>
    <definedName name="ConversionFactor">Constants!#REF!</definedName>
    <definedName name="CoreMass" localSheetId="5">'Rotation Curve'!$B$3</definedName>
    <definedName name="CoreRadius" localSheetId="5">'Rotation Curve'!$B$2</definedName>
    <definedName name="CriticalDensity">Constants!#REF!</definedName>
    <definedName name="Curvature" localSheetId="4">Geometry!$B$4</definedName>
    <definedName name="Density" localSheetId="5">'Rotation Curve'!$B$4</definedName>
    <definedName name="Deprojection">#REF!</definedName>
    <definedName name="DiskMass" localSheetId="5">'Rotation Curve'!#REF!</definedName>
    <definedName name="DiskScaleLengthPc" localSheetId="5">'Rotation Curve'!$C$111</definedName>
    <definedName name="DistanceSurfaceLastScattering" localSheetId="4">Geometry!$B$7</definedName>
    <definedName name="ElectronMass">Constants!$B$32</definedName>
    <definedName name="errorMass">'BTFR Data'!$M:$M</definedName>
    <definedName name="Gpc">Constants!$B$5</definedName>
    <definedName name="GravitationalConstant">Constants!$B$14</definedName>
    <definedName name="Gyr">Constants!$B$9</definedName>
    <definedName name="HaloMass" localSheetId="5">'Rotation Curve'!#REF!</definedName>
    <definedName name="HeliumAbundance">Constants!$B$37</definedName>
    <definedName name="HeliumMass">Constants!$B$35</definedName>
    <definedName name="HubbleConstant">Constants!$B$22</definedName>
    <definedName name="HubbleConstantCMB">Constants!$B$20</definedName>
    <definedName name="HubbleConstantSNe">Constants!$B$21</definedName>
    <definedName name="HubbleFunction" localSheetId="8">'Scale Factor'!$F:$F</definedName>
    <definedName name="HydrogenAbundance">Constants!$B$36</definedName>
    <definedName name="HydrogenMass">Constants!$B$34</definedName>
    <definedName name="InitialTangentVelocity">Constants!$B$27</definedName>
    <definedName name="km">Constants!$B$1</definedName>
    <definedName name="kpc">Constants!$B$3</definedName>
    <definedName name="kyr">Constants!$B$7</definedName>
    <definedName name="LCDMAge">Constants!$B$25</definedName>
    <definedName name="LCDMBulgeEffectiveRadius" localSheetId="5">'Rotation Curve'!$C$109</definedName>
    <definedName name="LCDMDiskSurfaceDensity" localSheetId="5">'Rotation Curve'!$B$116</definedName>
    <definedName name="LCDMHaloRepresentativeDensity" localSheetId="5">'Rotation Curve'!$B$117</definedName>
    <definedName name="LCDMHaloScaleLengthPc" localSheetId="5">'Rotation Curve'!$C$113</definedName>
    <definedName name="LCDMModelBER" localSheetId="5">'Rotation Curve'!$B$109</definedName>
    <definedName name="LCDMModelBTM" localSheetId="5">'Rotation Curve'!$B$110</definedName>
    <definedName name="LCDMModelChiSquare" localSheetId="5">'Rotation Curve'!$H$218</definedName>
    <definedName name="LCDMModelDSR" localSheetId="5">'Rotation Curve'!$B$111</definedName>
    <definedName name="LCDMModelDTM" localSheetId="5">'Rotation Curve'!$B$112</definedName>
    <definedName name="LCDMModelHSR" localSheetId="5">'Rotation Curve'!$B$113</definedName>
    <definedName name="LCDMModelHTM" localSheetId="5">'Rotation Curve'!$B$114</definedName>
    <definedName name="LCDMRedshift">Constants!$B$24</definedName>
    <definedName name="LCDMScaleLength" localSheetId="5">'Rotation Curve'!$C$111</definedName>
    <definedName name="LCDMTotalBulgeMass" localSheetId="5">'Rotation Curve'!$C$110</definedName>
    <definedName name="LightTravelDistance" localSheetId="4">Geometry!$B:$B</definedName>
    <definedName name="LightYear">Constants!$B$12</definedName>
    <definedName name="Mag">'SNe Ia Data'!$A$8</definedName>
    <definedName name="MassToLuminosity" localSheetId="5">'Rotation Curve'!#REF!</definedName>
    <definedName name="Mb" localSheetId="1">'SNe Ia Data'!$B$4</definedName>
    <definedName name="MeanObservedDistanceModuli" localSheetId="1">'SNe Ia Data'!$L$483</definedName>
    <definedName name="MeanObservedLuminousDistance">'SNe Ia Data'!$M$483</definedName>
    <definedName name="ModelVelocity" localSheetId="5">'Rotation Curve'!$G:$G</definedName>
    <definedName name="Mpc">Constants!$B$4</definedName>
    <definedName name="Myr">Constants!$B$8</definedName>
    <definedName name="ObservedDistanceModuli">'SNe Ia Data'!$L:$L</definedName>
    <definedName name="ObservedLuminousDistance">'SNe Ia Data'!$M:$M</definedName>
    <definedName name="observedMass">'BTFR Data'!$K:$K</definedName>
    <definedName name="ObservedVelocity" localSheetId="5">'Rotation Curve'!$E:$E</definedName>
    <definedName name="ObservedVelocityM">#REF!</definedName>
    <definedName name="pc">Constants!$B$2</definedName>
    <definedName name="PeakMagnitude" localSheetId="1">'SNe Ia Data'!$D:$D</definedName>
    <definedName name="PeakMagnitudeError" localSheetId="1">'SNe Ia Data'!$E:$E</definedName>
    <definedName name="PlanckAngularScale">Constants!$B$23</definedName>
    <definedName name="PlanckConstant">Constants!$B$16</definedName>
    <definedName name="predictedMass">'BTFR Data'!$L:$L</definedName>
    <definedName name="ProtonMass">Constants!$B$33</definedName>
    <definedName name="QEHModelChiSquare" localSheetId="5">'Rotation Curve'!$H$106</definedName>
    <definedName name="QESDiskSurfaceDensity" localSheetId="5">'Rotation Curve'!$B$5</definedName>
    <definedName name="QESLuminousDistance">'SNe Ia Data'!$N:$N</definedName>
    <definedName name="QESRedShift" localSheetId="4">Geometry!$B$3</definedName>
    <definedName name="RadiationDensityConstant">Constants!$B$19</definedName>
    <definedName name="RadiusKm" localSheetId="5">'Rotation Curve'!$B:$B</definedName>
    <definedName name="RadiusKpc" localSheetId="5">'Rotation Curve'!$A:$A</definedName>
    <definedName name="RadiusOfCurvature" localSheetId="4">Geometry!$B$10</definedName>
    <definedName name="RadiusPc" localSheetId="5">'Rotation Curve'!#REF!</definedName>
    <definedName name="RedShift" localSheetId="1">'SNe Ia Data'!$B:$B</definedName>
    <definedName name="RedShift">'Scale Factor'!$C:$C</definedName>
    <definedName name="ReducedPlanckConstant">Constants!$B$17</definedName>
    <definedName name="ScaleFactor" localSheetId="8">'Scale Factor'!$D:$D</definedName>
    <definedName name="ScatterError" localSheetId="1">'SNe Ia Data'!$J:$J</definedName>
    <definedName name="second">Tau!$B:$B</definedName>
    <definedName name="SecondsPerYear">Constants!$B$6</definedName>
    <definedName name="SolarLuminosity">Constants!$B$31</definedName>
    <definedName name="SolarMass">Constants!$B$30</definedName>
    <definedName name="SoundHorizon">Geometry!$B$6</definedName>
    <definedName name="StefanBoltzmannConstant">Constants!$B$18</definedName>
    <definedName name="Stretch" localSheetId="1">'SNe Ia Data'!$F:$F</definedName>
    <definedName name="StretchError" localSheetId="1">'SNe Ia Data'!$G:$G</definedName>
    <definedName name="StretchParameter">'SNe Ia Data'!$M:$M</definedName>
    <definedName name="T2DistanceModuli" localSheetId="1">'SNe Ia Data'!$P:$P</definedName>
    <definedName name="T2LuminousDistance">'SNe Ia Data'!$O:$O</definedName>
    <definedName name="tau">Tau!$F:$F</definedName>
    <definedName name="time" localSheetId="8">'Scale Factor'!$A:$A</definedName>
    <definedName name="time" localSheetId="3">Tau!$A:$A</definedName>
    <definedName name="TotalError" localSheetId="1">'SNe Ia Data'!$K:$K</definedName>
    <definedName name="TotalMass" localSheetId="5">'Rotation Curve'!$D:$D</definedName>
    <definedName name="UniverseAcceleration">Constants!$B$26</definedName>
    <definedName name="UniverseSize">Constants!$B$29</definedName>
    <definedName name="veloc">Tau!$B$2</definedName>
    <definedName name="velocity">'BTFR Data'!$C:$C</definedName>
    <definedName name="VelocityError" localSheetId="5">'Rotation Curve'!$F:$F</definedName>
    <definedName name="VelocityOfLight">Constants!$B$10</definedName>
    <definedName name="ZError">'SNe Ia Data'!$C:$C</definedName>
    <definedName name="Zeta3">Constants!$B$38</definedName>
    <definedName name="α" localSheetId="1">'SNe Ia Data'!$B$2</definedName>
    <definedName name="β" localSheetId="1">'SNe Ia Data'!$B$3</definedName>
    <definedName name="ΛCDMDistanceModuli" localSheetId="1">'SNe Ia Data'!$T:$T</definedName>
    <definedName name="ΛCDMLuminousDistance" localSheetId="1">'SNe Ia Data'!$S:$S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20" l="1"/>
  <c r="C2" i="220"/>
  <c r="C3" i="220"/>
  <c r="B8" i="220"/>
  <c r="A9" i="220"/>
  <c r="A10" i="220" s="1"/>
  <c r="A11" i="220" s="1"/>
  <c r="A12" i="220" s="1"/>
  <c r="A13" i="220" s="1"/>
  <c r="A14" i="220" s="1"/>
  <c r="A15" i="220" s="1"/>
  <c r="A16" i="220" s="1"/>
  <c r="A17" i="220" s="1"/>
  <c r="A18" i="220" s="1"/>
  <c r="A19" i="220" s="1"/>
  <c r="A20" i="220" s="1"/>
  <c r="A21" i="220" s="1"/>
  <c r="A22" i="220" s="1"/>
  <c r="A23" i="220" s="1"/>
  <c r="A24" i="220" s="1"/>
  <c r="A25" i="220" s="1"/>
  <c r="A26" i="220" s="1"/>
  <c r="A27" i="220" s="1"/>
  <c r="A28" i="220" s="1"/>
  <c r="A29" i="220" s="1"/>
  <c r="A30" i="220" s="1"/>
  <c r="A31" i="220" s="1"/>
  <c r="A32" i="220" s="1"/>
  <c r="A33" i="220" s="1"/>
  <c r="A34" i="220" s="1"/>
  <c r="A35" i="220" s="1"/>
  <c r="A36" i="220" s="1"/>
  <c r="A37" i="220" s="1"/>
  <c r="A38" i="220" s="1"/>
  <c r="A39" i="220" s="1"/>
  <c r="A40" i="220" s="1"/>
  <c r="A41" i="220" s="1"/>
  <c r="A42" i="220" s="1"/>
  <c r="A43" i="220" s="1"/>
  <c r="A44" i="220" s="1"/>
  <c r="A45" i="220" s="1"/>
  <c r="A46" i="220" s="1"/>
  <c r="A47" i="220" s="1"/>
  <c r="A48" i="220" s="1"/>
  <c r="A49" i="220" s="1"/>
  <c r="A50" i="220" s="1"/>
  <c r="A51" i="220" s="1"/>
  <c r="A52" i="220" s="1"/>
  <c r="A53" i="220" s="1"/>
  <c r="A54" i="220" s="1"/>
  <c r="A55" i="220" s="1"/>
  <c r="A56" i="220" s="1"/>
  <c r="A57" i="220" s="1"/>
  <c r="A58" i="220" s="1"/>
  <c r="A59" i="220" s="1"/>
  <c r="A60" i="220" s="1"/>
  <c r="A61" i="220" s="1"/>
  <c r="A62" i="220" s="1"/>
  <c r="A63" i="220" s="1"/>
  <c r="A64" i="220" s="1"/>
  <c r="A65" i="220" s="1"/>
  <c r="A66" i="220" s="1"/>
  <c r="A67" i="220" s="1"/>
  <c r="A68" i="220" s="1"/>
  <c r="A69" i="220" s="1"/>
  <c r="A70" i="220" s="1"/>
  <c r="A71" i="220" s="1"/>
  <c r="A72" i="220" s="1"/>
  <c r="A73" i="220" s="1"/>
  <c r="A74" i="220" s="1"/>
  <c r="A75" i="220" s="1"/>
  <c r="A76" i="220" s="1"/>
  <c r="A77" i="220" s="1"/>
  <c r="A78" i="220" s="1"/>
  <c r="A79" i="220" s="1"/>
  <c r="A80" i="220" s="1"/>
  <c r="A81" i="220" s="1"/>
  <c r="A82" i="220" s="1"/>
  <c r="A83" i="220" s="1"/>
  <c r="A84" i="220" s="1"/>
  <c r="A85" i="220" s="1"/>
  <c r="A86" i="220" s="1"/>
  <c r="A87" i="220" s="1"/>
  <c r="A88" i="220" s="1"/>
  <c r="A89" i="220" s="1"/>
  <c r="A90" i="220" s="1"/>
  <c r="A91" i="220" s="1"/>
  <c r="A92" i="220" s="1"/>
  <c r="A93" i="220" s="1"/>
  <c r="A94" i="220" s="1"/>
  <c r="A95" i="220" s="1"/>
  <c r="A96" i="220" s="1"/>
  <c r="A97" i="220" s="1"/>
  <c r="A98" i="220" s="1"/>
  <c r="A99" i="220" s="1"/>
  <c r="A100" i="220" s="1"/>
  <c r="A101" i="220" s="1"/>
  <c r="A102" i="220" s="1"/>
  <c r="A103" i="220" s="1"/>
  <c r="A104" i="220" s="1"/>
  <c r="A105" i="220" s="1"/>
  <c r="C105" i="220" s="1"/>
  <c r="B29" i="1"/>
  <c r="B27" i="1"/>
  <c r="B7" i="111"/>
  <c r="A2" i="227"/>
  <c r="A3" i="227" s="1"/>
  <c r="A64" i="227"/>
  <c r="A43" i="227"/>
  <c r="A23" i="227"/>
  <c r="C65" i="220" l="1"/>
  <c r="C89" i="220"/>
  <c r="C50" i="220"/>
  <c r="C53" i="220"/>
  <c r="C28" i="220"/>
  <c r="C51" i="220"/>
  <c r="C27" i="220"/>
  <c r="C98" i="220"/>
  <c r="C74" i="220"/>
  <c r="C25" i="220"/>
  <c r="C101" i="220"/>
  <c r="C76" i="220"/>
  <c r="C99" i="220"/>
  <c r="C39" i="220"/>
  <c r="C24" i="220"/>
  <c r="C88" i="220"/>
  <c r="C52" i="220"/>
  <c r="C63" i="220"/>
  <c r="C72" i="220"/>
  <c r="C48" i="220"/>
  <c r="C83" i="220"/>
  <c r="C71" i="220"/>
  <c r="C59" i="220"/>
  <c r="C47" i="220"/>
  <c r="C35" i="220"/>
  <c r="C23" i="220"/>
  <c r="C77" i="220"/>
  <c r="C41" i="220"/>
  <c r="C64" i="220"/>
  <c r="C75" i="220"/>
  <c r="C85" i="220"/>
  <c r="C61" i="220"/>
  <c r="C96" i="220"/>
  <c r="C60" i="220"/>
  <c r="C82" i="220"/>
  <c r="C22" i="220"/>
  <c r="C100" i="220"/>
  <c r="C40" i="220"/>
  <c r="C87" i="220"/>
  <c r="C95" i="220"/>
  <c r="C70" i="220"/>
  <c r="C46" i="220"/>
  <c r="C34" i="220"/>
  <c r="C93" i="220"/>
  <c r="C81" i="220"/>
  <c r="C69" i="220"/>
  <c r="C57" i="220"/>
  <c r="C45" i="220"/>
  <c r="C33" i="220"/>
  <c r="C21" i="220"/>
  <c r="C29" i="220"/>
  <c r="C92" i="220"/>
  <c r="C80" i="220"/>
  <c r="C68" i="220"/>
  <c r="C56" i="220"/>
  <c r="C44" i="220"/>
  <c r="C32" i="220"/>
  <c r="C20" i="220"/>
  <c r="C58" i="220"/>
  <c r="C104" i="220"/>
  <c r="C103" i="220"/>
  <c r="C91" i="220"/>
  <c r="C79" i="220"/>
  <c r="C67" i="220"/>
  <c r="C55" i="220"/>
  <c r="C43" i="220"/>
  <c r="C31" i="220"/>
  <c r="C19" i="220"/>
  <c r="C86" i="220"/>
  <c r="C62" i="220"/>
  <c r="C38" i="220"/>
  <c r="C26" i="220"/>
  <c r="C97" i="220"/>
  <c r="C73" i="220"/>
  <c r="C49" i="220"/>
  <c r="C37" i="220"/>
  <c r="C84" i="220"/>
  <c r="C36" i="220"/>
  <c r="C94" i="220"/>
  <c r="C102" i="220"/>
  <c r="C90" i="220"/>
  <c r="C78" i="220"/>
  <c r="C66" i="220"/>
  <c r="C54" i="220"/>
  <c r="C42" i="220"/>
  <c r="C30" i="220"/>
  <c r="C18" i="220"/>
  <c r="C8" i="220"/>
  <c r="B8" i="111"/>
  <c r="E3" i="227"/>
  <c r="F23" i="227"/>
  <c r="E43" i="227"/>
  <c r="D43" i="227"/>
  <c r="F43" i="227"/>
  <c r="A44" i="227"/>
  <c r="D64" i="227"/>
  <c r="E64" i="227"/>
  <c r="C64" i="227"/>
  <c r="F64" i="227"/>
  <c r="C43" i="227"/>
  <c r="D23" i="227"/>
  <c r="E23" i="227"/>
  <c r="D3" i="227"/>
  <c r="C3" i="227" s="1"/>
  <c r="E2" i="227"/>
  <c r="F2" i="227"/>
  <c r="D2" i="227"/>
  <c r="C2" i="227" s="1"/>
  <c r="F3" i="227"/>
  <c r="A4" i="227"/>
  <c r="D8" i="220" l="1"/>
  <c r="E8" i="220"/>
  <c r="C23" i="227"/>
  <c r="F44" i="227"/>
  <c r="A45" i="227"/>
  <c r="C45" i="227" s="1"/>
  <c r="D44" i="227"/>
  <c r="C44" i="227"/>
  <c r="E44" i="227"/>
  <c r="D4" i="227"/>
  <c r="F4" i="227"/>
  <c r="E4" i="227"/>
  <c r="A5" i="227"/>
  <c r="C4" i="227" l="1"/>
  <c r="D45" i="227"/>
  <c r="E45" i="227"/>
  <c r="F45" i="227"/>
  <c r="A46" i="227"/>
  <c r="D5" i="227"/>
  <c r="F5" i="227"/>
  <c r="E5" i="227"/>
  <c r="A6" i="227"/>
  <c r="C5" i="227" l="1"/>
  <c r="A47" i="227"/>
  <c r="E47" i="227" s="1"/>
  <c r="E46" i="227"/>
  <c r="F46" i="227"/>
  <c r="C46" i="227"/>
  <c r="D46" i="227"/>
  <c r="E6" i="227"/>
  <c r="D6" i="227"/>
  <c r="F6" i="227"/>
  <c r="A7" i="227"/>
  <c r="A48" i="227" l="1"/>
  <c r="E48" i="227" s="1"/>
  <c r="D47" i="227"/>
  <c r="C6" i="227"/>
  <c r="F47" i="227"/>
  <c r="C47" i="227"/>
  <c r="D48" i="227"/>
  <c r="E7" i="227"/>
  <c r="D7" i="227"/>
  <c r="F7" i="227"/>
  <c r="A8" i="227"/>
  <c r="A49" i="227" l="1"/>
  <c r="E49" i="227" s="1"/>
  <c r="F48" i="227"/>
  <c r="C48" i="227"/>
  <c r="C7" i="227"/>
  <c r="E8" i="227"/>
  <c r="D8" i="227"/>
  <c r="F8" i="227"/>
  <c r="A9" i="227"/>
  <c r="A50" i="227" l="1"/>
  <c r="F50" i="227" s="1"/>
  <c r="D49" i="227"/>
  <c r="C49" i="227"/>
  <c r="F49" i="227"/>
  <c r="C8" i="227"/>
  <c r="E9" i="227"/>
  <c r="D9" i="227"/>
  <c r="F9" i="227"/>
  <c r="A10" i="227"/>
  <c r="C50" i="227" l="1"/>
  <c r="A51" i="227"/>
  <c r="A52" i="227" s="1"/>
  <c r="E50" i="227"/>
  <c r="D50" i="227"/>
  <c r="C9" i="227"/>
  <c r="E10" i="227"/>
  <c r="D10" i="227"/>
  <c r="F10" i="227"/>
  <c r="A11" i="227"/>
  <c r="C51" i="227" l="1"/>
  <c r="D51" i="227"/>
  <c r="E51" i="227"/>
  <c r="F51" i="227"/>
  <c r="C10" i="227"/>
  <c r="C52" i="227"/>
  <c r="F52" i="227"/>
  <c r="E52" i="227"/>
  <c r="A53" i="227"/>
  <c r="D52" i="227"/>
  <c r="F11" i="227"/>
  <c r="E11" i="227"/>
  <c r="D11" i="227"/>
  <c r="A12" i="227"/>
  <c r="C11" i="227" l="1"/>
  <c r="D53" i="227"/>
  <c r="F53" i="227"/>
  <c r="C53" i="227"/>
  <c r="E53" i="227"/>
  <c r="A54" i="227"/>
  <c r="E12" i="227"/>
  <c r="D12" i="227"/>
  <c r="F12" i="227"/>
  <c r="A13" i="227"/>
  <c r="C12" i="227" l="1"/>
  <c r="F54" i="227"/>
  <c r="E54" i="227"/>
  <c r="A55" i="227"/>
  <c r="D54" i="227"/>
  <c r="C54" i="227"/>
  <c r="F13" i="227"/>
  <c r="D13" i="227"/>
  <c r="E13" i="227"/>
  <c r="A14" i="227"/>
  <c r="C13" i="227" l="1"/>
  <c r="F55" i="227"/>
  <c r="E55" i="227"/>
  <c r="A56" i="227"/>
  <c r="D55" i="227"/>
  <c r="C55" i="227"/>
  <c r="F14" i="227"/>
  <c r="D14" i="227"/>
  <c r="E14" i="227"/>
  <c r="A15" i="227"/>
  <c r="C14" i="227" l="1"/>
  <c r="C56" i="227"/>
  <c r="F56" i="227"/>
  <c r="E56" i="227"/>
  <c r="A57" i="227"/>
  <c r="D56" i="227"/>
  <c r="F15" i="227"/>
  <c r="E15" i="227"/>
  <c r="D15" i="227"/>
  <c r="A16" i="227"/>
  <c r="C15" i="227" l="1"/>
  <c r="A58" i="227"/>
  <c r="F57" i="227"/>
  <c r="E57" i="227"/>
  <c r="D57" i="227"/>
  <c r="C57" i="227"/>
  <c r="D16" i="227"/>
  <c r="E16" i="227"/>
  <c r="F16" i="227"/>
  <c r="A17" i="227"/>
  <c r="C16" i="227" l="1"/>
  <c r="F58" i="227"/>
  <c r="E58" i="227"/>
  <c r="A59" i="227"/>
  <c r="D58" i="227"/>
  <c r="C58" i="227"/>
  <c r="D17" i="227"/>
  <c r="F17" i="227"/>
  <c r="E17" i="227"/>
  <c r="A18" i="227"/>
  <c r="C17" i="227" l="1"/>
  <c r="F59" i="227"/>
  <c r="E59" i="227"/>
  <c r="A60" i="227"/>
  <c r="D59" i="227"/>
  <c r="C59" i="227"/>
  <c r="E18" i="227"/>
  <c r="D18" i="227"/>
  <c r="C18" i="227" s="1"/>
  <c r="F18" i="227"/>
  <c r="A19" i="227"/>
  <c r="C60" i="227" l="1"/>
  <c r="F60" i="227"/>
  <c r="E60" i="227"/>
  <c r="A61" i="227"/>
  <c r="D60" i="227"/>
  <c r="E19" i="227"/>
  <c r="D19" i="227"/>
  <c r="F19" i="227"/>
  <c r="A20" i="227"/>
  <c r="C19" i="227" l="1"/>
  <c r="F61" i="227"/>
  <c r="E61" i="227"/>
  <c r="A62" i="227"/>
  <c r="D61" i="227"/>
  <c r="C61" i="227"/>
  <c r="E20" i="227"/>
  <c r="D20" i="227"/>
  <c r="F20" i="227"/>
  <c r="A21" i="227"/>
  <c r="C20" i="227" l="1"/>
  <c r="F62" i="227"/>
  <c r="E62" i="227"/>
  <c r="A63" i="227"/>
  <c r="D62" i="227"/>
  <c r="C62" i="227"/>
  <c r="E21" i="227"/>
  <c r="D21" i="227"/>
  <c r="F21" i="227"/>
  <c r="A22" i="227"/>
  <c r="C21" i="227" l="1"/>
  <c r="F63" i="227"/>
  <c r="E63" i="227"/>
  <c r="A65" i="227"/>
  <c r="D63" i="227"/>
  <c r="C63" i="227"/>
  <c r="F22" i="227"/>
  <c r="E22" i="227"/>
  <c r="D22" i="227"/>
  <c r="A24" i="227"/>
  <c r="C22" i="227" l="1"/>
  <c r="C65" i="227"/>
  <c r="F65" i="227"/>
  <c r="A66" i="227"/>
  <c r="E65" i="227"/>
  <c r="D65" i="227"/>
  <c r="E24" i="227"/>
  <c r="D24" i="227"/>
  <c r="C24" i="227" s="1"/>
  <c r="F24" i="227"/>
  <c r="A25" i="227"/>
  <c r="F66" i="227" l="1"/>
  <c r="E66" i="227"/>
  <c r="A67" i="227"/>
  <c r="D66" i="227"/>
  <c r="C66" i="227"/>
  <c r="E25" i="227"/>
  <c r="D25" i="227"/>
  <c r="F25" i="227"/>
  <c r="A26" i="227"/>
  <c r="C25" i="227" l="1"/>
  <c r="F67" i="227"/>
  <c r="E67" i="227"/>
  <c r="A68" i="227"/>
  <c r="D67" i="227"/>
  <c r="C67" i="227"/>
  <c r="F26" i="227"/>
  <c r="D26" i="227"/>
  <c r="E26" i="227"/>
  <c r="A27" i="227"/>
  <c r="C26" i="227" l="1"/>
  <c r="C68" i="227"/>
  <c r="F68" i="227"/>
  <c r="E68" i="227"/>
  <c r="A69" i="227"/>
  <c r="D68" i="227"/>
  <c r="F27" i="227"/>
  <c r="D27" i="227"/>
  <c r="E27" i="227"/>
  <c r="A28" i="227"/>
  <c r="C27" i="227" l="1"/>
  <c r="D69" i="227"/>
  <c r="A70" i="227"/>
  <c r="F69" i="227"/>
  <c r="E69" i="227"/>
  <c r="C69" i="227"/>
  <c r="F28" i="227"/>
  <c r="E28" i="227"/>
  <c r="D28" i="227"/>
  <c r="A29" i="227"/>
  <c r="C28" i="227" l="1"/>
  <c r="F70" i="227"/>
  <c r="E70" i="227"/>
  <c r="A71" i="227"/>
  <c r="D70" i="227"/>
  <c r="C70" i="227"/>
  <c r="D29" i="227"/>
  <c r="C29" i="227" s="1"/>
  <c r="F29" i="227"/>
  <c r="E29" i="227"/>
  <c r="A30" i="227"/>
  <c r="F71" i="227" l="1"/>
  <c r="E71" i="227"/>
  <c r="A72" i="227"/>
  <c r="D71" i="227"/>
  <c r="C71" i="227"/>
  <c r="E30" i="227"/>
  <c r="D30" i="227"/>
  <c r="F30" i="227"/>
  <c r="A31" i="227"/>
  <c r="C30" i="227" l="1"/>
  <c r="C72" i="227"/>
  <c r="F72" i="227"/>
  <c r="E72" i="227"/>
  <c r="A73" i="227"/>
  <c r="D72" i="227"/>
  <c r="E31" i="227"/>
  <c r="D31" i="227"/>
  <c r="F31" i="227"/>
  <c r="A32" i="227"/>
  <c r="C31" i="227" l="1"/>
  <c r="A74" i="227"/>
  <c r="F73" i="227"/>
  <c r="E73" i="227"/>
  <c r="D73" i="227"/>
  <c r="C73" i="227"/>
  <c r="E32" i="227"/>
  <c r="D32" i="227"/>
  <c r="F32" i="227"/>
  <c r="A33" i="227"/>
  <c r="C32" i="227" l="1"/>
  <c r="F74" i="227"/>
  <c r="E74" i="227"/>
  <c r="A75" i="227"/>
  <c r="D74" i="227"/>
  <c r="C74" i="227"/>
  <c r="E33" i="227"/>
  <c r="D33" i="227"/>
  <c r="F33" i="227"/>
  <c r="A34" i="227"/>
  <c r="C33" i="227" l="1"/>
  <c r="F75" i="227"/>
  <c r="E75" i="227"/>
  <c r="A76" i="227"/>
  <c r="D75" i="227"/>
  <c r="C75" i="227"/>
  <c r="E34" i="227"/>
  <c r="D34" i="227"/>
  <c r="F34" i="227"/>
  <c r="A35" i="227"/>
  <c r="C34" i="227" l="1"/>
  <c r="C76" i="227"/>
  <c r="F76" i="227"/>
  <c r="E76" i="227"/>
  <c r="A77" i="227"/>
  <c r="D76" i="227"/>
  <c r="E35" i="227"/>
  <c r="F35" i="227"/>
  <c r="D35" i="227"/>
  <c r="A36" i="227"/>
  <c r="C35" i="227" l="1"/>
  <c r="A78" i="227"/>
  <c r="F77" i="227"/>
  <c r="E77" i="227"/>
  <c r="C77" i="227"/>
  <c r="D77" i="227"/>
  <c r="E36" i="227"/>
  <c r="D36" i="227"/>
  <c r="F36" i="227"/>
  <c r="A37" i="227"/>
  <c r="C36" i="227" l="1"/>
  <c r="F78" i="227"/>
  <c r="E78" i="227"/>
  <c r="A79" i="227"/>
  <c r="D78" i="227"/>
  <c r="C78" i="227"/>
  <c r="F37" i="227"/>
  <c r="E37" i="227"/>
  <c r="D37" i="227"/>
  <c r="C37" i="227" s="1"/>
  <c r="A38" i="227"/>
  <c r="F79" i="227" l="1"/>
  <c r="E79" i="227"/>
  <c r="A80" i="227"/>
  <c r="D79" i="227"/>
  <c r="C79" i="227"/>
  <c r="F38" i="227"/>
  <c r="D38" i="227"/>
  <c r="E38" i="227"/>
  <c r="A39" i="227"/>
  <c r="C38" i="227" l="1"/>
  <c r="C80" i="227"/>
  <c r="F80" i="227"/>
  <c r="E80" i="227"/>
  <c r="D80" i="227"/>
  <c r="F39" i="227"/>
  <c r="D39" i="227"/>
  <c r="C39" i="227" s="1"/>
  <c r="E39" i="227"/>
  <c r="U8" i="3" l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7" i="3"/>
  <c r="E6" i="226"/>
  <c r="E7" i="226"/>
  <c r="E8" i="226"/>
  <c r="E9" i="226"/>
  <c r="E10" i="226"/>
  <c r="E11" i="226"/>
  <c r="E12" i="226"/>
  <c r="E13" i="226"/>
  <c r="E14" i="226"/>
  <c r="E15" i="226"/>
  <c r="E16" i="226"/>
  <c r="E17" i="226"/>
  <c r="E18" i="226"/>
  <c r="E19" i="226"/>
  <c r="E20" i="226"/>
  <c r="E21" i="226"/>
  <c r="E22" i="226"/>
  <c r="E23" i="226"/>
  <c r="E24" i="226"/>
  <c r="E25" i="226"/>
  <c r="E26" i="226"/>
  <c r="E27" i="226"/>
  <c r="E28" i="226"/>
  <c r="E29" i="226"/>
  <c r="E30" i="226"/>
  <c r="E31" i="226"/>
  <c r="E32" i="226"/>
  <c r="E33" i="226"/>
  <c r="E34" i="226"/>
  <c r="E35" i="226"/>
  <c r="E36" i="226"/>
  <c r="E37" i="226"/>
  <c r="E38" i="226"/>
  <c r="E39" i="226"/>
  <c r="E40" i="226"/>
  <c r="E41" i="226"/>
  <c r="E42" i="226"/>
  <c r="E43" i="226"/>
  <c r="E44" i="226"/>
  <c r="E45" i="226"/>
  <c r="E46" i="226"/>
  <c r="E47" i="226"/>
  <c r="E48" i="226"/>
  <c r="E49" i="226"/>
  <c r="E50" i="226"/>
  <c r="E51" i="226"/>
  <c r="E52" i="226"/>
  <c r="E53" i="226"/>
  <c r="E54" i="226"/>
  <c r="E55" i="226"/>
  <c r="E56" i="226"/>
  <c r="E57" i="226"/>
  <c r="E58" i="226"/>
  <c r="E59" i="226"/>
  <c r="E60" i="226"/>
  <c r="E61" i="226"/>
  <c r="E62" i="226"/>
  <c r="E63" i="226"/>
  <c r="E64" i="226"/>
  <c r="E65" i="226"/>
  <c r="E66" i="226"/>
  <c r="E67" i="226"/>
  <c r="E68" i="226"/>
  <c r="E69" i="226"/>
  <c r="E70" i="226"/>
  <c r="E71" i="226"/>
  <c r="E72" i="226"/>
  <c r="E73" i="226"/>
  <c r="E74" i="226"/>
  <c r="E75" i="226"/>
  <c r="E76" i="226"/>
  <c r="E77" i="226"/>
  <c r="E78" i="226"/>
  <c r="E79" i="226"/>
  <c r="E80" i="226"/>
  <c r="E81" i="226"/>
  <c r="E82" i="226"/>
  <c r="E83" i="226"/>
  <c r="E84" i="226"/>
  <c r="E85" i="226"/>
  <c r="E86" i="226"/>
  <c r="E87" i="226"/>
  <c r="E88" i="226"/>
  <c r="E89" i="226"/>
  <c r="E90" i="226"/>
  <c r="E91" i="226"/>
  <c r="E92" i="226"/>
  <c r="E93" i="226"/>
  <c r="E94" i="226"/>
  <c r="E95" i="226"/>
  <c r="E96" i="226"/>
  <c r="E97" i="226"/>
  <c r="E98" i="226"/>
  <c r="E99" i="226"/>
  <c r="E100" i="226"/>
  <c r="E101" i="226"/>
  <c r="E5" i="226"/>
  <c r="D5" i="226"/>
  <c r="D6" i="226" s="1"/>
  <c r="D7" i="226" s="1"/>
  <c r="D8" i="226" s="1"/>
  <c r="D9" i="226" s="1"/>
  <c r="D10" i="226" s="1"/>
  <c r="D11" i="226" s="1"/>
  <c r="D12" i="226" s="1"/>
  <c r="D13" i="226" s="1"/>
  <c r="D14" i="226" s="1"/>
  <c r="D15" i="226" s="1"/>
  <c r="D16" i="226" s="1"/>
  <c r="D17" i="226" s="1"/>
  <c r="D18" i="226" s="1"/>
  <c r="D19" i="226" s="1"/>
  <c r="D20" i="226" s="1"/>
  <c r="D21" i="226" s="1"/>
  <c r="D22" i="226" s="1"/>
  <c r="D23" i="226" s="1"/>
  <c r="D24" i="226" s="1"/>
  <c r="D25" i="226" s="1"/>
  <c r="D26" i="226" s="1"/>
  <c r="D27" i="226" s="1"/>
  <c r="D28" i="226" s="1"/>
  <c r="D29" i="226" s="1"/>
  <c r="D30" i="226" s="1"/>
  <c r="D31" i="226" s="1"/>
  <c r="D32" i="226" s="1"/>
  <c r="D33" i="226" s="1"/>
  <c r="D34" i="226" s="1"/>
  <c r="D35" i="226" s="1"/>
  <c r="D36" i="226" s="1"/>
  <c r="D37" i="226" s="1"/>
  <c r="D38" i="226" s="1"/>
  <c r="D39" i="226" s="1"/>
  <c r="D40" i="226" s="1"/>
  <c r="D41" i="226" s="1"/>
  <c r="D42" i="226" s="1"/>
  <c r="D43" i="226" s="1"/>
  <c r="D44" i="226" s="1"/>
  <c r="D45" i="226" s="1"/>
  <c r="D46" i="226" s="1"/>
  <c r="D47" i="226" s="1"/>
  <c r="D48" i="226" s="1"/>
  <c r="D49" i="226" s="1"/>
  <c r="D50" i="226" s="1"/>
  <c r="D51" i="226" s="1"/>
  <c r="D52" i="226" s="1"/>
  <c r="D53" i="226" s="1"/>
  <c r="D54" i="226" s="1"/>
  <c r="D55" i="226" s="1"/>
  <c r="D56" i="226" s="1"/>
  <c r="D57" i="226" s="1"/>
  <c r="D58" i="226" s="1"/>
  <c r="D59" i="226" s="1"/>
  <c r="D60" i="226" s="1"/>
  <c r="D61" i="226" s="1"/>
  <c r="D62" i="226" s="1"/>
  <c r="D63" i="226" s="1"/>
  <c r="D64" i="226" s="1"/>
  <c r="D65" i="226" s="1"/>
  <c r="D66" i="226" s="1"/>
  <c r="D67" i="226" s="1"/>
  <c r="D68" i="226" s="1"/>
  <c r="D69" i="226" s="1"/>
  <c r="D70" i="226" s="1"/>
  <c r="D71" i="226" s="1"/>
  <c r="D72" i="226" s="1"/>
  <c r="D73" i="226" s="1"/>
  <c r="D74" i="226" s="1"/>
  <c r="D75" i="226" s="1"/>
  <c r="D76" i="226" s="1"/>
  <c r="D77" i="226" s="1"/>
  <c r="D78" i="226" s="1"/>
  <c r="D79" i="226" s="1"/>
  <c r="D80" i="226" s="1"/>
  <c r="D81" i="226" s="1"/>
  <c r="D82" i="226" s="1"/>
  <c r="D83" i="226" s="1"/>
  <c r="D84" i="226" s="1"/>
  <c r="D85" i="226" s="1"/>
  <c r="D86" i="226" s="1"/>
  <c r="D87" i="226" s="1"/>
  <c r="D88" i="226" s="1"/>
  <c r="D89" i="226" s="1"/>
  <c r="D90" i="226" s="1"/>
  <c r="D91" i="226" s="1"/>
  <c r="D92" i="226" s="1"/>
  <c r="D93" i="226" s="1"/>
  <c r="D94" i="226" s="1"/>
  <c r="D95" i="226" s="1"/>
  <c r="D96" i="226" s="1"/>
  <c r="D97" i="226" s="1"/>
  <c r="D98" i="226" s="1"/>
  <c r="D99" i="226" s="1"/>
  <c r="D100" i="226" s="1"/>
  <c r="D101" i="226" s="1"/>
  <c r="M4" i="115"/>
  <c r="M5" i="115"/>
  <c r="M6" i="115"/>
  <c r="M7" i="115"/>
  <c r="M8" i="115"/>
  <c r="M9" i="115"/>
  <c r="M10" i="115"/>
  <c r="M11" i="115"/>
  <c r="M12" i="115"/>
  <c r="M13" i="115"/>
  <c r="M14" i="115"/>
  <c r="M15" i="115"/>
  <c r="M16" i="115"/>
  <c r="M17" i="115"/>
  <c r="M18" i="115"/>
  <c r="M19" i="115"/>
  <c r="M20" i="115"/>
  <c r="M21" i="115"/>
  <c r="M22" i="115"/>
  <c r="M23" i="115"/>
  <c r="M24" i="115"/>
  <c r="M25" i="115"/>
  <c r="M26" i="115"/>
  <c r="M27" i="115"/>
  <c r="M28" i="115"/>
  <c r="M29" i="115"/>
  <c r="M30" i="115"/>
  <c r="M31" i="115"/>
  <c r="M32" i="115"/>
  <c r="M33" i="115"/>
  <c r="M34" i="115"/>
  <c r="M35" i="115"/>
  <c r="M36" i="115"/>
  <c r="M37" i="115"/>
  <c r="M38" i="115"/>
  <c r="M39" i="115"/>
  <c r="M40" i="115"/>
  <c r="M41" i="115"/>
  <c r="M42" i="115"/>
  <c r="M43" i="115"/>
  <c r="M44" i="115"/>
  <c r="M45" i="115"/>
  <c r="M46" i="115"/>
  <c r="M47" i="115"/>
  <c r="M48" i="115"/>
  <c r="M49" i="115"/>
  <c r="M3" i="115"/>
  <c r="K4" i="115"/>
  <c r="Q4" i="115" s="1"/>
  <c r="L4" i="115"/>
  <c r="K5" i="115"/>
  <c r="Q5" i="115" s="1"/>
  <c r="L5" i="115"/>
  <c r="K6" i="115"/>
  <c r="Q6" i="115" s="1"/>
  <c r="L6" i="115"/>
  <c r="R6" i="115" s="1"/>
  <c r="K7" i="115"/>
  <c r="Q7" i="115" s="1"/>
  <c r="L7" i="115"/>
  <c r="R7" i="115" s="1"/>
  <c r="K8" i="115"/>
  <c r="Q8" i="115" s="1"/>
  <c r="L8" i="115"/>
  <c r="R8" i="115" s="1"/>
  <c r="K9" i="115"/>
  <c r="Q9" i="115" s="1"/>
  <c r="L9" i="115"/>
  <c r="R9" i="115" s="1"/>
  <c r="K10" i="115"/>
  <c r="Q10" i="115" s="1"/>
  <c r="L10" i="115"/>
  <c r="K11" i="115"/>
  <c r="Q11" i="115" s="1"/>
  <c r="L11" i="115"/>
  <c r="K12" i="115"/>
  <c r="Q12" i="115" s="1"/>
  <c r="L12" i="115"/>
  <c r="R12" i="115" s="1"/>
  <c r="K13" i="115"/>
  <c r="Q13" i="115" s="1"/>
  <c r="L13" i="115"/>
  <c r="R13" i="115" s="1"/>
  <c r="K14" i="115"/>
  <c r="Q14" i="115" s="1"/>
  <c r="L14" i="115"/>
  <c r="R14" i="115" s="1"/>
  <c r="K15" i="115"/>
  <c r="Q15" i="115" s="1"/>
  <c r="L15" i="115"/>
  <c r="R15" i="115" s="1"/>
  <c r="K16" i="115"/>
  <c r="Q16" i="115" s="1"/>
  <c r="L16" i="115"/>
  <c r="K17" i="115"/>
  <c r="Q17" i="115" s="1"/>
  <c r="L17" i="115"/>
  <c r="K18" i="115"/>
  <c r="Q18" i="115" s="1"/>
  <c r="L18" i="115"/>
  <c r="R18" i="115" s="1"/>
  <c r="K19" i="115"/>
  <c r="Q19" i="115" s="1"/>
  <c r="L19" i="115"/>
  <c r="K20" i="115"/>
  <c r="Q20" i="115" s="1"/>
  <c r="L20" i="115"/>
  <c r="R20" i="115" s="1"/>
  <c r="K21" i="115"/>
  <c r="Q21" i="115" s="1"/>
  <c r="L21" i="115"/>
  <c r="R21" i="115" s="1"/>
  <c r="K22" i="115"/>
  <c r="Q22" i="115" s="1"/>
  <c r="L22" i="115"/>
  <c r="K23" i="115"/>
  <c r="Q23" i="115" s="1"/>
  <c r="L23" i="115"/>
  <c r="K24" i="115"/>
  <c r="Q24" i="115" s="1"/>
  <c r="L24" i="115"/>
  <c r="R24" i="115" s="1"/>
  <c r="K25" i="115"/>
  <c r="Q25" i="115" s="1"/>
  <c r="L25" i="115"/>
  <c r="R25" i="115" s="1"/>
  <c r="K26" i="115"/>
  <c r="Q26" i="115" s="1"/>
  <c r="L26" i="115"/>
  <c r="R26" i="115" s="1"/>
  <c r="K27" i="115"/>
  <c r="Q27" i="115" s="1"/>
  <c r="L27" i="115"/>
  <c r="K28" i="115"/>
  <c r="Q28" i="115" s="1"/>
  <c r="L28" i="115"/>
  <c r="K29" i="115"/>
  <c r="Q29" i="115" s="1"/>
  <c r="L29" i="115"/>
  <c r="K30" i="115"/>
  <c r="Q30" i="115" s="1"/>
  <c r="L30" i="115"/>
  <c r="R30" i="115" s="1"/>
  <c r="K31" i="115"/>
  <c r="Q31" i="115" s="1"/>
  <c r="L31" i="115"/>
  <c r="R31" i="115" s="1"/>
  <c r="K32" i="115"/>
  <c r="Q32" i="115" s="1"/>
  <c r="L32" i="115"/>
  <c r="R32" i="115" s="1"/>
  <c r="K33" i="115"/>
  <c r="Q33" i="115" s="1"/>
  <c r="L33" i="115"/>
  <c r="K34" i="115"/>
  <c r="Q34" i="115" s="1"/>
  <c r="L34" i="115"/>
  <c r="K35" i="115"/>
  <c r="Q35" i="115" s="1"/>
  <c r="L35" i="115"/>
  <c r="K36" i="115"/>
  <c r="Q36" i="115" s="1"/>
  <c r="L36" i="115"/>
  <c r="R36" i="115" s="1"/>
  <c r="K37" i="115"/>
  <c r="Q37" i="115" s="1"/>
  <c r="L37" i="115"/>
  <c r="R37" i="115" s="1"/>
  <c r="K38" i="115"/>
  <c r="Q38" i="115" s="1"/>
  <c r="L38" i="115"/>
  <c r="K39" i="115"/>
  <c r="Q39" i="115" s="1"/>
  <c r="L39" i="115"/>
  <c r="K40" i="115"/>
  <c r="Q40" i="115" s="1"/>
  <c r="L40" i="115"/>
  <c r="K41" i="115"/>
  <c r="Q41" i="115" s="1"/>
  <c r="L41" i="115"/>
  <c r="K42" i="115"/>
  <c r="Q42" i="115" s="1"/>
  <c r="L42" i="115"/>
  <c r="R42" i="115" s="1"/>
  <c r="K43" i="115"/>
  <c r="Q43" i="115" s="1"/>
  <c r="L43" i="115"/>
  <c r="R43" i="115" s="1"/>
  <c r="K44" i="115"/>
  <c r="Q44" i="115" s="1"/>
  <c r="L44" i="115"/>
  <c r="R44" i="115" s="1"/>
  <c r="K45" i="115"/>
  <c r="Q45" i="115" s="1"/>
  <c r="L45" i="115"/>
  <c r="K46" i="115"/>
  <c r="Q46" i="115" s="1"/>
  <c r="L46" i="115"/>
  <c r="K47" i="115"/>
  <c r="Q47" i="115" s="1"/>
  <c r="L47" i="115"/>
  <c r="K48" i="115"/>
  <c r="Q48" i="115" s="1"/>
  <c r="L48" i="115"/>
  <c r="R48" i="115" s="1"/>
  <c r="K49" i="115"/>
  <c r="Q49" i="115" s="1"/>
  <c r="L49" i="115"/>
  <c r="R49" i="115" s="1"/>
  <c r="L3" i="115"/>
  <c r="K3" i="115"/>
  <c r="Q3" i="115" s="1"/>
  <c r="N482" i="3"/>
  <c r="B5" i="226"/>
  <c r="C1" i="224"/>
  <c r="C2" i="224"/>
  <c r="C3" i="224"/>
  <c r="C4" i="224"/>
  <c r="C5" i="224"/>
  <c r="C6" i="224"/>
  <c r="C7" i="224"/>
  <c r="C8" i="224"/>
  <c r="C9" i="224"/>
  <c r="C10" i="224"/>
  <c r="C11" i="224"/>
  <c r="C12" i="224"/>
  <c r="C13" i="224"/>
  <c r="C14" i="224"/>
  <c r="C15" i="224"/>
  <c r="C16" i="224"/>
  <c r="C17" i="224"/>
  <c r="C18" i="224"/>
  <c r="C19" i="224"/>
  <c r="C20" i="224"/>
  <c r="C21" i="224"/>
  <c r="C22" i="224"/>
  <c r="C23" i="224"/>
  <c r="C24" i="224"/>
  <c r="C25" i="224"/>
  <c r="C26" i="224"/>
  <c r="C27" i="224"/>
  <c r="C28" i="224"/>
  <c r="C29" i="224"/>
  <c r="C30" i="224"/>
  <c r="C31" i="224"/>
  <c r="C32" i="224"/>
  <c r="C33" i="224"/>
  <c r="C34" i="224"/>
  <c r="C35" i="224"/>
  <c r="C36" i="224"/>
  <c r="C37" i="224"/>
  <c r="C38" i="224"/>
  <c r="C39" i="224"/>
  <c r="C40" i="224"/>
  <c r="C41" i="224"/>
  <c r="C42" i="224"/>
  <c r="C43" i="224"/>
  <c r="C44" i="224"/>
  <c r="C45" i="224"/>
  <c r="C46" i="224"/>
  <c r="C47" i="224"/>
  <c r="C48" i="224"/>
  <c r="C49" i="224"/>
  <c r="C50" i="224"/>
  <c r="C51" i="224"/>
  <c r="C52" i="224"/>
  <c r="C53" i="224"/>
  <c r="C54" i="224"/>
  <c r="C55" i="224"/>
  <c r="C56" i="224"/>
  <c r="C57" i="224"/>
  <c r="C58" i="224"/>
  <c r="C59" i="224"/>
  <c r="C60" i="224"/>
  <c r="C61" i="224"/>
  <c r="C62" i="224"/>
  <c r="C63" i="224"/>
  <c r="C64" i="224"/>
  <c r="C65" i="224"/>
  <c r="C66" i="224"/>
  <c r="C67" i="224"/>
  <c r="C68" i="224"/>
  <c r="C69" i="224"/>
  <c r="C70" i="224"/>
  <c r="C71" i="224"/>
  <c r="C72" i="224"/>
  <c r="C73" i="224"/>
  <c r="C74" i="224"/>
  <c r="C75" i="224"/>
  <c r="C76" i="224"/>
  <c r="C77" i="224"/>
  <c r="C78" i="224"/>
  <c r="C79" i="224"/>
  <c r="C80" i="224"/>
  <c r="C81" i="224"/>
  <c r="C82" i="224"/>
  <c r="C83" i="224"/>
  <c r="C84" i="224"/>
  <c r="C85" i="224"/>
  <c r="C86" i="224"/>
  <c r="C87" i="224"/>
  <c r="C88" i="224"/>
  <c r="C89" i="224"/>
  <c r="C90" i="224"/>
  <c r="C91" i="224"/>
  <c r="C92" i="224"/>
  <c r="C93" i="224"/>
  <c r="C94" i="224"/>
  <c r="C95" i="224"/>
  <c r="C96" i="224"/>
  <c r="C97" i="224"/>
  <c r="C98" i="224"/>
  <c r="C99" i="224"/>
  <c r="C100" i="224"/>
  <c r="C101" i="224"/>
  <c r="C102" i="224"/>
  <c r="C103" i="224"/>
  <c r="C104" i="224"/>
  <c r="C105" i="224"/>
  <c r="C106" i="224"/>
  <c r="C107" i="224"/>
  <c r="C108" i="224"/>
  <c r="C109" i="224"/>
  <c r="C110" i="224"/>
  <c r="C111" i="224"/>
  <c r="C112" i="224"/>
  <c r="C113" i="224"/>
  <c r="C114" i="224"/>
  <c r="C115" i="224"/>
  <c r="C116" i="224"/>
  <c r="C117" i="224"/>
  <c r="C118" i="224"/>
  <c r="C119" i="224"/>
  <c r="C120" i="224"/>
  <c r="C121" i="224"/>
  <c r="C122" i="224"/>
  <c r="C123" i="224"/>
  <c r="C124" i="224"/>
  <c r="C125" i="224"/>
  <c r="C126" i="224"/>
  <c r="C127" i="224"/>
  <c r="C128" i="224"/>
  <c r="C129" i="224"/>
  <c r="C130" i="224"/>
  <c r="C131" i="224"/>
  <c r="C132" i="224"/>
  <c r="C133" i="224"/>
  <c r="C134" i="224"/>
  <c r="C135" i="224"/>
  <c r="C136" i="224"/>
  <c r="C137" i="224"/>
  <c r="C138" i="224"/>
  <c r="C139" i="224"/>
  <c r="C140" i="224"/>
  <c r="C141" i="224"/>
  <c r="C142" i="224"/>
  <c r="C143" i="224"/>
  <c r="C144" i="224"/>
  <c r="C145" i="224"/>
  <c r="C146" i="224"/>
  <c r="C147" i="224"/>
  <c r="C148" i="224"/>
  <c r="C149" i="224"/>
  <c r="C150" i="224"/>
  <c r="C151" i="224"/>
  <c r="C152" i="224"/>
  <c r="C153" i="224"/>
  <c r="C154" i="224"/>
  <c r="C155" i="224"/>
  <c r="C156" i="224"/>
  <c r="C157" i="224"/>
  <c r="C158" i="224"/>
  <c r="C159" i="224"/>
  <c r="C160" i="224"/>
  <c r="C161" i="224"/>
  <c r="C162" i="224"/>
  <c r="C163" i="224"/>
  <c r="C164" i="224"/>
  <c r="C165" i="224"/>
  <c r="C166" i="224"/>
  <c r="C167" i="224"/>
  <c r="C168" i="224"/>
  <c r="C169" i="224"/>
  <c r="C170" i="224"/>
  <c r="C171" i="224"/>
  <c r="C172" i="224"/>
  <c r="C173" i="224"/>
  <c r="C174" i="224"/>
  <c r="C175" i="224"/>
  <c r="C176" i="224"/>
  <c r="C177" i="224"/>
  <c r="C178" i="224"/>
  <c r="C179" i="224"/>
  <c r="C180" i="224"/>
  <c r="C181" i="224"/>
  <c r="C182" i="224"/>
  <c r="C183" i="224"/>
  <c r="C184" i="224"/>
  <c r="C185" i="224"/>
  <c r="C186" i="224"/>
  <c r="C187" i="224"/>
  <c r="C188" i="224"/>
  <c r="C189" i="224"/>
  <c r="C190" i="224"/>
  <c r="C191" i="224"/>
  <c r="C192" i="224"/>
  <c r="C193" i="224"/>
  <c r="C194" i="224"/>
  <c r="C195" i="224"/>
  <c r="C196" i="224"/>
  <c r="C197" i="224"/>
  <c r="C198" i="224"/>
  <c r="C199" i="224"/>
  <c r="C200" i="224"/>
  <c r="C201" i="224"/>
  <c r="C202" i="224"/>
  <c r="C203" i="224"/>
  <c r="C204" i="224"/>
  <c r="C205" i="224"/>
  <c r="C206" i="224"/>
  <c r="C207" i="224"/>
  <c r="C208" i="224"/>
  <c r="C209" i="224"/>
  <c r="C210" i="224"/>
  <c r="C211" i="224"/>
  <c r="C212" i="224"/>
  <c r="C213" i="224"/>
  <c r="C214" i="224"/>
  <c r="C215" i="224"/>
  <c r="C216" i="224"/>
  <c r="C217" i="224"/>
  <c r="C218" i="224"/>
  <c r="C219" i="224"/>
  <c r="C220" i="224"/>
  <c r="C221" i="224"/>
  <c r="C222" i="224"/>
  <c r="C223" i="224"/>
  <c r="C224" i="224"/>
  <c r="C225" i="224"/>
  <c r="C226" i="224"/>
  <c r="C227" i="224"/>
  <c r="C228" i="224"/>
  <c r="C229" i="224"/>
  <c r="C230" i="224"/>
  <c r="C231" i="224"/>
  <c r="C232" i="224"/>
  <c r="C233" i="224"/>
  <c r="C234" i="224"/>
  <c r="C235" i="224"/>
  <c r="C236" i="224"/>
  <c r="C237" i="224"/>
  <c r="C238" i="224"/>
  <c r="C239" i="224"/>
  <c r="C240" i="224"/>
  <c r="C241" i="224"/>
  <c r="C242" i="224"/>
  <c r="C243" i="224"/>
  <c r="C244" i="224"/>
  <c r="C245" i="224"/>
  <c r="C246" i="224"/>
  <c r="C247" i="224"/>
  <c r="C248" i="224"/>
  <c r="C249" i="224"/>
  <c r="C250" i="224"/>
  <c r="A6" i="226"/>
  <c r="B6" i="226" s="1"/>
  <c r="C6" i="226" s="1"/>
  <c r="B10" i="111"/>
  <c r="C10" i="111" s="1"/>
  <c r="B12" i="1"/>
  <c r="G63" i="224"/>
  <c r="G64" i="224"/>
  <c r="G65" i="224"/>
  <c r="G66" i="224"/>
  <c r="G67" i="224"/>
  <c r="G68" i="224"/>
  <c r="G69" i="224"/>
  <c r="G70" i="224"/>
  <c r="G71" i="224"/>
  <c r="G72" i="224"/>
  <c r="G73" i="224"/>
  <c r="G74" i="224"/>
  <c r="G75" i="224"/>
  <c r="G76" i="224"/>
  <c r="G77" i="224"/>
  <c r="G78" i="224"/>
  <c r="G79" i="224"/>
  <c r="G80" i="224"/>
  <c r="G81" i="224"/>
  <c r="G82" i="224"/>
  <c r="G83" i="224"/>
  <c r="G84" i="224"/>
  <c r="G85" i="224"/>
  <c r="G86" i="224"/>
  <c r="G87" i="224"/>
  <c r="G88" i="224"/>
  <c r="G89" i="224"/>
  <c r="G90" i="224"/>
  <c r="G91" i="224"/>
  <c r="G92" i="224"/>
  <c r="G93" i="224"/>
  <c r="G94" i="224"/>
  <c r="G95" i="224"/>
  <c r="G96" i="224"/>
  <c r="G97" i="224"/>
  <c r="G98" i="224"/>
  <c r="G99" i="224"/>
  <c r="G100" i="224"/>
  <c r="G101" i="224"/>
  <c r="G102" i="224"/>
  <c r="G103" i="224"/>
  <c r="G104" i="224"/>
  <c r="G105" i="224"/>
  <c r="G106" i="224"/>
  <c r="G107" i="224"/>
  <c r="G108" i="224"/>
  <c r="G109" i="224"/>
  <c r="G110" i="224"/>
  <c r="G111" i="224"/>
  <c r="G112" i="224"/>
  <c r="G113" i="224"/>
  <c r="G114" i="224"/>
  <c r="G115" i="224"/>
  <c r="G116" i="224"/>
  <c r="G117" i="224"/>
  <c r="G118" i="224"/>
  <c r="G119" i="224"/>
  <c r="G120" i="224"/>
  <c r="G121" i="224"/>
  <c r="G122" i="224"/>
  <c r="G123" i="224"/>
  <c r="G124" i="224"/>
  <c r="G125" i="224"/>
  <c r="G126" i="224"/>
  <c r="G127" i="224"/>
  <c r="G128" i="224"/>
  <c r="G129" i="224"/>
  <c r="G130" i="224"/>
  <c r="G131" i="224"/>
  <c r="G132" i="224"/>
  <c r="G133" i="224"/>
  <c r="G134" i="224"/>
  <c r="G135" i="224"/>
  <c r="G136" i="224"/>
  <c r="G137" i="224"/>
  <c r="G138" i="224"/>
  <c r="G139" i="224"/>
  <c r="G140" i="224"/>
  <c r="G141" i="224"/>
  <c r="G142" i="224"/>
  <c r="G143" i="224"/>
  <c r="G144" i="224"/>
  <c r="G145" i="224"/>
  <c r="G146" i="224"/>
  <c r="G147" i="224"/>
  <c r="G148" i="224"/>
  <c r="G149" i="224"/>
  <c r="G150" i="224"/>
  <c r="G151" i="224"/>
  <c r="G152" i="224"/>
  <c r="G153" i="224"/>
  <c r="G154" i="224"/>
  <c r="G155" i="224"/>
  <c r="G156" i="224"/>
  <c r="G157" i="224"/>
  <c r="G158" i="224"/>
  <c r="G159" i="224"/>
  <c r="G160" i="224"/>
  <c r="G161" i="224"/>
  <c r="G162" i="224"/>
  <c r="G163" i="224"/>
  <c r="G164" i="224"/>
  <c r="G165" i="224"/>
  <c r="G166" i="224"/>
  <c r="G167" i="224"/>
  <c r="G168" i="224"/>
  <c r="G169" i="224"/>
  <c r="G170" i="224"/>
  <c r="G171" i="224"/>
  <c r="G172" i="224"/>
  <c r="G173" i="224"/>
  <c r="G174" i="224"/>
  <c r="G175" i="224"/>
  <c r="G176" i="224"/>
  <c r="G177" i="224"/>
  <c r="G178" i="224"/>
  <c r="G179" i="224"/>
  <c r="G180" i="224"/>
  <c r="G181" i="224"/>
  <c r="G182" i="224"/>
  <c r="G183" i="224"/>
  <c r="G184" i="224"/>
  <c r="G185" i="224"/>
  <c r="G186" i="224"/>
  <c r="G187" i="224"/>
  <c r="G188" i="224"/>
  <c r="G189" i="224"/>
  <c r="G190" i="224"/>
  <c r="G191" i="224"/>
  <c r="G192" i="224"/>
  <c r="G193" i="224"/>
  <c r="G194" i="224"/>
  <c r="G195" i="224"/>
  <c r="G196" i="224"/>
  <c r="G197" i="224"/>
  <c r="G198" i="224"/>
  <c r="G199" i="224"/>
  <c r="G200" i="224"/>
  <c r="G201" i="224"/>
  <c r="G202" i="224"/>
  <c r="G203" i="224"/>
  <c r="G204" i="224"/>
  <c r="G205" i="224"/>
  <c r="G206" i="224"/>
  <c r="G207" i="224"/>
  <c r="G208" i="224"/>
  <c r="G209" i="224"/>
  <c r="G210" i="224"/>
  <c r="G211" i="224"/>
  <c r="G212" i="224"/>
  <c r="G213" i="224"/>
  <c r="G214" i="224"/>
  <c r="G215" i="224"/>
  <c r="G216" i="224"/>
  <c r="G217" i="224"/>
  <c r="G218" i="224"/>
  <c r="G219" i="224"/>
  <c r="G220" i="224"/>
  <c r="G221" i="224"/>
  <c r="G222" i="224"/>
  <c r="G223" i="224"/>
  <c r="G224" i="224"/>
  <c r="G225" i="224"/>
  <c r="G226" i="224"/>
  <c r="G227" i="224"/>
  <c r="G228" i="224"/>
  <c r="G229" i="224"/>
  <c r="G230" i="224"/>
  <c r="G231" i="224"/>
  <c r="G232" i="224"/>
  <c r="G233" i="224"/>
  <c r="G234" i="224"/>
  <c r="G235" i="224"/>
  <c r="G236" i="224"/>
  <c r="G237" i="224"/>
  <c r="G238" i="224"/>
  <c r="G239" i="224"/>
  <c r="G240" i="224"/>
  <c r="G241" i="224"/>
  <c r="G242" i="224"/>
  <c r="G243" i="224"/>
  <c r="G244" i="224"/>
  <c r="G245" i="224"/>
  <c r="G246" i="224"/>
  <c r="G247" i="224"/>
  <c r="G248" i="224"/>
  <c r="G249" i="224"/>
  <c r="G250" i="224"/>
  <c r="G62" i="224"/>
  <c r="G61" i="224"/>
  <c r="G60" i="224"/>
  <c r="G59" i="224"/>
  <c r="G58" i="224"/>
  <c r="G57" i="224"/>
  <c r="G56" i="224"/>
  <c r="G55" i="224"/>
  <c r="G54" i="224"/>
  <c r="G53" i="224"/>
  <c r="G52" i="224"/>
  <c r="G51" i="224"/>
  <c r="G50" i="224"/>
  <c r="G49" i="224"/>
  <c r="G48" i="224"/>
  <c r="G46" i="224"/>
  <c r="G47" i="224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7" i="3"/>
  <c r="N47" i="115" l="1"/>
  <c r="N41" i="115"/>
  <c r="N35" i="115"/>
  <c r="N29" i="115"/>
  <c r="N23" i="115"/>
  <c r="N17" i="115"/>
  <c r="N11" i="115"/>
  <c r="O19" i="115"/>
  <c r="N46" i="115"/>
  <c r="N40" i="115"/>
  <c r="N34" i="115"/>
  <c r="N28" i="115"/>
  <c r="N22" i="115"/>
  <c r="N16" i="115"/>
  <c r="N10" i="115"/>
  <c r="N4" i="115"/>
  <c r="N45" i="115"/>
  <c r="N39" i="115"/>
  <c r="N33" i="115"/>
  <c r="N27" i="115"/>
  <c r="N38" i="115"/>
  <c r="N101" i="3"/>
  <c r="N100" i="3"/>
  <c r="N388" i="3"/>
  <c r="N389" i="3"/>
  <c r="N196" i="3"/>
  <c r="N197" i="3"/>
  <c r="N244" i="3"/>
  <c r="N245" i="3"/>
  <c r="N51" i="3"/>
  <c r="N292" i="3"/>
  <c r="N52" i="3"/>
  <c r="N293" i="3"/>
  <c r="N53" i="3"/>
  <c r="N340" i="3"/>
  <c r="N99" i="3"/>
  <c r="N341" i="3"/>
  <c r="N148" i="3"/>
  <c r="N436" i="3"/>
  <c r="N149" i="3"/>
  <c r="N437" i="3"/>
  <c r="N147" i="3"/>
  <c r="N195" i="3"/>
  <c r="N243" i="3"/>
  <c r="N291" i="3"/>
  <c r="N339" i="3"/>
  <c r="N387" i="3"/>
  <c r="N435" i="3"/>
  <c r="N15" i="3"/>
  <c r="N63" i="3"/>
  <c r="N111" i="3"/>
  <c r="N159" i="3"/>
  <c r="N207" i="3"/>
  <c r="N255" i="3"/>
  <c r="N303" i="3"/>
  <c r="N351" i="3"/>
  <c r="N399" i="3"/>
  <c r="N447" i="3"/>
  <c r="N16" i="3"/>
  <c r="N64" i="3"/>
  <c r="N112" i="3"/>
  <c r="N160" i="3"/>
  <c r="N208" i="3"/>
  <c r="N256" i="3"/>
  <c r="N304" i="3"/>
  <c r="N352" i="3"/>
  <c r="N400" i="3"/>
  <c r="N448" i="3"/>
  <c r="N17" i="3"/>
  <c r="N65" i="3"/>
  <c r="N113" i="3"/>
  <c r="N161" i="3"/>
  <c r="N209" i="3"/>
  <c r="N257" i="3"/>
  <c r="N305" i="3"/>
  <c r="N353" i="3"/>
  <c r="N401" i="3"/>
  <c r="N449" i="3"/>
  <c r="N27" i="3"/>
  <c r="N75" i="3"/>
  <c r="N123" i="3"/>
  <c r="N171" i="3"/>
  <c r="N219" i="3"/>
  <c r="N267" i="3"/>
  <c r="N315" i="3"/>
  <c r="N363" i="3"/>
  <c r="N411" i="3"/>
  <c r="N459" i="3"/>
  <c r="N28" i="3"/>
  <c r="N76" i="3"/>
  <c r="N124" i="3"/>
  <c r="N172" i="3"/>
  <c r="N220" i="3"/>
  <c r="N268" i="3"/>
  <c r="N316" i="3"/>
  <c r="N364" i="3"/>
  <c r="N412" i="3"/>
  <c r="N460" i="3"/>
  <c r="N29" i="3"/>
  <c r="N77" i="3"/>
  <c r="N125" i="3"/>
  <c r="N173" i="3"/>
  <c r="N221" i="3"/>
  <c r="N269" i="3"/>
  <c r="N317" i="3"/>
  <c r="N365" i="3"/>
  <c r="N413" i="3"/>
  <c r="N461" i="3"/>
  <c r="N39" i="3"/>
  <c r="N87" i="3"/>
  <c r="N135" i="3"/>
  <c r="N183" i="3"/>
  <c r="N231" i="3"/>
  <c r="N279" i="3"/>
  <c r="N327" i="3"/>
  <c r="N375" i="3"/>
  <c r="N423" i="3"/>
  <c r="N471" i="3"/>
  <c r="N40" i="3"/>
  <c r="N88" i="3"/>
  <c r="N136" i="3"/>
  <c r="N184" i="3"/>
  <c r="N232" i="3"/>
  <c r="N280" i="3"/>
  <c r="N328" i="3"/>
  <c r="N376" i="3"/>
  <c r="N424" i="3"/>
  <c r="N472" i="3"/>
  <c r="N41" i="3"/>
  <c r="N89" i="3"/>
  <c r="N137" i="3"/>
  <c r="N185" i="3"/>
  <c r="N233" i="3"/>
  <c r="N281" i="3"/>
  <c r="N329" i="3"/>
  <c r="N377" i="3"/>
  <c r="N425" i="3"/>
  <c r="N473" i="3"/>
  <c r="N18" i="3"/>
  <c r="N30" i="3"/>
  <c r="N42" i="3"/>
  <c r="N54" i="3"/>
  <c r="N66" i="3"/>
  <c r="N78" i="3"/>
  <c r="N90" i="3"/>
  <c r="N102" i="3"/>
  <c r="N114" i="3"/>
  <c r="N126" i="3"/>
  <c r="N138" i="3"/>
  <c r="N150" i="3"/>
  <c r="N162" i="3"/>
  <c r="N174" i="3"/>
  <c r="N186" i="3"/>
  <c r="N198" i="3"/>
  <c r="N210" i="3"/>
  <c r="N222" i="3"/>
  <c r="N234" i="3"/>
  <c r="N246" i="3"/>
  <c r="N258" i="3"/>
  <c r="N270" i="3"/>
  <c r="N282" i="3"/>
  <c r="N294" i="3"/>
  <c r="N306" i="3"/>
  <c r="N318" i="3"/>
  <c r="N330" i="3"/>
  <c r="N342" i="3"/>
  <c r="N354" i="3"/>
  <c r="N366" i="3"/>
  <c r="N378" i="3"/>
  <c r="N390" i="3"/>
  <c r="N402" i="3"/>
  <c r="N414" i="3"/>
  <c r="N426" i="3"/>
  <c r="N438" i="3"/>
  <c r="N450" i="3"/>
  <c r="N462" i="3"/>
  <c r="N474" i="3"/>
  <c r="N19" i="3"/>
  <c r="N31" i="3"/>
  <c r="N43" i="3"/>
  <c r="N55" i="3"/>
  <c r="N67" i="3"/>
  <c r="N79" i="3"/>
  <c r="N91" i="3"/>
  <c r="N103" i="3"/>
  <c r="N115" i="3"/>
  <c r="N127" i="3"/>
  <c r="N139" i="3"/>
  <c r="N151" i="3"/>
  <c r="N163" i="3"/>
  <c r="N175" i="3"/>
  <c r="N187" i="3"/>
  <c r="N199" i="3"/>
  <c r="N211" i="3"/>
  <c r="N223" i="3"/>
  <c r="N235" i="3"/>
  <c r="N247" i="3"/>
  <c r="N259" i="3"/>
  <c r="N271" i="3"/>
  <c r="N283" i="3"/>
  <c r="N295" i="3"/>
  <c r="N307" i="3"/>
  <c r="N319" i="3"/>
  <c r="N331" i="3"/>
  <c r="N343" i="3"/>
  <c r="N355" i="3"/>
  <c r="N367" i="3"/>
  <c r="N379" i="3"/>
  <c r="N391" i="3"/>
  <c r="N403" i="3"/>
  <c r="N415" i="3"/>
  <c r="N427" i="3"/>
  <c r="N439" i="3"/>
  <c r="N451" i="3"/>
  <c r="N463" i="3"/>
  <c r="N475" i="3"/>
  <c r="N8" i="3"/>
  <c r="N20" i="3"/>
  <c r="N32" i="3"/>
  <c r="N44" i="3"/>
  <c r="N56" i="3"/>
  <c r="N68" i="3"/>
  <c r="N80" i="3"/>
  <c r="N92" i="3"/>
  <c r="N104" i="3"/>
  <c r="N116" i="3"/>
  <c r="N128" i="3"/>
  <c r="N140" i="3"/>
  <c r="N152" i="3"/>
  <c r="N164" i="3"/>
  <c r="N176" i="3"/>
  <c r="N188" i="3"/>
  <c r="N200" i="3"/>
  <c r="N212" i="3"/>
  <c r="N224" i="3"/>
  <c r="N236" i="3"/>
  <c r="N248" i="3"/>
  <c r="N260" i="3"/>
  <c r="N272" i="3"/>
  <c r="N284" i="3"/>
  <c r="N296" i="3"/>
  <c r="N308" i="3"/>
  <c r="N320" i="3"/>
  <c r="N332" i="3"/>
  <c r="N344" i="3"/>
  <c r="N356" i="3"/>
  <c r="N368" i="3"/>
  <c r="N380" i="3"/>
  <c r="N392" i="3"/>
  <c r="N404" i="3"/>
  <c r="N416" i="3"/>
  <c r="N428" i="3"/>
  <c r="N440" i="3"/>
  <c r="N452" i="3"/>
  <c r="N464" i="3"/>
  <c r="N476" i="3"/>
  <c r="N9" i="3"/>
  <c r="N21" i="3"/>
  <c r="N33" i="3"/>
  <c r="N45" i="3"/>
  <c r="N57" i="3"/>
  <c r="N69" i="3"/>
  <c r="N81" i="3"/>
  <c r="N93" i="3"/>
  <c r="N105" i="3"/>
  <c r="N117" i="3"/>
  <c r="N129" i="3"/>
  <c r="N141" i="3"/>
  <c r="N153" i="3"/>
  <c r="N165" i="3"/>
  <c r="N177" i="3"/>
  <c r="N189" i="3"/>
  <c r="N201" i="3"/>
  <c r="N213" i="3"/>
  <c r="N225" i="3"/>
  <c r="N237" i="3"/>
  <c r="N249" i="3"/>
  <c r="N261" i="3"/>
  <c r="N273" i="3"/>
  <c r="N285" i="3"/>
  <c r="N297" i="3"/>
  <c r="N309" i="3"/>
  <c r="N321" i="3"/>
  <c r="N333" i="3"/>
  <c r="N345" i="3"/>
  <c r="N357" i="3"/>
  <c r="N369" i="3"/>
  <c r="N381" i="3"/>
  <c r="N393" i="3"/>
  <c r="N405" i="3"/>
  <c r="N417" i="3"/>
  <c r="N429" i="3"/>
  <c r="N441" i="3"/>
  <c r="N453" i="3"/>
  <c r="N465" i="3"/>
  <c r="N477" i="3"/>
  <c r="N10" i="3"/>
  <c r="N22" i="3"/>
  <c r="N34" i="3"/>
  <c r="N46" i="3"/>
  <c r="N58" i="3"/>
  <c r="N70" i="3"/>
  <c r="N82" i="3"/>
  <c r="N94" i="3"/>
  <c r="N106" i="3"/>
  <c r="N118" i="3"/>
  <c r="N130" i="3"/>
  <c r="N142" i="3"/>
  <c r="N154" i="3"/>
  <c r="N166" i="3"/>
  <c r="N178" i="3"/>
  <c r="N190" i="3"/>
  <c r="N202" i="3"/>
  <c r="N214" i="3"/>
  <c r="N226" i="3"/>
  <c r="N238" i="3"/>
  <c r="N250" i="3"/>
  <c r="N262" i="3"/>
  <c r="N274" i="3"/>
  <c r="N286" i="3"/>
  <c r="N298" i="3"/>
  <c r="N310" i="3"/>
  <c r="N322" i="3"/>
  <c r="N334" i="3"/>
  <c r="N346" i="3"/>
  <c r="N358" i="3"/>
  <c r="N370" i="3"/>
  <c r="N382" i="3"/>
  <c r="N394" i="3"/>
  <c r="N406" i="3"/>
  <c r="N418" i="3"/>
  <c r="N430" i="3"/>
  <c r="N442" i="3"/>
  <c r="N454" i="3"/>
  <c r="N466" i="3"/>
  <c r="N478" i="3"/>
  <c r="N11" i="3"/>
  <c r="N23" i="3"/>
  <c r="N35" i="3"/>
  <c r="N47" i="3"/>
  <c r="N59" i="3"/>
  <c r="N71" i="3"/>
  <c r="N83" i="3"/>
  <c r="N95" i="3"/>
  <c r="N107" i="3"/>
  <c r="N119" i="3"/>
  <c r="N131" i="3"/>
  <c r="N143" i="3"/>
  <c r="N155" i="3"/>
  <c r="N167" i="3"/>
  <c r="N179" i="3"/>
  <c r="N191" i="3"/>
  <c r="N203" i="3"/>
  <c r="N215" i="3"/>
  <c r="N227" i="3"/>
  <c r="N239" i="3"/>
  <c r="N251" i="3"/>
  <c r="N263" i="3"/>
  <c r="N275" i="3"/>
  <c r="N287" i="3"/>
  <c r="N299" i="3"/>
  <c r="N311" i="3"/>
  <c r="N323" i="3"/>
  <c r="N335" i="3"/>
  <c r="N347" i="3"/>
  <c r="N359" i="3"/>
  <c r="N371" i="3"/>
  <c r="N383" i="3"/>
  <c r="N395" i="3"/>
  <c r="N407" i="3"/>
  <c r="N419" i="3"/>
  <c r="N431" i="3"/>
  <c r="N443" i="3"/>
  <c r="N455" i="3"/>
  <c r="N467" i="3"/>
  <c r="N479" i="3"/>
  <c r="N12" i="3"/>
  <c r="N24" i="3"/>
  <c r="N36" i="3"/>
  <c r="N48" i="3"/>
  <c r="N60" i="3"/>
  <c r="N72" i="3"/>
  <c r="N84" i="3"/>
  <c r="N96" i="3"/>
  <c r="N108" i="3"/>
  <c r="N120" i="3"/>
  <c r="N132" i="3"/>
  <c r="N144" i="3"/>
  <c r="N156" i="3"/>
  <c r="N168" i="3"/>
  <c r="N180" i="3"/>
  <c r="N192" i="3"/>
  <c r="N204" i="3"/>
  <c r="N216" i="3"/>
  <c r="N228" i="3"/>
  <c r="N240" i="3"/>
  <c r="N252" i="3"/>
  <c r="N264" i="3"/>
  <c r="N276" i="3"/>
  <c r="N288" i="3"/>
  <c r="N300" i="3"/>
  <c r="N312" i="3"/>
  <c r="N324" i="3"/>
  <c r="N336" i="3"/>
  <c r="N348" i="3"/>
  <c r="N360" i="3"/>
  <c r="N372" i="3"/>
  <c r="N384" i="3"/>
  <c r="N396" i="3"/>
  <c r="N408" i="3"/>
  <c r="N420" i="3"/>
  <c r="N432" i="3"/>
  <c r="N444" i="3"/>
  <c r="N456" i="3"/>
  <c r="N468" i="3"/>
  <c r="N480" i="3"/>
  <c r="N13" i="3"/>
  <c r="N25" i="3"/>
  <c r="N37" i="3"/>
  <c r="N49" i="3"/>
  <c r="N61" i="3"/>
  <c r="N73" i="3"/>
  <c r="N85" i="3"/>
  <c r="N97" i="3"/>
  <c r="N109" i="3"/>
  <c r="N121" i="3"/>
  <c r="N133" i="3"/>
  <c r="N145" i="3"/>
  <c r="N157" i="3"/>
  <c r="N169" i="3"/>
  <c r="N181" i="3"/>
  <c r="N193" i="3"/>
  <c r="N205" i="3"/>
  <c r="N217" i="3"/>
  <c r="N229" i="3"/>
  <c r="N241" i="3"/>
  <c r="N253" i="3"/>
  <c r="N265" i="3"/>
  <c r="N277" i="3"/>
  <c r="N289" i="3"/>
  <c r="N301" i="3"/>
  <c r="N313" i="3"/>
  <c r="N325" i="3"/>
  <c r="N337" i="3"/>
  <c r="N349" i="3"/>
  <c r="N361" i="3"/>
  <c r="N373" i="3"/>
  <c r="N385" i="3"/>
  <c r="N397" i="3"/>
  <c r="N409" i="3"/>
  <c r="N421" i="3"/>
  <c r="N433" i="3"/>
  <c r="N445" i="3"/>
  <c r="N457" i="3"/>
  <c r="N469" i="3"/>
  <c r="N481" i="3"/>
  <c r="N14" i="3"/>
  <c r="N26" i="3"/>
  <c r="N38" i="3"/>
  <c r="N50" i="3"/>
  <c r="N62" i="3"/>
  <c r="N74" i="3"/>
  <c r="N86" i="3"/>
  <c r="N98" i="3"/>
  <c r="N110" i="3"/>
  <c r="N122" i="3"/>
  <c r="N134" i="3"/>
  <c r="N146" i="3"/>
  <c r="N158" i="3"/>
  <c r="N170" i="3"/>
  <c r="N182" i="3"/>
  <c r="N194" i="3"/>
  <c r="N206" i="3"/>
  <c r="N218" i="3"/>
  <c r="N230" i="3"/>
  <c r="N242" i="3"/>
  <c r="N254" i="3"/>
  <c r="N266" i="3"/>
  <c r="N278" i="3"/>
  <c r="N290" i="3"/>
  <c r="N302" i="3"/>
  <c r="N314" i="3"/>
  <c r="N326" i="3"/>
  <c r="N338" i="3"/>
  <c r="N350" i="3"/>
  <c r="N362" i="3"/>
  <c r="N374" i="3"/>
  <c r="N386" i="3"/>
  <c r="N398" i="3"/>
  <c r="N410" i="3"/>
  <c r="N422" i="3"/>
  <c r="N434" i="3"/>
  <c r="N446" i="3"/>
  <c r="N458" i="3"/>
  <c r="N470" i="3"/>
  <c r="N7" i="3"/>
  <c r="R19" i="115"/>
  <c r="N5" i="115"/>
  <c r="R38" i="115"/>
  <c r="O3" i="115"/>
  <c r="N49" i="115"/>
  <c r="N43" i="115"/>
  <c r="N37" i="115"/>
  <c r="N31" i="115"/>
  <c r="N25" i="115"/>
  <c r="N19" i="115"/>
  <c r="O13" i="115"/>
  <c r="N7" i="115"/>
  <c r="R47" i="115"/>
  <c r="R41" i="115"/>
  <c r="R35" i="115"/>
  <c r="R29" i="115"/>
  <c r="R23" i="115"/>
  <c r="R17" i="115"/>
  <c r="R11" i="115"/>
  <c r="R5" i="115"/>
  <c r="N48" i="115"/>
  <c r="N42" i="115"/>
  <c r="N36" i="115"/>
  <c r="N30" i="115"/>
  <c r="N24" i="115"/>
  <c r="N18" i="115"/>
  <c r="N12" i="115"/>
  <c r="R46" i="115"/>
  <c r="R40" i="115"/>
  <c r="R34" i="115"/>
  <c r="R28" i="115"/>
  <c r="R22" i="115"/>
  <c r="R16" i="115"/>
  <c r="R10" i="115"/>
  <c r="R4" i="115"/>
  <c r="R45" i="115"/>
  <c r="R39" i="115"/>
  <c r="R33" i="115"/>
  <c r="R27" i="115"/>
  <c r="R3" i="115"/>
  <c r="N6" i="115"/>
  <c r="N3" i="115"/>
  <c r="N21" i="115"/>
  <c r="N15" i="115"/>
  <c r="N9" i="115"/>
  <c r="O43" i="115"/>
  <c r="N44" i="115"/>
  <c r="O38" i="115"/>
  <c r="N32" i="115"/>
  <c r="N26" i="115"/>
  <c r="N20" i="115"/>
  <c r="N14" i="115"/>
  <c r="N8" i="115"/>
  <c r="O31" i="115"/>
  <c r="O7" i="115"/>
  <c r="N13" i="115"/>
  <c r="O26" i="115"/>
  <c r="O14" i="115"/>
  <c r="O49" i="115"/>
  <c r="O37" i="115"/>
  <c r="O25" i="115"/>
  <c r="O48" i="115"/>
  <c r="O36" i="115"/>
  <c r="O24" i="115"/>
  <c r="O12" i="115"/>
  <c r="O47" i="115"/>
  <c r="O35" i="115"/>
  <c r="O23" i="115"/>
  <c r="O11" i="115"/>
  <c r="O46" i="115"/>
  <c r="O34" i="115"/>
  <c r="O22" i="115"/>
  <c r="O10" i="115"/>
  <c r="O45" i="115"/>
  <c r="O33" i="115"/>
  <c r="O21" i="115"/>
  <c r="O9" i="115"/>
  <c r="O44" i="115"/>
  <c r="O32" i="115"/>
  <c r="O20" i="115"/>
  <c r="O8" i="115"/>
  <c r="O42" i="115"/>
  <c r="O30" i="115"/>
  <c r="O18" i="115"/>
  <c r="O6" i="115"/>
  <c r="O41" i="115"/>
  <c r="O29" i="115"/>
  <c r="O17" i="115"/>
  <c r="O5" i="115"/>
  <c r="O40" i="115"/>
  <c r="O28" i="115"/>
  <c r="O16" i="115"/>
  <c r="O4" i="115"/>
  <c r="O39" i="115"/>
  <c r="O27" i="115"/>
  <c r="O15" i="115"/>
  <c r="B9" i="111"/>
  <c r="C9" i="111" s="1"/>
  <c r="A7" i="226"/>
  <c r="O51" i="115" l="1"/>
  <c r="O50" i="115"/>
  <c r="F6" i="226"/>
  <c r="B7" i="226"/>
  <c r="A8" i="226"/>
  <c r="C7" i="226" l="1"/>
  <c r="F7" i="226" s="1"/>
  <c r="G7" i="226" s="1"/>
  <c r="B8" i="226"/>
  <c r="A9" i="226"/>
  <c r="C8" i="226" l="1"/>
  <c r="B9" i="226"/>
  <c r="A10" i="226"/>
  <c r="B34" i="1"/>
  <c r="B18" i="1"/>
  <c r="B19" i="1" s="1"/>
  <c r="F8" i="226" l="1"/>
  <c r="G8" i="226" s="1"/>
  <c r="C9" i="226"/>
  <c r="B10" i="226"/>
  <c r="A11" i="226"/>
  <c r="F9" i="226" l="1"/>
  <c r="G9" i="226" s="1"/>
  <c r="C10" i="226"/>
  <c r="B11" i="226"/>
  <c r="A12" i="226"/>
  <c r="F10" i="226" l="1"/>
  <c r="G10" i="226" s="1"/>
  <c r="C11" i="226"/>
  <c r="B12" i="226"/>
  <c r="A13" i="226"/>
  <c r="B17" i="1"/>
  <c r="B3" i="1"/>
  <c r="B4" i="1" s="1"/>
  <c r="F5" i="111" l="1"/>
  <c r="G43" i="227"/>
  <c r="F6" i="111"/>
  <c r="G3" i="227"/>
  <c r="G64" i="227"/>
  <c r="G2" i="227"/>
  <c r="G23" i="227"/>
  <c r="G44" i="227"/>
  <c r="G4" i="227"/>
  <c r="G45" i="227"/>
  <c r="G5" i="227"/>
  <c r="G46" i="227"/>
  <c r="G6" i="227"/>
  <c r="G48" i="227"/>
  <c r="G7" i="227"/>
  <c r="G47" i="227"/>
  <c r="G49" i="227"/>
  <c r="G8" i="227"/>
  <c r="G50" i="227"/>
  <c r="G9" i="227"/>
  <c r="G10" i="227"/>
  <c r="G51" i="227"/>
  <c r="G11" i="227"/>
  <c r="G52" i="227"/>
  <c r="G53" i="227"/>
  <c r="G12" i="227"/>
  <c r="G13" i="227"/>
  <c r="G54" i="227"/>
  <c r="G55" i="227"/>
  <c r="G14" i="227"/>
  <c r="G56" i="227"/>
  <c r="G15" i="227"/>
  <c r="G57" i="227"/>
  <c r="G16" i="227"/>
  <c r="G58" i="227"/>
  <c r="G17" i="227"/>
  <c r="G59" i="227"/>
  <c r="G18" i="227"/>
  <c r="G60" i="227"/>
  <c r="G19" i="227"/>
  <c r="G61" i="227"/>
  <c r="G20" i="227"/>
  <c r="G62" i="227"/>
  <c r="G21" i="227"/>
  <c r="G63" i="227"/>
  <c r="G22" i="227"/>
  <c r="G24" i="227"/>
  <c r="G65" i="227"/>
  <c r="G66" i="227"/>
  <c r="G25" i="227"/>
  <c r="G67" i="227"/>
  <c r="G26" i="227"/>
  <c r="G27" i="227"/>
  <c r="G68" i="227"/>
  <c r="G69" i="227"/>
  <c r="G28" i="227"/>
  <c r="G70" i="227"/>
  <c r="G29" i="227"/>
  <c r="G71" i="227"/>
  <c r="G30" i="227"/>
  <c r="G72" i="227"/>
  <c r="G31" i="227"/>
  <c r="G32" i="227"/>
  <c r="G73" i="227"/>
  <c r="G33" i="227"/>
  <c r="G74" i="227"/>
  <c r="G75" i="227"/>
  <c r="G34" i="227"/>
  <c r="G35" i="227"/>
  <c r="G76" i="227"/>
  <c r="G77" i="227"/>
  <c r="G36" i="227"/>
  <c r="G78" i="227"/>
  <c r="G37" i="227"/>
  <c r="G79" i="227"/>
  <c r="G38" i="227"/>
  <c r="G80" i="227"/>
  <c r="G39" i="227"/>
  <c r="O383" i="3"/>
  <c r="P383" i="3" s="1"/>
  <c r="O189" i="3"/>
  <c r="P189" i="3" s="1"/>
  <c r="O243" i="3"/>
  <c r="P243" i="3" s="1"/>
  <c r="O228" i="3"/>
  <c r="P228" i="3" s="1"/>
  <c r="O319" i="3"/>
  <c r="P319" i="3" s="1"/>
  <c r="O199" i="3"/>
  <c r="P199" i="3" s="1"/>
  <c r="O305" i="3"/>
  <c r="P305" i="3" s="1"/>
  <c r="O424" i="3"/>
  <c r="P424" i="3" s="1"/>
  <c r="O277" i="3"/>
  <c r="P277" i="3" s="1"/>
  <c r="O162" i="3"/>
  <c r="P162" i="3" s="1"/>
  <c r="O416" i="3"/>
  <c r="P416" i="3" s="1"/>
  <c r="O195" i="3"/>
  <c r="P195" i="3" s="1"/>
  <c r="O177" i="3"/>
  <c r="P177" i="3" s="1"/>
  <c r="O134" i="3"/>
  <c r="P134" i="3" s="1"/>
  <c r="O87" i="3"/>
  <c r="P87" i="3" s="1"/>
  <c r="O178" i="3"/>
  <c r="P178" i="3" s="1"/>
  <c r="O269" i="3"/>
  <c r="P269" i="3" s="1"/>
  <c r="O317" i="3"/>
  <c r="P317" i="3" s="1"/>
  <c r="O351" i="3"/>
  <c r="P351" i="3" s="1"/>
  <c r="O314" i="3"/>
  <c r="P314" i="3" s="1"/>
  <c r="O325" i="3"/>
  <c r="P325" i="3" s="1"/>
  <c r="O174" i="3"/>
  <c r="P174" i="3" s="1"/>
  <c r="O452" i="3"/>
  <c r="P452" i="3" s="1"/>
  <c r="O466" i="3"/>
  <c r="P466" i="3" s="1"/>
  <c r="O437" i="3"/>
  <c r="P437" i="3" s="1"/>
  <c r="O18" i="3"/>
  <c r="P18" i="3" s="1"/>
  <c r="O352" i="3"/>
  <c r="P352" i="3" s="1"/>
  <c r="O321" i="3"/>
  <c r="P321" i="3" s="1"/>
  <c r="O111" i="3"/>
  <c r="P111" i="3" s="1"/>
  <c r="O340" i="3"/>
  <c r="P340" i="3" s="1"/>
  <c r="O66" i="3"/>
  <c r="P66" i="3" s="1"/>
  <c r="O80" i="3"/>
  <c r="P80" i="3" s="1"/>
  <c r="O221" i="3"/>
  <c r="P221" i="3" s="1"/>
  <c r="O196" i="3"/>
  <c r="P196" i="3" s="1"/>
  <c r="O389" i="3"/>
  <c r="P389" i="3" s="1"/>
  <c r="O227" i="3"/>
  <c r="P227" i="3" s="1"/>
  <c r="O154" i="3"/>
  <c r="P154" i="3" s="1"/>
  <c r="O137" i="3"/>
  <c r="P137" i="3" s="1"/>
  <c r="O57" i="3"/>
  <c r="P57" i="3" s="1"/>
  <c r="O275" i="3"/>
  <c r="P275" i="3" s="1"/>
  <c r="O341" i="3"/>
  <c r="P341" i="3" s="1"/>
  <c r="O329" i="3"/>
  <c r="P329" i="3" s="1"/>
  <c r="O421" i="3"/>
  <c r="P421" i="3" s="1"/>
  <c r="O306" i="3"/>
  <c r="P306" i="3" s="1"/>
  <c r="O465" i="3"/>
  <c r="P465" i="3" s="1"/>
  <c r="O402" i="3"/>
  <c r="P402" i="3" s="1"/>
  <c r="O82" i="3"/>
  <c r="P82" i="3" s="1"/>
  <c r="O296" i="3"/>
  <c r="P296" i="3" s="1"/>
  <c r="O20" i="3"/>
  <c r="P20" i="3" s="1"/>
  <c r="O31" i="3"/>
  <c r="P31" i="3" s="1"/>
  <c r="O175" i="3"/>
  <c r="P175" i="3" s="1"/>
  <c r="O142" i="3"/>
  <c r="P142" i="3" s="1"/>
  <c r="O231" i="3"/>
  <c r="P231" i="3" s="1"/>
  <c r="O209" i="3"/>
  <c r="P209" i="3" s="1"/>
  <c r="O75" i="3"/>
  <c r="P75" i="3" s="1"/>
  <c r="O412" i="3"/>
  <c r="P412" i="3" s="1"/>
  <c r="O413" i="3"/>
  <c r="P413" i="3" s="1"/>
  <c r="O399" i="3"/>
  <c r="P399" i="3" s="1"/>
  <c r="O425" i="3"/>
  <c r="P425" i="3" s="1"/>
  <c r="O318" i="3"/>
  <c r="P318" i="3" s="1"/>
  <c r="O482" i="3"/>
  <c r="P482" i="3" s="1"/>
  <c r="O160" i="3"/>
  <c r="P160" i="3" s="1"/>
  <c r="O245" i="3"/>
  <c r="P245" i="3" s="1"/>
  <c r="O33" i="3"/>
  <c r="P33" i="3" s="1"/>
  <c r="O225" i="3"/>
  <c r="P225" i="3" s="1"/>
  <c r="O148" i="3"/>
  <c r="P148" i="3" s="1"/>
  <c r="O380" i="3"/>
  <c r="P380" i="3" s="1"/>
  <c r="O400" i="3"/>
  <c r="P400" i="3" s="1"/>
  <c r="O210" i="3"/>
  <c r="P210" i="3" s="1"/>
  <c r="O132" i="3"/>
  <c r="P132" i="3" s="1"/>
  <c r="O327" i="3"/>
  <c r="P327" i="3" s="1"/>
  <c r="O257" i="3"/>
  <c r="P257" i="3" s="1"/>
  <c r="O81" i="3"/>
  <c r="P81" i="3" s="1"/>
  <c r="O448" i="3"/>
  <c r="P448" i="3" s="1"/>
  <c r="O249" i="3"/>
  <c r="P249" i="3" s="1"/>
  <c r="O261" i="3"/>
  <c r="P261" i="3" s="1"/>
  <c r="O100" i="3"/>
  <c r="P100" i="3" s="1"/>
  <c r="O40" i="3"/>
  <c r="P40" i="3" s="1"/>
  <c r="O443" i="3"/>
  <c r="P443" i="3" s="1"/>
  <c r="O124" i="3"/>
  <c r="P124" i="3" s="1"/>
  <c r="O458" i="3"/>
  <c r="P458" i="3" s="1"/>
  <c r="O457" i="3"/>
  <c r="P457" i="3" s="1"/>
  <c r="O378" i="3"/>
  <c r="P378" i="3" s="1"/>
  <c r="O472" i="3"/>
  <c r="P472" i="3" s="1"/>
  <c r="O316" i="3"/>
  <c r="P316" i="3" s="1"/>
  <c r="O322" i="3"/>
  <c r="P322" i="3" s="1"/>
  <c r="O105" i="3"/>
  <c r="P105" i="3" s="1"/>
  <c r="O131" i="3"/>
  <c r="P131" i="3" s="1"/>
  <c r="O292" i="3"/>
  <c r="P292" i="3" s="1"/>
  <c r="O469" i="3"/>
  <c r="P469" i="3" s="1"/>
  <c r="O450" i="3"/>
  <c r="P450" i="3" s="1"/>
  <c r="O139" i="3"/>
  <c r="P139" i="3" s="1"/>
  <c r="O37" i="3"/>
  <c r="P37" i="3" s="1"/>
  <c r="O77" i="3"/>
  <c r="P77" i="3" s="1"/>
  <c r="O271" i="3"/>
  <c r="P271" i="3" s="1"/>
  <c r="O436" i="3"/>
  <c r="P436" i="3" s="1"/>
  <c r="O420" i="3"/>
  <c r="P420" i="3" s="1"/>
  <c r="O460" i="3"/>
  <c r="P460" i="3" s="1"/>
  <c r="O65" i="3"/>
  <c r="P65" i="3" s="1"/>
  <c r="O104" i="3"/>
  <c r="P104" i="3" s="1"/>
  <c r="O16" i="3"/>
  <c r="P16" i="3" s="1"/>
  <c r="O233" i="3"/>
  <c r="P233" i="3" s="1"/>
  <c r="O15" i="3"/>
  <c r="P15" i="3" s="1"/>
  <c r="O130" i="3"/>
  <c r="P130" i="3" s="1"/>
  <c r="O172" i="3"/>
  <c r="P172" i="3" s="1"/>
  <c r="O419" i="3"/>
  <c r="P419" i="3" s="1"/>
  <c r="O388" i="3"/>
  <c r="P388" i="3" s="1"/>
  <c r="O70" i="3"/>
  <c r="P70" i="3" s="1"/>
  <c r="O219" i="3"/>
  <c r="P219" i="3" s="1"/>
  <c r="O415" i="3"/>
  <c r="P415" i="3" s="1"/>
  <c r="O281" i="3"/>
  <c r="P281" i="3" s="1"/>
  <c r="O363" i="3"/>
  <c r="P363" i="3" s="1"/>
  <c r="O369" i="3"/>
  <c r="P369" i="3" s="1"/>
  <c r="O463" i="3"/>
  <c r="P463" i="3" s="1"/>
  <c r="O85" i="3"/>
  <c r="P85" i="3" s="1"/>
  <c r="O52" i="3"/>
  <c r="P52" i="3" s="1"/>
  <c r="O372" i="3"/>
  <c r="P372" i="3" s="1"/>
  <c r="O396" i="3"/>
  <c r="P396" i="3" s="1"/>
  <c r="O113" i="3"/>
  <c r="P113" i="3" s="1"/>
  <c r="O368" i="3"/>
  <c r="P368" i="3" s="1"/>
  <c r="O418" i="3"/>
  <c r="P418" i="3" s="1"/>
  <c r="O459" i="3"/>
  <c r="P459" i="3" s="1"/>
  <c r="O411" i="3"/>
  <c r="P411" i="3" s="1"/>
  <c r="O320" i="3"/>
  <c r="P320" i="3" s="1"/>
  <c r="O224" i="3"/>
  <c r="P224" i="3" s="1"/>
  <c r="O101" i="3"/>
  <c r="P101" i="3" s="1"/>
  <c r="O333" i="3"/>
  <c r="P333" i="3" s="1"/>
  <c r="O184" i="3"/>
  <c r="P184" i="3" s="1"/>
  <c r="O27" i="3"/>
  <c r="P27" i="3" s="1"/>
  <c r="O112" i="3"/>
  <c r="P112" i="3" s="1"/>
  <c r="O17" i="3"/>
  <c r="P17" i="3" s="1"/>
  <c r="O39" i="3"/>
  <c r="P39" i="3" s="1"/>
  <c r="O95" i="3"/>
  <c r="P95" i="3" s="1"/>
  <c r="O468" i="3"/>
  <c r="P468" i="3" s="1"/>
  <c r="O73" i="3"/>
  <c r="P73" i="3" s="1"/>
  <c r="O90" i="3"/>
  <c r="P90" i="3" s="1"/>
  <c r="O128" i="3"/>
  <c r="P128" i="3" s="1"/>
  <c r="O63" i="3"/>
  <c r="P63" i="3" s="1"/>
  <c r="O34" i="3"/>
  <c r="P34" i="3" s="1"/>
  <c r="O133" i="3"/>
  <c r="P133" i="3" s="1"/>
  <c r="O198" i="3"/>
  <c r="P198" i="3" s="1"/>
  <c r="O303" i="3"/>
  <c r="P303" i="3" s="1"/>
  <c r="O236" i="3"/>
  <c r="P236" i="3" s="1"/>
  <c r="O315" i="3"/>
  <c r="P315" i="3" s="1"/>
  <c r="O84" i="3"/>
  <c r="P84" i="3" s="1"/>
  <c r="O232" i="3"/>
  <c r="P232" i="3" s="1"/>
  <c r="O367" i="3"/>
  <c r="P367" i="3" s="1"/>
  <c r="O127" i="3"/>
  <c r="P127" i="3" s="1"/>
  <c r="O230" i="3"/>
  <c r="P230" i="3" s="1"/>
  <c r="O375" i="3"/>
  <c r="P375" i="3" s="1"/>
  <c r="O181" i="3"/>
  <c r="P181" i="3" s="1"/>
  <c r="O138" i="3"/>
  <c r="P138" i="3" s="1"/>
  <c r="O272" i="3"/>
  <c r="P272" i="3" s="1"/>
  <c r="O29" i="3"/>
  <c r="P29" i="3" s="1"/>
  <c r="O386" i="3"/>
  <c r="P386" i="3" s="1"/>
  <c r="O474" i="3"/>
  <c r="P474" i="3" s="1"/>
  <c r="O354" i="3"/>
  <c r="P354" i="3" s="1"/>
  <c r="O417" i="3"/>
  <c r="P417" i="3" s="1"/>
  <c r="O79" i="3"/>
  <c r="P79" i="3" s="1"/>
  <c r="O387" i="3"/>
  <c r="P387" i="3" s="1"/>
  <c r="O136" i="3"/>
  <c r="P136" i="3" s="1"/>
  <c r="O197" i="3"/>
  <c r="P197" i="3" s="1"/>
  <c r="O102" i="3"/>
  <c r="P102" i="3" s="1"/>
  <c r="O141" i="3"/>
  <c r="P141" i="3" s="1"/>
  <c r="O135" i="3"/>
  <c r="P135" i="3" s="1"/>
  <c r="O176" i="3"/>
  <c r="P176" i="3" s="1"/>
  <c r="O165" i="3"/>
  <c r="P165" i="3" s="1"/>
  <c r="O359" i="3"/>
  <c r="P359" i="3" s="1"/>
  <c r="O350" i="3"/>
  <c r="P350" i="3" s="1"/>
  <c r="O59" i="3"/>
  <c r="P59" i="3" s="1"/>
  <c r="O247" i="3"/>
  <c r="P247" i="3" s="1"/>
  <c r="O241" i="3"/>
  <c r="P241" i="3" s="1"/>
  <c r="O35" i="3"/>
  <c r="P35" i="3" s="1"/>
  <c r="O358" i="3"/>
  <c r="P358" i="3" s="1"/>
  <c r="O406" i="3"/>
  <c r="P406" i="3" s="1"/>
  <c r="O299" i="3"/>
  <c r="P299" i="3" s="1"/>
  <c r="O234" i="3"/>
  <c r="P234" i="3" s="1"/>
  <c r="O384" i="3"/>
  <c r="P384" i="3" s="1"/>
  <c r="O93" i="3"/>
  <c r="P93" i="3" s="1"/>
  <c r="O88" i="3"/>
  <c r="P88" i="3" s="1"/>
  <c r="O382" i="3"/>
  <c r="P382" i="3" s="1"/>
  <c r="O266" i="3"/>
  <c r="P266" i="3" s="1"/>
  <c r="O310" i="3"/>
  <c r="P310" i="3" s="1"/>
  <c r="O19" i="3"/>
  <c r="P19" i="3" s="1"/>
  <c r="O265" i="3"/>
  <c r="P265" i="3" s="1"/>
  <c r="O10" i="3"/>
  <c r="P10" i="3" s="1"/>
  <c r="O423" i="3"/>
  <c r="P423" i="3" s="1"/>
  <c r="O398" i="3"/>
  <c r="P398" i="3" s="1"/>
  <c r="O336" i="3"/>
  <c r="P336" i="3" s="1"/>
  <c r="O30" i="3"/>
  <c r="P30" i="3" s="1"/>
  <c r="O324" i="3"/>
  <c r="P324" i="3" s="1"/>
  <c r="O183" i="3"/>
  <c r="P183" i="3" s="1"/>
  <c r="O147" i="3"/>
  <c r="P147" i="3" s="1"/>
  <c r="O238" i="3"/>
  <c r="P238" i="3" s="1"/>
  <c r="O21" i="3"/>
  <c r="P21" i="3" s="1"/>
  <c r="O62" i="3"/>
  <c r="P62" i="3" s="1"/>
  <c r="O250" i="3"/>
  <c r="P250" i="3" s="1"/>
  <c r="O476" i="3"/>
  <c r="P476" i="3" s="1"/>
  <c r="O26" i="3"/>
  <c r="P26" i="3" s="1"/>
  <c r="O405" i="3"/>
  <c r="P405" i="3" s="1"/>
  <c r="O285" i="3"/>
  <c r="P285" i="3" s="1"/>
  <c r="O11" i="3"/>
  <c r="P11" i="3" s="1"/>
  <c r="O235" i="3"/>
  <c r="P235" i="3" s="1"/>
  <c r="O96" i="3"/>
  <c r="P96" i="3" s="1"/>
  <c r="O284" i="3"/>
  <c r="P284" i="3" s="1"/>
  <c r="O270" i="3"/>
  <c r="P270" i="3" s="1"/>
  <c r="O313" i="3"/>
  <c r="P313" i="3" s="1"/>
  <c r="O22" i="3"/>
  <c r="P22" i="3" s="1"/>
  <c r="O50" i="3"/>
  <c r="P50" i="3" s="1"/>
  <c r="O201" i="3"/>
  <c r="P201" i="3" s="1"/>
  <c r="O301" i="3"/>
  <c r="P301" i="3" s="1"/>
  <c r="O300" i="3"/>
  <c r="P300" i="3" s="1"/>
  <c r="O260" i="3"/>
  <c r="P260" i="3" s="1"/>
  <c r="O464" i="3"/>
  <c r="P464" i="3" s="1"/>
  <c r="O67" i="3"/>
  <c r="P67" i="3" s="1"/>
  <c r="O312" i="3"/>
  <c r="P312" i="3" s="1"/>
  <c r="O251" i="3"/>
  <c r="P251" i="3" s="1"/>
  <c r="O223" i="3"/>
  <c r="P223" i="3" s="1"/>
  <c r="O311" i="3"/>
  <c r="P311" i="3" s="1"/>
  <c r="O215" i="3"/>
  <c r="P215" i="3" s="1"/>
  <c r="O186" i="3"/>
  <c r="P186" i="3" s="1"/>
  <c r="O298" i="3"/>
  <c r="P298" i="3" s="1"/>
  <c r="O244" i="3"/>
  <c r="P244" i="3" s="1"/>
  <c r="O208" i="3"/>
  <c r="P208" i="3" s="1"/>
  <c r="O473" i="3"/>
  <c r="P473" i="3" s="1"/>
  <c r="O97" i="3"/>
  <c r="P97" i="3" s="1"/>
  <c r="O262" i="3"/>
  <c r="P262" i="3" s="1"/>
  <c r="O206" i="3"/>
  <c r="P206" i="3" s="1"/>
  <c r="O394" i="3"/>
  <c r="P394" i="3" s="1"/>
  <c r="O103" i="3"/>
  <c r="P103" i="3" s="1"/>
  <c r="O191" i="3"/>
  <c r="P191" i="3" s="1"/>
  <c r="O170" i="3"/>
  <c r="P170" i="3" s="1"/>
  <c r="O214" i="3"/>
  <c r="P214" i="3" s="1"/>
  <c r="O479" i="3"/>
  <c r="P479" i="3" s="1"/>
  <c r="O155" i="3"/>
  <c r="P155" i="3" s="1"/>
  <c r="O362" i="3"/>
  <c r="P362" i="3" s="1"/>
  <c r="O240" i="3"/>
  <c r="P240" i="3" s="1"/>
  <c r="O428" i="3"/>
  <c r="P428" i="3" s="1"/>
  <c r="O461" i="3"/>
  <c r="P461" i="3" s="1"/>
  <c r="O188" i="3"/>
  <c r="P188" i="3" s="1"/>
  <c r="O122" i="3"/>
  <c r="P122" i="3" s="1"/>
  <c r="O166" i="3"/>
  <c r="P166" i="3" s="1"/>
  <c r="O342" i="3"/>
  <c r="P342" i="3" s="1"/>
  <c r="O71" i="3"/>
  <c r="P71" i="3" s="1"/>
  <c r="O345" i="3"/>
  <c r="P345" i="3" s="1"/>
  <c r="O220" i="3"/>
  <c r="P220" i="3" s="1"/>
  <c r="O110" i="3"/>
  <c r="P110" i="3" s="1"/>
  <c r="O192" i="3"/>
  <c r="P192" i="3" s="1"/>
  <c r="O426" i="3"/>
  <c r="P426" i="3" s="1"/>
  <c r="O364" i="3"/>
  <c r="P364" i="3" s="1"/>
  <c r="O54" i="3"/>
  <c r="P54" i="3" s="1"/>
  <c r="O123" i="3"/>
  <c r="P123" i="3" s="1"/>
  <c r="O48" i="3"/>
  <c r="P48" i="3" s="1"/>
  <c r="O395" i="3"/>
  <c r="P395" i="3" s="1"/>
  <c r="O353" i="3"/>
  <c r="P353" i="3" s="1"/>
  <c r="O9" i="3"/>
  <c r="P9" i="3" s="1"/>
  <c r="O120" i="3"/>
  <c r="P120" i="3" s="1"/>
  <c r="O334" i="3"/>
  <c r="P334" i="3" s="1"/>
  <c r="O72" i="3"/>
  <c r="P72" i="3" s="1"/>
  <c r="O151" i="3"/>
  <c r="P151" i="3" s="1"/>
  <c r="O371" i="3"/>
  <c r="P371" i="3" s="1"/>
  <c r="O288" i="3"/>
  <c r="P288" i="3" s="1"/>
  <c r="O366" i="3"/>
  <c r="P366" i="3" s="1"/>
  <c r="O330" i="3"/>
  <c r="P330" i="3" s="1"/>
  <c r="O332" i="3"/>
  <c r="P332" i="3" s="1"/>
  <c r="O429" i="3"/>
  <c r="P429" i="3" s="1"/>
  <c r="O337" i="3"/>
  <c r="P337" i="3" s="1"/>
  <c r="O263" i="3"/>
  <c r="P263" i="3" s="1"/>
  <c r="O94" i="3"/>
  <c r="P94" i="3" s="1"/>
  <c r="O462" i="3"/>
  <c r="P462" i="3" s="1"/>
  <c r="O51" i="3"/>
  <c r="P51" i="3" s="1"/>
  <c r="O467" i="3"/>
  <c r="P467" i="3" s="1"/>
  <c r="O377" i="3"/>
  <c r="P377" i="3" s="1"/>
  <c r="O379" i="3"/>
  <c r="P379" i="3" s="1"/>
  <c r="O356" i="3"/>
  <c r="P356" i="3" s="1"/>
  <c r="O397" i="3"/>
  <c r="P397" i="3" s="1"/>
  <c r="O106" i="3"/>
  <c r="P106" i="3" s="1"/>
  <c r="O282" i="3"/>
  <c r="P282" i="3" s="1"/>
  <c r="O414" i="3"/>
  <c r="P414" i="3" s="1"/>
  <c r="O361" i="3"/>
  <c r="P361" i="3" s="1"/>
  <c r="O117" i="3"/>
  <c r="P117" i="3" s="1"/>
  <c r="O470" i="3"/>
  <c r="P470" i="3" s="1"/>
  <c r="O346" i="3"/>
  <c r="P346" i="3" s="1"/>
  <c r="O182" i="3"/>
  <c r="P182" i="3" s="1"/>
  <c r="O431" i="3"/>
  <c r="P431" i="3" s="1"/>
  <c r="O140" i="3"/>
  <c r="P140" i="3" s="1"/>
  <c r="O267" i="3"/>
  <c r="P267" i="3" s="1"/>
  <c r="O326" i="3"/>
  <c r="P326" i="3" s="1"/>
  <c r="O169" i="3"/>
  <c r="P169" i="3" s="1"/>
  <c r="O357" i="3"/>
  <c r="P357" i="3" s="1"/>
  <c r="O89" i="3"/>
  <c r="P89" i="3" s="1"/>
  <c r="O335" i="3"/>
  <c r="P335" i="3" s="1"/>
  <c r="O392" i="3"/>
  <c r="P392" i="3" s="1"/>
  <c r="O291" i="3"/>
  <c r="P291" i="3" s="1"/>
  <c r="O157" i="3"/>
  <c r="P157" i="3" s="1"/>
  <c r="O239" i="3"/>
  <c r="P239" i="3" s="1"/>
  <c r="O25" i="3"/>
  <c r="P25" i="3" s="1"/>
  <c r="O471" i="3"/>
  <c r="P471" i="3" s="1"/>
  <c r="O248" i="3"/>
  <c r="P248" i="3" s="1"/>
  <c r="O348" i="3"/>
  <c r="P348" i="3" s="1"/>
  <c r="O430" i="3"/>
  <c r="P430" i="3" s="1"/>
  <c r="O440" i="3"/>
  <c r="P440" i="3" s="1"/>
  <c r="O45" i="3"/>
  <c r="P45" i="3" s="1"/>
  <c r="O156" i="3"/>
  <c r="P156" i="3" s="1"/>
  <c r="O152" i="3"/>
  <c r="P152" i="3" s="1"/>
  <c r="O407" i="3"/>
  <c r="P407" i="3" s="1"/>
  <c r="O92" i="3"/>
  <c r="P92" i="3" s="1"/>
  <c r="O438" i="3"/>
  <c r="P438" i="3" s="1"/>
  <c r="O390" i="3"/>
  <c r="P390" i="3" s="1"/>
  <c r="O222" i="3"/>
  <c r="P222" i="3" s="1"/>
  <c r="O107" i="3"/>
  <c r="P107" i="3" s="1"/>
  <c r="O38" i="3"/>
  <c r="P38" i="3" s="1"/>
  <c r="O256" i="3"/>
  <c r="P256" i="3" s="1"/>
  <c r="O173" i="3"/>
  <c r="P173" i="3" s="1"/>
  <c r="O159" i="3"/>
  <c r="P159" i="3" s="1"/>
  <c r="O374" i="3"/>
  <c r="P374" i="3" s="1"/>
  <c r="O212" i="3"/>
  <c r="P212" i="3" s="1"/>
  <c r="O253" i="3"/>
  <c r="P253" i="3" s="1"/>
  <c r="O441" i="3"/>
  <c r="P441" i="3" s="1"/>
  <c r="O328" i="3"/>
  <c r="P328" i="3" s="1"/>
  <c r="O7" i="3"/>
  <c r="P7" i="3" s="1"/>
  <c r="O217" i="3"/>
  <c r="P217" i="3" s="1"/>
  <c r="O308" i="3"/>
  <c r="P308" i="3" s="1"/>
  <c r="O276" i="3"/>
  <c r="P276" i="3" s="1"/>
  <c r="O202" i="3"/>
  <c r="P202" i="3" s="1"/>
  <c r="O158" i="3"/>
  <c r="P158" i="3" s="1"/>
  <c r="O287" i="3"/>
  <c r="P287" i="3" s="1"/>
  <c r="O475" i="3"/>
  <c r="P475" i="3" s="1"/>
  <c r="O161" i="3"/>
  <c r="P161" i="3" s="1"/>
  <c r="O302" i="3"/>
  <c r="P302" i="3" s="1"/>
  <c r="O213" i="3"/>
  <c r="P213" i="3" s="1"/>
  <c r="O254" i="3"/>
  <c r="P254" i="3" s="1"/>
  <c r="O293" i="3"/>
  <c r="P293" i="3" s="1"/>
  <c r="O445" i="3"/>
  <c r="P445" i="3" s="1"/>
  <c r="O259" i="3"/>
  <c r="P259" i="3" s="1"/>
  <c r="O194" i="3"/>
  <c r="P194" i="3" s="1"/>
  <c r="O146" i="3"/>
  <c r="P146" i="3" s="1"/>
  <c r="O74" i="3"/>
  <c r="P74" i="3" s="1"/>
  <c r="O385" i="3"/>
  <c r="P385" i="3" s="1"/>
  <c r="O449" i="3"/>
  <c r="P449" i="3" s="1"/>
  <c r="O344" i="3"/>
  <c r="P344" i="3" s="1"/>
  <c r="O205" i="3"/>
  <c r="P205" i="3" s="1"/>
  <c r="O47" i="3"/>
  <c r="P47" i="3" s="1"/>
  <c r="O144" i="3"/>
  <c r="P144" i="3" s="1"/>
  <c r="O12" i="3"/>
  <c r="P12" i="3" s="1"/>
  <c r="O200" i="3"/>
  <c r="P200" i="3" s="1"/>
  <c r="O61" i="3"/>
  <c r="P61" i="3" s="1"/>
  <c r="O91" i="3"/>
  <c r="P91" i="3" s="1"/>
  <c r="O289" i="3"/>
  <c r="P289" i="3" s="1"/>
  <c r="O179" i="3"/>
  <c r="P179" i="3" s="1"/>
  <c r="O280" i="3"/>
  <c r="P280" i="3" s="1"/>
  <c r="O323" i="3"/>
  <c r="P323" i="3" s="1"/>
  <c r="O86" i="3"/>
  <c r="P86" i="3" s="1"/>
  <c r="O68" i="3"/>
  <c r="P68" i="3" s="1"/>
  <c r="O109" i="3"/>
  <c r="P109" i="3" s="1"/>
  <c r="O297" i="3"/>
  <c r="P297" i="3" s="1"/>
  <c r="O125" i="3"/>
  <c r="P125" i="3" s="1"/>
  <c r="O168" i="3"/>
  <c r="P168" i="3" s="1"/>
  <c r="O408" i="3"/>
  <c r="P408" i="3" s="1"/>
  <c r="O164" i="3"/>
  <c r="P164" i="3" s="1"/>
  <c r="O446" i="3"/>
  <c r="P446" i="3" s="1"/>
  <c r="O58" i="3"/>
  <c r="P58" i="3" s="1"/>
  <c r="O434" i="3"/>
  <c r="P434" i="3" s="1"/>
  <c r="O143" i="3"/>
  <c r="P143" i="3" s="1"/>
  <c r="O331" i="3"/>
  <c r="P331" i="3" s="1"/>
  <c r="O64" i="3"/>
  <c r="P64" i="3" s="1"/>
  <c r="O422" i="3"/>
  <c r="P422" i="3" s="1"/>
  <c r="O360" i="3"/>
  <c r="P360" i="3" s="1"/>
  <c r="O69" i="3"/>
  <c r="P69" i="3" s="1"/>
  <c r="O365" i="3"/>
  <c r="P365" i="3" s="1"/>
  <c r="O13" i="3"/>
  <c r="P13" i="3" s="1"/>
  <c r="O439" i="3"/>
  <c r="P439" i="3" s="1"/>
  <c r="O24" i="3"/>
  <c r="P24" i="3" s="1"/>
  <c r="O286" i="3"/>
  <c r="P286" i="3" s="1"/>
  <c r="O36" i="3"/>
  <c r="P36" i="3" s="1"/>
  <c r="O211" i="3"/>
  <c r="P211" i="3" s="1"/>
  <c r="O43" i="3"/>
  <c r="P43" i="3" s="1"/>
  <c r="O171" i="3"/>
  <c r="P171" i="3" s="1"/>
  <c r="O98" i="3"/>
  <c r="P98" i="3" s="1"/>
  <c r="O115" i="3"/>
  <c r="P115" i="3" s="1"/>
  <c r="O455" i="3"/>
  <c r="P455" i="3" s="1"/>
  <c r="O190" i="3"/>
  <c r="P190" i="3" s="1"/>
  <c r="O447" i="3"/>
  <c r="P447" i="3" s="1"/>
  <c r="O83" i="3"/>
  <c r="P83" i="3" s="1"/>
  <c r="O8" i="3"/>
  <c r="P8" i="3" s="1"/>
  <c r="O451" i="3"/>
  <c r="P451" i="3" s="1"/>
  <c r="O226" i="3"/>
  <c r="P226" i="3" s="1"/>
  <c r="O376" i="3"/>
  <c r="P376" i="3" s="1"/>
  <c r="O370" i="3"/>
  <c r="P370" i="3" s="1"/>
  <c r="O180" i="3"/>
  <c r="P180" i="3" s="1"/>
  <c r="O403" i="3"/>
  <c r="P403" i="3" s="1"/>
  <c r="O444" i="3"/>
  <c r="P444" i="3" s="1"/>
  <c r="O153" i="3"/>
  <c r="P153" i="3" s="1"/>
  <c r="O28" i="3"/>
  <c r="P28" i="3" s="1"/>
  <c r="O453" i="3"/>
  <c r="P453" i="3" s="1"/>
  <c r="O264" i="3"/>
  <c r="P264" i="3" s="1"/>
  <c r="O355" i="3"/>
  <c r="P355" i="3" s="1"/>
  <c r="O14" i="3"/>
  <c r="P14" i="3" s="1"/>
  <c r="O393" i="3"/>
  <c r="P393" i="3" s="1"/>
  <c r="O290" i="3"/>
  <c r="P290" i="3" s="1"/>
  <c r="O478" i="3"/>
  <c r="P478" i="3" s="1"/>
  <c r="O187" i="3"/>
  <c r="P187" i="3" s="1"/>
  <c r="O435" i="3"/>
  <c r="P435" i="3" s="1"/>
  <c r="O278" i="3"/>
  <c r="P278" i="3" s="1"/>
  <c r="O216" i="3"/>
  <c r="P216" i="3" s="1"/>
  <c r="O404" i="3"/>
  <c r="P404" i="3" s="1"/>
  <c r="O268" i="3"/>
  <c r="P268" i="3" s="1"/>
  <c r="O204" i="3"/>
  <c r="P204" i="3" s="1"/>
  <c r="O295" i="3"/>
  <c r="P295" i="3" s="1"/>
  <c r="O118" i="3"/>
  <c r="P118" i="3" s="1"/>
  <c r="O242" i="3"/>
  <c r="P242" i="3" s="1"/>
  <c r="O477" i="3"/>
  <c r="P477" i="3" s="1"/>
  <c r="O129" i="3"/>
  <c r="P129" i="3" s="1"/>
  <c r="O401" i="3"/>
  <c r="P401" i="3" s="1"/>
  <c r="O349" i="3"/>
  <c r="P349" i="3" s="1"/>
  <c r="O99" i="3"/>
  <c r="P99" i="3" s="1"/>
  <c r="O60" i="3"/>
  <c r="P60" i="3" s="1"/>
  <c r="O273" i="3"/>
  <c r="P273" i="3" s="1"/>
  <c r="O304" i="3"/>
  <c r="P304" i="3" s="1"/>
  <c r="O481" i="3"/>
  <c r="P481" i="3" s="1"/>
  <c r="O116" i="3"/>
  <c r="P116" i="3" s="1"/>
  <c r="O433" i="3"/>
  <c r="P433" i="3" s="1"/>
  <c r="O255" i="3"/>
  <c r="P255" i="3" s="1"/>
  <c r="O207" i="3"/>
  <c r="P207" i="3" s="1"/>
  <c r="O46" i="3"/>
  <c r="P46" i="3" s="1"/>
  <c r="O339" i="3"/>
  <c r="P339" i="3" s="1"/>
  <c r="O427" i="3"/>
  <c r="P427" i="3" s="1"/>
  <c r="O480" i="3"/>
  <c r="P480" i="3" s="1"/>
  <c r="O258" i="3"/>
  <c r="P258" i="3" s="1"/>
  <c r="O149" i="3"/>
  <c r="P149" i="3" s="1"/>
  <c r="O32" i="3"/>
  <c r="P32" i="3" s="1"/>
  <c r="O274" i="3"/>
  <c r="P274" i="3" s="1"/>
  <c r="O294" i="3"/>
  <c r="P294" i="3" s="1"/>
  <c r="O347" i="3"/>
  <c r="P347" i="3" s="1"/>
  <c r="O56" i="3"/>
  <c r="P56" i="3" s="1"/>
  <c r="O456" i="3"/>
  <c r="P456" i="3" s="1"/>
  <c r="O126" i="3"/>
  <c r="P126" i="3" s="1"/>
  <c r="O167" i="3"/>
  <c r="P167" i="3" s="1"/>
  <c r="O246" i="3"/>
  <c r="P246" i="3" s="1"/>
  <c r="O252" i="3"/>
  <c r="P252" i="3" s="1"/>
  <c r="O343" i="3"/>
  <c r="P343" i="3" s="1"/>
  <c r="O193" i="3"/>
  <c r="P193" i="3" s="1"/>
  <c r="O381" i="3"/>
  <c r="P381" i="3" s="1"/>
  <c r="O78" i="3"/>
  <c r="P78" i="3" s="1"/>
  <c r="O338" i="3"/>
  <c r="P338" i="3" s="1"/>
  <c r="O229" i="3"/>
  <c r="P229" i="3" s="1"/>
  <c r="O119" i="3"/>
  <c r="P119" i="3" s="1"/>
  <c r="O307" i="3"/>
  <c r="P307" i="3" s="1"/>
  <c r="O53" i="3"/>
  <c r="P53" i="3" s="1"/>
  <c r="O442" i="3"/>
  <c r="P442" i="3" s="1"/>
  <c r="O42" i="3"/>
  <c r="P42" i="3" s="1"/>
  <c r="O44" i="3"/>
  <c r="P44" i="3" s="1"/>
  <c r="O145" i="3"/>
  <c r="P145" i="3" s="1"/>
  <c r="O283" i="3"/>
  <c r="P283" i="3" s="1"/>
  <c r="O76" i="3"/>
  <c r="P76" i="3" s="1"/>
  <c r="O114" i="3"/>
  <c r="P114" i="3" s="1"/>
  <c r="O279" i="3"/>
  <c r="P279" i="3" s="1"/>
  <c r="O121" i="3"/>
  <c r="P121" i="3" s="1"/>
  <c r="O218" i="3"/>
  <c r="P218" i="3" s="1"/>
  <c r="O150" i="3"/>
  <c r="P150" i="3" s="1"/>
  <c r="O203" i="3"/>
  <c r="P203" i="3" s="1"/>
  <c r="O391" i="3"/>
  <c r="P391" i="3" s="1"/>
  <c r="O309" i="3"/>
  <c r="P309" i="3" s="1"/>
  <c r="O373" i="3"/>
  <c r="P373" i="3" s="1"/>
  <c r="O23" i="3"/>
  <c r="P23" i="3" s="1"/>
  <c r="O409" i="3"/>
  <c r="P409" i="3" s="1"/>
  <c r="O108" i="3"/>
  <c r="P108" i="3" s="1"/>
  <c r="O55" i="3"/>
  <c r="P55" i="3" s="1"/>
  <c r="O49" i="3"/>
  <c r="P49" i="3" s="1"/>
  <c r="O237" i="3"/>
  <c r="P237" i="3" s="1"/>
  <c r="O185" i="3"/>
  <c r="P185" i="3" s="1"/>
  <c r="O432" i="3"/>
  <c r="P432" i="3" s="1"/>
  <c r="O410" i="3"/>
  <c r="P410" i="3" s="1"/>
  <c r="O454" i="3"/>
  <c r="P454" i="3" s="1"/>
  <c r="O163" i="3"/>
  <c r="P163" i="3" s="1"/>
  <c r="O41" i="3"/>
  <c r="P41" i="3" s="1"/>
  <c r="F11" i="226"/>
  <c r="G11" i="226" s="1"/>
  <c r="C12" i="226"/>
  <c r="B13" i="226"/>
  <c r="A14" i="226"/>
  <c r="B22" i="1"/>
  <c r="C6" i="111"/>
  <c r="B5" i="1"/>
  <c r="J56" i="227" l="1"/>
  <c r="K56" i="227" s="1"/>
  <c r="J80" i="227"/>
  <c r="K80" i="227" s="1"/>
  <c r="J66" i="227"/>
  <c r="K66" i="227" s="1"/>
  <c r="J79" i="227"/>
  <c r="K79" i="227" s="1"/>
  <c r="J68" i="227"/>
  <c r="K68" i="227" s="1"/>
  <c r="J78" i="227"/>
  <c r="K78" i="227" s="1"/>
  <c r="J67" i="227"/>
  <c r="K67" i="227" s="1"/>
  <c r="J44" i="227"/>
  <c r="K44" i="227" s="1"/>
  <c r="J62" i="227"/>
  <c r="K62" i="227" s="1"/>
  <c r="J47" i="227"/>
  <c r="K47" i="227" s="1"/>
  <c r="J55" i="227"/>
  <c r="K55" i="227" s="1"/>
  <c r="J50" i="227"/>
  <c r="K50" i="227" s="1"/>
  <c r="J70" i="227"/>
  <c r="K70" i="227" s="1"/>
  <c r="J54" i="227"/>
  <c r="K54" i="227" s="1"/>
  <c r="J65" i="227"/>
  <c r="K65" i="227" s="1"/>
  <c r="J58" i="227"/>
  <c r="K58" i="227" s="1"/>
  <c r="H43" i="227"/>
  <c r="I43" i="227" s="1"/>
  <c r="J72" i="227"/>
  <c r="K72" i="227" s="1"/>
  <c r="J45" i="227"/>
  <c r="K45" i="227" s="1"/>
  <c r="J59" i="227"/>
  <c r="K59" i="227" s="1"/>
  <c r="J53" i="227"/>
  <c r="K53" i="227" s="1"/>
  <c r="J73" i="227"/>
  <c r="K73" i="227" s="1"/>
  <c r="J46" i="227"/>
  <c r="K46" i="227" s="1"/>
  <c r="J76" i="227"/>
  <c r="K76" i="227" s="1"/>
  <c r="J61" i="227"/>
  <c r="K61" i="227" s="1"/>
  <c r="J43" i="227"/>
  <c r="K43" i="227" s="1"/>
  <c r="J64" i="227"/>
  <c r="K64" i="227" s="1"/>
  <c r="J49" i="227"/>
  <c r="K49" i="227" s="1"/>
  <c r="J69" i="227"/>
  <c r="K69" i="227" s="1"/>
  <c r="H64" i="227"/>
  <c r="J74" i="227"/>
  <c r="K74" i="227" s="1"/>
  <c r="J52" i="227"/>
  <c r="K52" i="227" s="1"/>
  <c r="J57" i="227"/>
  <c r="K57" i="227" s="1"/>
  <c r="J77" i="227"/>
  <c r="K77" i="227" s="1"/>
  <c r="J60" i="227"/>
  <c r="K60" i="227" s="1"/>
  <c r="J51" i="227"/>
  <c r="K51" i="227" s="1"/>
  <c r="J48" i="227"/>
  <c r="K48" i="227" s="1"/>
  <c r="F3" i="111"/>
  <c r="J63" i="227"/>
  <c r="K63" i="227" s="1"/>
  <c r="J75" i="227"/>
  <c r="K75" i="227" s="1"/>
  <c r="J71" i="227"/>
  <c r="K71" i="227" s="1"/>
  <c r="J3" i="227"/>
  <c r="K3" i="227" s="1"/>
  <c r="J2" i="227"/>
  <c r="K2" i="227" s="1"/>
  <c r="L3" i="227"/>
  <c r="M3" i="227" s="1"/>
  <c r="L2" i="227"/>
  <c r="M2" i="227" s="1"/>
  <c r="L43" i="227"/>
  <c r="M43" i="227" s="1"/>
  <c r="L64" i="227"/>
  <c r="M64" i="227" s="1"/>
  <c r="L23" i="227"/>
  <c r="M23" i="227" s="1"/>
  <c r="H44" i="227"/>
  <c r="I44" i="227" s="1"/>
  <c r="H3" i="227"/>
  <c r="I3" i="227" s="1"/>
  <c r="H2" i="227"/>
  <c r="I2" i="227" s="1"/>
  <c r="H23" i="227"/>
  <c r="L4" i="227"/>
  <c r="M4" i="227" s="1"/>
  <c r="H4" i="227"/>
  <c r="I4" i="227" s="1"/>
  <c r="L44" i="227"/>
  <c r="M44" i="227" s="1"/>
  <c r="J23" i="227"/>
  <c r="K23" i="227" s="1"/>
  <c r="H45" i="227"/>
  <c r="I45" i="227" s="1"/>
  <c r="J4" i="227"/>
  <c r="K4" i="227" s="1"/>
  <c r="L45" i="227"/>
  <c r="M45" i="227" s="1"/>
  <c r="L5" i="227"/>
  <c r="M5" i="227" s="1"/>
  <c r="H5" i="227"/>
  <c r="I5" i="227" s="1"/>
  <c r="H46" i="227"/>
  <c r="I46" i="227" s="1"/>
  <c r="J5" i="227"/>
  <c r="K5" i="227" s="1"/>
  <c r="L6" i="227"/>
  <c r="M6" i="227" s="1"/>
  <c r="H6" i="227"/>
  <c r="I6" i="227" s="1"/>
  <c r="H48" i="227"/>
  <c r="I48" i="227" s="1"/>
  <c r="H47" i="227"/>
  <c r="I47" i="227" s="1"/>
  <c r="L46" i="227"/>
  <c r="M46" i="227" s="1"/>
  <c r="L47" i="227"/>
  <c r="M47" i="227" s="1"/>
  <c r="L7" i="227"/>
  <c r="M7" i="227" s="1"/>
  <c r="L48" i="227"/>
  <c r="M48" i="227" s="1"/>
  <c r="H49" i="227"/>
  <c r="I49" i="227" s="1"/>
  <c r="J6" i="227"/>
  <c r="K6" i="227" s="1"/>
  <c r="H7" i="227"/>
  <c r="I7" i="227" s="1"/>
  <c r="J7" i="227"/>
  <c r="K7" i="227" s="1"/>
  <c r="L8" i="227"/>
  <c r="M8" i="227" s="1"/>
  <c r="H50" i="227"/>
  <c r="I50" i="227" s="1"/>
  <c r="L49" i="227"/>
  <c r="M49" i="227" s="1"/>
  <c r="H8" i="227"/>
  <c r="I8" i="227" s="1"/>
  <c r="L9" i="227"/>
  <c r="M9" i="227" s="1"/>
  <c r="H9" i="227"/>
  <c r="I9" i="227" s="1"/>
  <c r="J8" i="227"/>
  <c r="K8" i="227" s="1"/>
  <c r="L50" i="227"/>
  <c r="M50" i="227" s="1"/>
  <c r="H51" i="227"/>
  <c r="I51" i="227" s="1"/>
  <c r="J9" i="227"/>
  <c r="K9" i="227" s="1"/>
  <c r="H10" i="227"/>
  <c r="I10" i="227" s="1"/>
  <c r="H52" i="227"/>
  <c r="I52" i="227" s="1"/>
  <c r="L51" i="227"/>
  <c r="M51" i="227" s="1"/>
  <c r="L10" i="227"/>
  <c r="M10" i="227" s="1"/>
  <c r="J10" i="227"/>
  <c r="K10" i="227" s="1"/>
  <c r="L11" i="227"/>
  <c r="M11" i="227" s="1"/>
  <c r="H53" i="227"/>
  <c r="I53" i="227" s="1"/>
  <c r="L52" i="227"/>
  <c r="M52" i="227" s="1"/>
  <c r="H11" i="227"/>
  <c r="I11" i="227" s="1"/>
  <c r="J11" i="227"/>
  <c r="K11" i="227" s="1"/>
  <c r="L12" i="227"/>
  <c r="M12" i="227" s="1"/>
  <c r="L53" i="227"/>
  <c r="M53" i="227" s="1"/>
  <c r="H54" i="227"/>
  <c r="I54" i="227" s="1"/>
  <c r="H12" i="227"/>
  <c r="I12" i="227" s="1"/>
  <c r="J12" i="227"/>
  <c r="K12" i="227" s="1"/>
  <c r="L13" i="227"/>
  <c r="M13" i="227" s="1"/>
  <c r="L54" i="227"/>
  <c r="M54" i="227" s="1"/>
  <c r="H13" i="227"/>
  <c r="I13" i="227" s="1"/>
  <c r="H55" i="227"/>
  <c r="I55" i="227" s="1"/>
  <c r="J13" i="227"/>
  <c r="K13" i="227" s="1"/>
  <c r="L55" i="227"/>
  <c r="M55" i="227" s="1"/>
  <c r="H56" i="227"/>
  <c r="I56" i="227" s="1"/>
  <c r="L14" i="227"/>
  <c r="M14" i="227" s="1"/>
  <c r="H14" i="227"/>
  <c r="I14" i="227" s="1"/>
  <c r="J14" i="227"/>
  <c r="K14" i="227" s="1"/>
  <c r="L15" i="227"/>
  <c r="M15" i="227" s="1"/>
  <c r="H15" i="227"/>
  <c r="I15" i="227" s="1"/>
  <c r="H57" i="227"/>
  <c r="I57" i="227" s="1"/>
  <c r="L56" i="227"/>
  <c r="M56" i="227" s="1"/>
  <c r="L57" i="227"/>
  <c r="M57" i="227" s="1"/>
  <c r="H16" i="227"/>
  <c r="I16" i="227" s="1"/>
  <c r="J15" i="227"/>
  <c r="K15" i="227" s="1"/>
  <c r="L16" i="227"/>
  <c r="M16" i="227" s="1"/>
  <c r="H58" i="227"/>
  <c r="I58" i="227" s="1"/>
  <c r="J16" i="227"/>
  <c r="K16" i="227" s="1"/>
  <c r="L17" i="227"/>
  <c r="M17" i="227" s="1"/>
  <c r="H17" i="227"/>
  <c r="I17" i="227" s="1"/>
  <c r="L58" i="227"/>
  <c r="M58" i="227" s="1"/>
  <c r="H59" i="227"/>
  <c r="I59" i="227" s="1"/>
  <c r="H18" i="227"/>
  <c r="I18" i="227" s="1"/>
  <c r="J18" i="227"/>
  <c r="K18" i="227" s="1"/>
  <c r="J17" i="227"/>
  <c r="K17" i="227" s="1"/>
  <c r="L18" i="227"/>
  <c r="M18" i="227" s="1"/>
  <c r="H60" i="227"/>
  <c r="I60" i="227" s="1"/>
  <c r="L59" i="227"/>
  <c r="M59" i="227" s="1"/>
  <c r="L19" i="227"/>
  <c r="M19" i="227" s="1"/>
  <c r="L60" i="227"/>
  <c r="M60" i="227" s="1"/>
  <c r="H19" i="227"/>
  <c r="I19" i="227" s="1"/>
  <c r="H61" i="227"/>
  <c r="I61" i="227" s="1"/>
  <c r="L61" i="227"/>
  <c r="M61" i="227" s="1"/>
  <c r="J19" i="227"/>
  <c r="K19" i="227" s="1"/>
  <c r="H20" i="227"/>
  <c r="I20" i="227" s="1"/>
  <c r="L20" i="227"/>
  <c r="M20" i="227" s="1"/>
  <c r="H62" i="227"/>
  <c r="I62" i="227" s="1"/>
  <c r="L21" i="227"/>
  <c r="M21" i="227" s="1"/>
  <c r="J20" i="227"/>
  <c r="K20" i="227" s="1"/>
  <c r="L62" i="227"/>
  <c r="M62" i="227" s="1"/>
  <c r="H21" i="227"/>
  <c r="I21" i="227" s="1"/>
  <c r="H63" i="227"/>
  <c r="I63" i="227" s="1"/>
  <c r="L63" i="227"/>
  <c r="M63" i="227" s="1"/>
  <c r="H65" i="227"/>
  <c r="I65" i="227" s="1"/>
  <c r="J21" i="227"/>
  <c r="K21" i="227" s="1"/>
  <c r="H22" i="227"/>
  <c r="I22" i="227" s="1"/>
  <c r="L22" i="227"/>
  <c r="M22" i="227" s="1"/>
  <c r="J24" i="227"/>
  <c r="K24" i="227" s="1"/>
  <c r="L65" i="227"/>
  <c r="M65" i="227" s="1"/>
  <c r="L24" i="227"/>
  <c r="M24" i="227" s="1"/>
  <c r="H66" i="227"/>
  <c r="I66" i="227" s="1"/>
  <c r="J22" i="227"/>
  <c r="K22" i="227" s="1"/>
  <c r="H24" i="227"/>
  <c r="I24" i="227" s="1"/>
  <c r="L25" i="227"/>
  <c r="M25" i="227" s="1"/>
  <c r="L66" i="227"/>
  <c r="M66" i="227" s="1"/>
  <c r="H25" i="227"/>
  <c r="I25" i="227" s="1"/>
  <c r="H67" i="227"/>
  <c r="I67" i="227" s="1"/>
  <c r="J25" i="227"/>
  <c r="K25" i="227" s="1"/>
  <c r="H26" i="227"/>
  <c r="I26" i="227" s="1"/>
  <c r="L26" i="227"/>
  <c r="M26" i="227" s="1"/>
  <c r="H68" i="227"/>
  <c r="I68" i="227" s="1"/>
  <c r="L67" i="227"/>
  <c r="M67" i="227" s="1"/>
  <c r="H27" i="227"/>
  <c r="I27" i="227" s="1"/>
  <c r="L27" i="227"/>
  <c r="M27" i="227" s="1"/>
  <c r="H69" i="227"/>
  <c r="I69" i="227" s="1"/>
  <c r="J26" i="227"/>
  <c r="K26" i="227" s="1"/>
  <c r="L68" i="227"/>
  <c r="M68" i="227" s="1"/>
  <c r="L28" i="227"/>
  <c r="M28" i="227" s="1"/>
  <c r="L69" i="227"/>
  <c r="M69" i="227" s="1"/>
  <c r="J27" i="227"/>
  <c r="K27" i="227" s="1"/>
  <c r="H28" i="227"/>
  <c r="I28" i="227" s="1"/>
  <c r="H70" i="227"/>
  <c r="I70" i="227" s="1"/>
  <c r="H71" i="227"/>
  <c r="I71" i="227" s="1"/>
  <c r="J28" i="227"/>
  <c r="K28" i="227" s="1"/>
  <c r="J29" i="227"/>
  <c r="K29" i="227" s="1"/>
  <c r="L29" i="227"/>
  <c r="M29" i="227" s="1"/>
  <c r="H29" i="227"/>
  <c r="I29" i="227" s="1"/>
  <c r="L70" i="227"/>
  <c r="M70" i="227" s="1"/>
  <c r="L30" i="227"/>
  <c r="M30" i="227" s="1"/>
  <c r="H30" i="227"/>
  <c r="I30" i="227" s="1"/>
  <c r="H72" i="227"/>
  <c r="I72" i="227" s="1"/>
  <c r="L71" i="227"/>
  <c r="M71" i="227" s="1"/>
  <c r="J30" i="227"/>
  <c r="K30" i="227" s="1"/>
  <c r="H31" i="227"/>
  <c r="I31" i="227" s="1"/>
  <c r="H73" i="227"/>
  <c r="I73" i="227" s="1"/>
  <c r="L31" i="227"/>
  <c r="M31" i="227" s="1"/>
  <c r="L72" i="227"/>
  <c r="M72" i="227" s="1"/>
  <c r="J31" i="227"/>
  <c r="K31" i="227" s="1"/>
  <c r="L32" i="227"/>
  <c r="M32" i="227" s="1"/>
  <c r="H32" i="227"/>
  <c r="I32" i="227" s="1"/>
  <c r="H74" i="227"/>
  <c r="I74" i="227" s="1"/>
  <c r="L73" i="227"/>
  <c r="M73" i="227" s="1"/>
  <c r="L33" i="227"/>
  <c r="M33" i="227" s="1"/>
  <c r="L74" i="227"/>
  <c r="M74" i="227" s="1"/>
  <c r="J32" i="227"/>
  <c r="K32" i="227" s="1"/>
  <c r="H33" i="227"/>
  <c r="I33" i="227" s="1"/>
  <c r="H75" i="227"/>
  <c r="I75" i="227" s="1"/>
  <c r="J33" i="227"/>
  <c r="K33" i="227" s="1"/>
  <c r="L34" i="227"/>
  <c r="M34" i="227" s="1"/>
  <c r="L75" i="227"/>
  <c r="M75" i="227" s="1"/>
  <c r="H76" i="227"/>
  <c r="I76" i="227" s="1"/>
  <c r="H34" i="227"/>
  <c r="I34" i="227" s="1"/>
  <c r="L76" i="227"/>
  <c r="M76" i="227" s="1"/>
  <c r="J34" i="227"/>
  <c r="K34" i="227" s="1"/>
  <c r="L35" i="227"/>
  <c r="M35" i="227" s="1"/>
  <c r="H77" i="227"/>
  <c r="I77" i="227" s="1"/>
  <c r="H35" i="227"/>
  <c r="I35" i="227" s="1"/>
  <c r="H78" i="227"/>
  <c r="I78" i="227" s="1"/>
  <c r="L77" i="227"/>
  <c r="M77" i="227" s="1"/>
  <c r="L36" i="227"/>
  <c r="M36" i="227" s="1"/>
  <c r="J35" i="227"/>
  <c r="K35" i="227" s="1"/>
  <c r="H36" i="227"/>
  <c r="I36" i="227" s="1"/>
  <c r="L78" i="227"/>
  <c r="M78" i="227" s="1"/>
  <c r="J36" i="227"/>
  <c r="K36" i="227" s="1"/>
  <c r="L37" i="227"/>
  <c r="M37" i="227" s="1"/>
  <c r="H79" i="227"/>
  <c r="I79" i="227" s="1"/>
  <c r="J37" i="227"/>
  <c r="K37" i="227" s="1"/>
  <c r="H37" i="227"/>
  <c r="I37" i="227" s="1"/>
  <c r="L38" i="227"/>
  <c r="M38" i="227" s="1"/>
  <c r="H38" i="227"/>
  <c r="I38" i="227" s="1"/>
  <c r="H80" i="227"/>
  <c r="I80" i="227" s="1"/>
  <c r="L79" i="227"/>
  <c r="M79" i="227" s="1"/>
  <c r="J39" i="227"/>
  <c r="K39" i="227" s="1"/>
  <c r="L80" i="227"/>
  <c r="M80" i="227" s="1"/>
  <c r="L39" i="227"/>
  <c r="M39" i="227" s="1"/>
  <c r="H39" i="227"/>
  <c r="I39" i="227" s="1"/>
  <c r="J38" i="227"/>
  <c r="K38" i="227" s="1"/>
  <c r="P483" i="3"/>
  <c r="C29" i="1"/>
  <c r="F12" i="226"/>
  <c r="G12" i="226" s="1"/>
  <c r="C13" i="226"/>
  <c r="B14" i="226"/>
  <c r="A15" i="226"/>
  <c r="F4" i="111"/>
  <c r="C7" i="111"/>
  <c r="I64" i="227" l="1"/>
  <c r="N70" i="227"/>
  <c r="O70" i="227" s="1"/>
  <c r="N73" i="227"/>
  <c r="O73" i="227" s="1"/>
  <c r="N54" i="227"/>
  <c r="O54" i="227" s="1"/>
  <c r="N56" i="227"/>
  <c r="O56" i="227" s="1"/>
  <c r="N47" i="227"/>
  <c r="O47" i="227" s="1"/>
  <c r="N78" i="227"/>
  <c r="O78" i="227" s="1"/>
  <c r="N62" i="227"/>
  <c r="O62" i="227" s="1"/>
  <c r="N69" i="227"/>
  <c r="O69" i="227" s="1"/>
  <c r="N72" i="227"/>
  <c r="O72" i="227" s="1"/>
  <c r="N61" i="227"/>
  <c r="O61" i="227" s="1"/>
  <c r="N44" i="227"/>
  <c r="O44" i="227" s="1"/>
  <c r="N67" i="227"/>
  <c r="O67" i="227" s="1"/>
  <c r="N76" i="227"/>
  <c r="O76" i="227" s="1"/>
  <c r="N66" i="227"/>
  <c r="O66" i="227" s="1"/>
  <c r="N50" i="227"/>
  <c r="O50" i="227" s="1"/>
  <c r="N59" i="227"/>
  <c r="O59" i="227" s="1"/>
  <c r="N80" i="227"/>
  <c r="O80" i="227" s="1"/>
  <c r="N71" i="227"/>
  <c r="O71" i="227" s="1"/>
  <c r="N74" i="227"/>
  <c r="O74" i="227" s="1"/>
  <c r="N51" i="227"/>
  <c r="O51" i="227" s="1"/>
  <c r="N79" i="227"/>
  <c r="O79" i="227" s="1"/>
  <c r="N45" i="227"/>
  <c r="O45" i="227" s="1"/>
  <c r="N60" i="227"/>
  <c r="O60" i="227" s="1"/>
  <c r="N68" i="227"/>
  <c r="O68" i="227" s="1"/>
  <c r="N65" i="227"/>
  <c r="O65" i="227" s="1"/>
  <c r="N57" i="227"/>
  <c r="O57" i="227" s="1"/>
  <c r="N48" i="227"/>
  <c r="O48" i="227" s="1"/>
  <c r="N53" i="227"/>
  <c r="O53" i="227" s="1"/>
  <c r="N63" i="227"/>
  <c r="O63" i="227" s="1"/>
  <c r="N43" i="227"/>
  <c r="O43" i="227" s="1"/>
  <c r="N52" i="227"/>
  <c r="O52" i="227" s="1"/>
  <c r="N64" i="227"/>
  <c r="O64" i="227" s="1"/>
  <c r="N58" i="227"/>
  <c r="O58" i="227" s="1"/>
  <c r="N75" i="227"/>
  <c r="O75" i="227" s="1"/>
  <c r="N55" i="227"/>
  <c r="O55" i="227" s="1"/>
  <c r="N46" i="227"/>
  <c r="O46" i="227" s="1"/>
  <c r="N49" i="227"/>
  <c r="O49" i="227" s="1"/>
  <c r="N77" i="227"/>
  <c r="O77" i="227" s="1"/>
  <c r="I23" i="227"/>
  <c r="N3" i="227"/>
  <c r="O3" i="227" s="1"/>
  <c r="N2" i="227"/>
  <c r="O2" i="227" s="1"/>
  <c r="N23" i="227"/>
  <c r="O23" i="227" s="1"/>
  <c r="N4" i="227"/>
  <c r="O4" i="227" s="1"/>
  <c r="N5" i="227"/>
  <c r="O5" i="227" s="1"/>
  <c r="N6" i="227"/>
  <c r="O6" i="227" s="1"/>
  <c r="N7" i="227"/>
  <c r="O7" i="227" s="1"/>
  <c r="N8" i="227"/>
  <c r="O8" i="227" s="1"/>
  <c r="N9" i="227"/>
  <c r="O9" i="227" s="1"/>
  <c r="N10" i="227"/>
  <c r="O10" i="227" s="1"/>
  <c r="N11" i="227"/>
  <c r="O11" i="227" s="1"/>
  <c r="N12" i="227"/>
  <c r="O12" i="227" s="1"/>
  <c r="N13" i="227"/>
  <c r="O13" i="227" s="1"/>
  <c r="N14" i="227"/>
  <c r="O14" i="227" s="1"/>
  <c r="N15" i="227"/>
  <c r="O15" i="227" s="1"/>
  <c r="N16" i="227"/>
  <c r="O16" i="227" s="1"/>
  <c r="N17" i="227"/>
  <c r="O17" i="227" s="1"/>
  <c r="N18" i="227"/>
  <c r="O18" i="227" s="1"/>
  <c r="N19" i="227"/>
  <c r="O19" i="227" s="1"/>
  <c r="N20" i="227"/>
  <c r="O20" i="227" s="1"/>
  <c r="N21" i="227"/>
  <c r="O21" i="227" s="1"/>
  <c r="N22" i="227"/>
  <c r="O22" i="227" s="1"/>
  <c r="N24" i="227"/>
  <c r="O24" i="227" s="1"/>
  <c r="N25" i="227"/>
  <c r="O25" i="227" s="1"/>
  <c r="N26" i="227"/>
  <c r="O26" i="227" s="1"/>
  <c r="N27" i="227"/>
  <c r="O27" i="227" s="1"/>
  <c r="N28" i="227"/>
  <c r="O28" i="227" s="1"/>
  <c r="N29" i="227"/>
  <c r="O29" i="227" s="1"/>
  <c r="N30" i="227"/>
  <c r="O30" i="227" s="1"/>
  <c r="N31" i="227"/>
  <c r="O31" i="227" s="1"/>
  <c r="N32" i="227"/>
  <c r="O32" i="227" s="1"/>
  <c r="N33" i="227"/>
  <c r="O33" i="227" s="1"/>
  <c r="N34" i="227"/>
  <c r="O34" i="227" s="1"/>
  <c r="N35" i="227"/>
  <c r="O35" i="227" s="1"/>
  <c r="N36" i="227"/>
  <c r="O36" i="227" s="1"/>
  <c r="N37" i="227"/>
  <c r="O37" i="227" s="1"/>
  <c r="N38" i="227"/>
  <c r="O38" i="227" s="1"/>
  <c r="N39" i="227"/>
  <c r="O39" i="227" s="1"/>
  <c r="F13" i="226"/>
  <c r="G13" i="226" s="1"/>
  <c r="C14" i="226"/>
  <c r="B15" i="226"/>
  <c r="C15" i="226" s="1"/>
  <c r="A16" i="226"/>
  <c r="F15" i="226" l="1"/>
  <c r="F14" i="226"/>
  <c r="G14" i="226" s="1"/>
  <c r="B16" i="226"/>
  <c r="A17" i="226"/>
  <c r="G15" i="226" l="1"/>
  <c r="C16" i="226"/>
  <c r="B17" i="226"/>
  <c r="A18" i="226"/>
  <c r="G2" i="224"/>
  <c r="G3" i="224"/>
  <c r="G4" i="224"/>
  <c r="G5" i="224"/>
  <c r="G6" i="224"/>
  <c r="G7" i="224"/>
  <c r="G8" i="224"/>
  <c r="G9" i="224"/>
  <c r="G10" i="224"/>
  <c r="G11" i="224"/>
  <c r="G12" i="224"/>
  <c r="G13" i="224"/>
  <c r="G14" i="224"/>
  <c r="G15" i="224"/>
  <c r="G16" i="224"/>
  <c r="G17" i="224"/>
  <c r="G18" i="224"/>
  <c r="G19" i="224"/>
  <c r="G20" i="224"/>
  <c r="G21" i="224"/>
  <c r="G22" i="224"/>
  <c r="G23" i="224"/>
  <c r="G24" i="224"/>
  <c r="G25" i="224"/>
  <c r="G26" i="224"/>
  <c r="G27" i="224"/>
  <c r="G28" i="224"/>
  <c r="G29" i="224"/>
  <c r="G30" i="224"/>
  <c r="G31" i="224"/>
  <c r="G32" i="224"/>
  <c r="G33" i="224"/>
  <c r="G34" i="224"/>
  <c r="G35" i="224"/>
  <c r="G36" i="224"/>
  <c r="G37" i="224"/>
  <c r="G38" i="224"/>
  <c r="G39" i="224"/>
  <c r="G40" i="224"/>
  <c r="G41" i="224"/>
  <c r="G42" i="224"/>
  <c r="G43" i="224"/>
  <c r="G44" i="224"/>
  <c r="G45" i="224"/>
  <c r="G1" i="224"/>
  <c r="F16" i="226" l="1"/>
  <c r="G16" i="226" s="1"/>
  <c r="C17" i="226"/>
  <c r="B18" i="226"/>
  <c r="A19" i="226"/>
  <c r="F17" i="226" l="1"/>
  <c r="G17" i="226" s="1"/>
  <c r="C18" i="226"/>
  <c r="B19" i="226"/>
  <c r="A20" i="226"/>
  <c r="B7" i="1"/>
  <c r="F18" i="226" l="1"/>
  <c r="G18" i="226" s="1"/>
  <c r="C19" i="226"/>
  <c r="B20" i="226"/>
  <c r="C20" i="226" s="1"/>
  <c r="A21" i="226"/>
  <c r="B8" i="1"/>
  <c r="B9" i="1" s="1"/>
  <c r="R2" i="227" l="1"/>
  <c r="R44" i="227"/>
  <c r="R3" i="227"/>
  <c r="R43" i="227"/>
  <c r="B43" i="227"/>
  <c r="B2" i="227"/>
  <c r="B64" i="227"/>
  <c r="B23" i="227"/>
  <c r="B3" i="227"/>
  <c r="B44" i="227"/>
  <c r="B4" i="227"/>
  <c r="B5" i="227"/>
  <c r="B45" i="227"/>
  <c r="B46" i="227"/>
  <c r="B6" i="227"/>
  <c r="B7" i="227"/>
  <c r="B48" i="227"/>
  <c r="B47" i="227"/>
  <c r="B8" i="227"/>
  <c r="B49" i="227"/>
  <c r="B50" i="227"/>
  <c r="B9" i="227"/>
  <c r="B51" i="227"/>
  <c r="B10" i="227"/>
  <c r="B52" i="227"/>
  <c r="B11" i="227"/>
  <c r="B53" i="227"/>
  <c r="B12" i="227"/>
  <c r="B54" i="227"/>
  <c r="B13" i="227"/>
  <c r="B55" i="227"/>
  <c r="B14" i="227"/>
  <c r="B56" i="227"/>
  <c r="B15" i="227"/>
  <c r="B57" i="227"/>
  <c r="B16" i="227"/>
  <c r="B58" i="227"/>
  <c r="B17" i="227"/>
  <c r="B59" i="227"/>
  <c r="B18" i="227"/>
  <c r="B60" i="227"/>
  <c r="B19" i="227"/>
  <c r="B61" i="227"/>
  <c r="B20" i="227"/>
  <c r="B21" i="227"/>
  <c r="B62" i="227"/>
  <c r="B63" i="227"/>
  <c r="B22" i="227"/>
  <c r="B24" i="227"/>
  <c r="B65" i="227"/>
  <c r="B25" i="227"/>
  <c r="B66" i="227"/>
  <c r="B26" i="227"/>
  <c r="B67" i="227"/>
  <c r="B27" i="227"/>
  <c r="B68" i="227"/>
  <c r="B28" i="227"/>
  <c r="B69" i="227"/>
  <c r="B70" i="227"/>
  <c r="B29" i="227"/>
  <c r="B30" i="227"/>
  <c r="B71" i="227"/>
  <c r="B72" i="227"/>
  <c r="B31" i="227"/>
  <c r="B73" i="227"/>
  <c r="B32" i="227"/>
  <c r="B74" i="227"/>
  <c r="B33" i="227"/>
  <c r="B75" i="227"/>
  <c r="B34" i="227"/>
  <c r="B76" i="227"/>
  <c r="B35" i="227"/>
  <c r="B77" i="227"/>
  <c r="B36" i="227"/>
  <c r="B37" i="227"/>
  <c r="B78" i="227"/>
  <c r="B79" i="227"/>
  <c r="B38" i="227"/>
  <c r="B39" i="227"/>
  <c r="B80" i="227"/>
  <c r="F20" i="226"/>
  <c r="F19" i="226"/>
  <c r="G19" i="226" s="1"/>
  <c r="B21" i="226"/>
  <c r="A22" i="226"/>
  <c r="C8" i="111"/>
  <c r="C25" i="1"/>
  <c r="C28" i="1"/>
  <c r="G20" i="226" l="1"/>
  <c r="C21" i="226"/>
  <c r="B22" i="226"/>
  <c r="F21" i="226"/>
  <c r="G21" i="226" s="1"/>
  <c r="A23" i="226"/>
  <c r="C22" i="226" l="1"/>
  <c r="B23" i="226"/>
  <c r="A24" i="226"/>
  <c r="F22" i="226" l="1"/>
  <c r="G22" i="226" s="1"/>
  <c r="C23" i="226"/>
  <c r="B24" i="226"/>
  <c r="A25" i="226"/>
  <c r="F23" i="226" l="1"/>
  <c r="G23" i="226" s="1"/>
  <c r="C24" i="226"/>
  <c r="B25" i="226"/>
  <c r="A26" i="226"/>
  <c r="F24" i="226" l="1"/>
  <c r="G24" i="226" s="1"/>
  <c r="C25" i="226"/>
  <c r="B26" i="226"/>
  <c r="A27" i="226"/>
  <c r="F25" i="226" l="1"/>
  <c r="G25" i="226" s="1"/>
  <c r="C26" i="226"/>
  <c r="B27" i="226"/>
  <c r="A28" i="226"/>
  <c r="F26" i="226" l="1"/>
  <c r="G26" i="226" s="1"/>
  <c r="C27" i="226"/>
  <c r="B28" i="226"/>
  <c r="A29" i="226"/>
  <c r="F27" i="226" l="1"/>
  <c r="G27" i="226" s="1"/>
  <c r="C28" i="226"/>
  <c r="B29" i="226"/>
  <c r="C29" i="226" s="1"/>
  <c r="A30" i="226"/>
  <c r="F29" i="226" l="1"/>
  <c r="F28" i="226"/>
  <c r="G28" i="226" s="1"/>
  <c r="B30" i="226"/>
  <c r="A31" i="226"/>
  <c r="G29" i="226" l="1"/>
  <c r="C30" i="226"/>
  <c r="B31" i="226"/>
  <c r="F30" i="226"/>
  <c r="G30" i="226" s="1"/>
  <c r="A32" i="226"/>
  <c r="C31" i="226" l="1"/>
  <c r="B32" i="226"/>
  <c r="C32" i="226" s="1"/>
  <c r="A33" i="226"/>
  <c r="F31" i="226" l="1"/>
  <c r="G31" i="226" s="1"/>
  <c r="B33" i="226"/>
  <c r="C33" i="226" s="1"/>
  <c r="F32" i="226"/>
  <c r="A34" i="226"/>
  <c r="G32" i="226" l="1"/>
  <c r="F33" i="226"/>
  <c r="G33" i="226" s="1"/>
  <c r="B34" i="226"/>
  <c r="C34" i="226" s="1"/>
  <c r="A35" i="226"/>
  <c r="B35" i="226" l="1"/>
  <c r="F34" i="226"/>
  <c r="G34" i="226" s="1"/>
  <c r="A36" i="226"/>
  <c r="C35" i="226" l="1"/>
  <c r="B36" i="226"/>
  <c r="A37" i="226"/>
  <c r="F35" i="226" l="1"/>
  <c r="G35" i="226" s="1"/>
  <c r="C36" i="226"/>
  <c r="B37" i="226"/>
  <c r="A38" i="226"/>
  <c r="F36" i="226" l="1"/>
  <c r="G36" i="226" s="1"/>
  <c r="C37" i="226"/>
  <c r="B38" i="226"/>
  <c r="A39" i="226"/>
  <c r="F37" i="226" l="1"/>
  <c r="G37" i="226" s="1"/>
  <c r="C38" i="226"/>
  <c r="B39" i="226"/>
  <c r="C39" i="226" s="1"/>
  <c r="A40" i="226"/>
  <c r="F38" i="226" l="1"/>
  <c r="G38" i="226" s="1"/>
  <c r="B40" i="226"/>
  <c r="F39" i="226"/>
  <c r="A41" i="226"/>
  <c r="G39" i="226" l="1"/>
  <c r="C40" i="226"/>
  <c r="F40" i="226"/>
  <c r="G40" i="226" s="1"/>
  <c r="B41" i="226"/>
  <c r="C41" i="226" s="1"/>
  <c r="A42" i="226"/>
  <c r="B42" i="226" l="1"/>
  <c r="C42" i="226" s="1"/>
  <c r="F41" i="226"/>
  <c r="G41" i="226" s="1"/>
  <c r="A43" i="226"/>
  <c r="B43" i="226" l="1"/>
  <c r="C43" i="226" s="1"/>
  <c r="F42" i="226"/>
  <c r="G42" i="226" s="1"/>
  <c r="A44" i="226"/>
  <c r="B44" i="226" l="1"/>
  <c r="C44" i="226" s="1"/>
  <c r="F43" i="226"/>
  <c r="G43" i="226" s="1"/>
  <c r="A45" i="226"/>
  <c r="F44" i="226" l="1"/>
  <c r="G44" i="226" s="1"/>
  <c r="B45" i="226"/>
  <c r="C45" i="226" s="1"/>
  <c r="A46" i="226"/>
  <c r="B46" i="226" l="1"/>
  <c r="C46" i="226" s="1"/>
  <c r="F45" i="226"/>
  <c r="G45" i="226" s="1"/>
  <c r="A47" i="226"/>
  <c r="B47" i="226" l="1"/>
  <c r="C47" i="226" s="1"/>
  <c r="F46" i="226"/>
  <c r="G46" i="226" s="1"/>
  <c r="A48" i="226"/>
  <c r="F47" i="226" l="1"/>
  <c r="G47" i="226" s="1"/>
  <c r="B48" i="226"/>
  <c r="C48" i="226" s="1"/>
  <c r="A49" i="226"/>
  <c r="B49" i="226" l="1"/>
  <c r="F48" i="226"/>
  <c r="G48" i="226" s="1"/>
  <c r="A50" i="226"/>
  <c r="C49" i="226" l="1"/>
  <c r="B50" i="226"/>
  <c r="A51" i="226"/>
  <c r="F49" i="226" l="1"/>
  <c r="G49" i="226" s="1"/>
  <c r="C50" i="226"/>
  <c r="B51" i="226"/>
  <c r="A52" i="226"/>
  <c r="F50" i="226" l="1"/>
  <c r="G50" i="226" s="1"/>
  <c r="C51" i="226"/>
  <c r="B52" i="226"/>
  <c r="A53" i="226"/>
  <c r="F51" i="226" l="1"/>
  <c r="G51" i="226" s="1"/>
  <c r="C52" i="226"/>
  <c r="B53" i="226"/>
  <c r="A54" i="226"/>
  <c r="F52" i="226" l="1"/>
  <c r="G52" i="226" s="1"/>
  <c r="C53" i="226"/>
  <c r="B54" i="226"/>
  <c r="A55" i="226"/>
  <c r="F53" i="226" l="1"/>
  <c r="G53" i="226" s="1"/>
  <c r="C54" i="226"/>
  <c r="B55" i="226"/>
  <c r="A56" i="226"/>
  <c r="F54" i="226" l="1"/>
  <c r="G54" i="226" s="1"/>
  <c r="C55" i="226"/>
  <c r="B56" i="226"/>
  <c r="A57" i="226"/>
  <c r="F55" i="226" l="1"/>
  <c r="G55" i="226" s="1"/>
  <c r="C56" i="226"/>
  <c r="B57" i="226"/>
  <c r="A58" i="226"/>
  <c r="F56" i="226" l="1"/>
  <c r="G56" i="226" s="1"/>
  <c r="C57" i="226"/>
  <c r="B58" i="226"/>
  <c r="A59" i="226"/>
  <c r="F57" i="226" l="1"/>
  <c r="G57" i="226" s="1"/>
  <c r="C58" i="226"/>
  <c r="B59" i="226"/>
  <c r="A60" i="226"/>
  <c r="F58" i="226" l="1"/>
  <c r="G58" i="226" s="1"/>
  <c r="C59" i="226"/>
  <c r="B60" i="226"/>
  <c r="A61" i="226"/>
  <c r="F59" i="226" l="1"/>
  <c r="G59" i="226" s="1"/>
  <c r="C60" i="226"/>
  <c r="B61" i="226"/>
  <c r="A62" i="226"/>
  <c r="F60" i="226" l="1"/>
  <c r="G60" i="226" s="1"/>
  <c r="C61" i="226"/>
  <c r="B62" i="226"/>
  <c r="A63" i="226"/>
  <c r="F61" i="226" l="1"/>
  <c r="G61" i="226" s="1"/>
  <c r="C62" i="226"/>
  <c r="B63" i="226"/>
  <c r="A64" i="226"/>
  <c r="F62" i="226" l="1"/>
  <c r="G62" i="226" s="1"/>
  <c r="C63" i="226"/>
  <c r="B64" i="226"/>
  <c r="A65" i="226"/>
  <c r="F63" i="226" l="1"/>
  <c r="G63" i="226" s="1"/>
  <c r="C64" i="226"/>
  <c r="B65" i="226"/>
  <c r="A66" i="226"/>
  <c r="F64" i="226" l="1"/>
  <c r="G64" i="226" s="1"/>
  <c r="C65" i="226"/>
  <c r="B66" i="226"/>
  <c r="A67" i="226"/>
  <c r="F65" i="226" l="1"/>
  <c r="G65" i="226" s="1"/>
  <c r="C66" i="226"/>
  <c r="B67" i="226"/>
  <c r="A68" i="226"/>
  <c r="F66" i="226" l="1"/>
  <c r="G66" i="226" s="1"/>
  <c r="C67" i="226"/>
  <c r="B68" i="226"/>
  <c r="A69" i="226"/>
  <c r="F67" i="226" l="1"/>
  <c r="G67" i="226" s="1"/>
  <c r="C68" i="226"/>
  <c r="B69" i="226"/>
  <c r="A70" i="226"/>
  <c r="F68" i="226" l="1"/>
  <c r="G68" i="226" s="1"/>
  <c r="C69" i="226"/>
  <c r="B70" i="226"/>
  <c r="A71" i="226"/>
  <c r="F69" i="226" l="1"/>
  <c r="G69" i="226" s="1"/>
  <c r="C70" i="226"/>
  <c r="B71" i="226"/>
  <c r="A72" i="226"/>
  <c r="K482" i="3"/>
  <c r="F482" i="3"/>
  <c r="F70" i="226" l="1"/>
  <c r="G70" i="226" s="1"/>
  <c r="C71" i="226"/>
  <c r="B72" i="226"/>
  <c r="A73" i="226"/>
  <c r="F71" i="226" l="1"/>
  <c r="G71" i="226" s="1"/>
  <c r="C72" i="226"/>
  <c r="B73" i="226"/>
  <c r="A74" i="226"/>
  <c r="F72" i="226" l="1"/>
  <c r="G72" i="226" s="1"/>
  <c r="C73" i="226"/>
  <c r="B74" i="226"/>
  <c r="A75" i="226"/>
  <c r="F73" i="226" l="1"/>
  <c r="G73" i="226" s="1"/>
  <c r="C74" i="226"/>
  <c r="B75" i="226"/>
  <c r="A76" i="226"/>
  <c r="F74" i="226" l="1"/>
  <c r="G74" i="226" s="1"/>
  <c r="C75" i="226"/>
  <c r="B76" i="226"/>
  <c r="A77" i="226"/>
  <c r="F75" i="226" l="1"/>
  <c r="G75" i="226" s="1"/>
  <c r="C76" i="226"/>
  <c r="B77" i="226"/>
  <c r="A78" i="226"/>
  <c r="F76" i="226" l="1"/>
  <c r="G76" i="226" s="1"/>
  <c r="C77" i="226"/>
  <c r="B78" i="226"/>
  <c r="A79" i="226"/>
  <c r="B121" i="220"/>
  <c r="B122" i="220"/>
  <c r="B123" i="220"/>
  <c r="B124" i="220"/>
  <c r="B125" i="220"/>
  <c r="B126" i="220"/>
  <c r="B127" i="220"/>
  <c r="B128" i="220"/>
  <c r="B129" i="220"/>
  <c r="B130" i="220"/>
  <c r="B131" i="220"/>
  <c r="B132" i="220"/>
  <c r="B133" i="220"/>
  <c r="B134" i="220"/>
  <c r="B135" i="220"/>
  <c r="B136" i="220"/>
  <c r="B137" i="220"/>
  <c r="B138" i="220"/>
  <c r="B139" i="220"/>
  <c r="B140" i="220"/>
  <c r="B141" i="220"/>
  <c r="B142" i="220"/>
  <c r="B143" i="220"/>
  <c r="B144" i="220"/>
  <c r="B145" i="220"/>
  <c r="B146" i="220"/>
  <c r="B147" i="220"/>
  <c r="B148" i="220"/>
  <c r="B149" i="220"/>
  <c r="B150" i="220"/>
  <c r="B151" i="220"/>
  <c r="B152" i="220"/>
  <c r="B153" i="220"/>
  <c r="B154" i="220"/>
  <c r="B155" i="220"/>
  <c r="B156" i="220"/>
  <c r="B157" i="220"/>
  <c r="B158" i="220"/>
  <c r="B159" i="220"/>
  <c r="B160" i="220"/>
  <c r="B161" i="220"/>
  <c r="B162" i="220"/>
  <c r="B163" i="220"/>
  <c r="B164" i="220"/>
  <c r="B165" i="220"/>
  <c r="B166" i="220"/>
  <c r="B167" i="220"/>
  <c r="B168" i="220"/>
  <c r="B169" i="220"/>
  <c r="B170" i="220"/>
  <c r="B171" i="220"/>
  <c r="B172" i="220"/>
  <c r="B173" i="220"/>
  <c r="B174" i="220"/>
  <c r="B175" i="220"/>
  <c r="B176" i="220"/>
  <c r="B177" i="220"/>
  <c r="B178" i="220"/>
  <c r="B179" i="220"/>
  <c r="B180" i="220"/>
  <c r="B181" i="220"/>
  <c r="B182" i="220"/>
  <c r="B183" i="220"/>
  <c r="B184" i="220"/>
  <c r="B185" i="220"/>
  <c r="B186" i="220"/>
  <c r="B187" i="220"/>
  <c r="B188" i="220"/>
  <c r="B189" i="220"/>
  <c r="B190" i="220"/>
  <c r="B191" i="220"/>
  <c r="B192" i="220"/>
  <c r="B193" i="220"/>
  <c r="B194" i="220"/>
  <c r="B195" i="220"/>
  <c r="B196" i="220"/>
  <c r="B197" i="220"/>
  <c r="B198" i="220"/>
  <c r="B199" i="220"/>
  <c r="B200" i="220"/>
  <c r="B201" i="220"/>
  <c r="B202" i="220"/>
  <c r="B203" i="220"/>
  <c r="B204" i="220"/>
  <c r="B205" i="220"/>
  <c r="B206" i="220"/>
  <c r="B207" i="220"/>
  <c r="B208" i="220"/>
  <c r="B209" i="220"/>
  <c r="B210" i="220"/>
  <c r="B211" i="220"/>
  <c r="B212" i="220"/>
  <c r="B213" i="220"/>
  <c r="B214" i="220"/>
  <c r="B215" i="220"/>
  <c r="B216" i="220"/>
  <c r="B217" i="220"/>
  <c r="B9" i="220"/>
  <c r="C9" i="220" s="1"/>
  <c r="B10" i="220"/>
  <c r="C10" i="220" s="1"/>
  <c r="B11" i="220"/>
  <c r="C11" i="220" s="1"/>
  <c r="B12" i="220"/>
  <c r="C12" i="220" s="1"/>
  <c r="B13" i="220"/>
  <c r="C13" i="220" s="1"/>
  <c r="B14" i="220"/>
  <c r="C14" i="220" s="1"/>
  <c r="B15" i="220"/>
  <c r="C15" i="220" s="1"/>
  <c r="B16" i="220"/>
  <c r="C16" i="220" s="1"/>
  <c r="B17" i="220"/>
  <c r="C17" i="220" s="1"/>
  <c r="B18" i="220"/>
  <c r="B19" i="220"/>
  <c r="B20" i="220"/>
  <c r="B21" i="220"/>
  <c r="B22" i="220"/>
  <c r="B23" i="220"/>
  <c r="B24" i="220"/>
  <c r="B25" i="220"/>
  <c r="B26" i="220"/>
  <c r="B27" i="220"/>
  <c r="B28" i="220"/>
  <c r="B29" i="220"/>
  <c r="B30" i="220"/>
  <c r="B31" i="220"/>
  <c r="B32" i="220"/>
  <c r="B33" i="220"/>
  <c r="B34" i="220"/>
  <c r="B35" i="220"/>
  <c r="B36" i="220"/>
  <c r="B37" i="220"/>
  <c r="B38" i="220"/>
  <c r="B39" i="220"/>
  <c r="B40" i="220"/>
  <c r="B41" i="220"/>
  <c r="B42" i="220"/>
  <c r="B43" i="220"/>
  <c r="B44" i="220"/>
  <c r="B45" i="220"/>
  <c r="B46" i="220"/>
  <c r="B47" i="220"/>
  <c r="B48" i="220"/>
  <c r="B49" i="220"/>
  <c r="B50" i="220"/>
  <c r="B51" i="220"/>
  <c r="B52" i="220"/>
  <c r="B53" i="220"/>
  <c r="B54" i="220"/>
  <c r="B55" i="220"/>
  <c r="B56" i="220"/>
  <c r="B57" i="220"/>
  <c r="B58" i="220"/>
  <c r="B59" i="220"/>
  <c r="B60" i="220"/>
  <c r="B61" i="220"/>
  <c r="B62" i="220"/>
  <c r="B63" i="220"/>
  <c r="B64" i="220"/>
  <c r="B65" i="220"/>
  <c r="B66" i="220"/>
  <c r="B67" i="220"/>
  <c r="B68" i="220"/>
  <c r="B69" i="220"/>
  <c r="B70" i="220"/>
  <c r="B71" i="220"/>
  <c r="B72" i="220"/>
  <c r="B73" i="220"/>
  <c r="B74" i="220"/>
  <c r="B75" i="220"/>
  <c r="B76" i="220"/>
  <c r="B77" i="220"/>
  <c r="B78" i="220"/>
  <c r="B79" i="220"/>
  <c r="B80" i="220"/>
  <c r="B81" i="220"/>
  <c r="B82" i="220"/>
  <c r="B83" i="220"/>
  <c r="B84" i="220"/>
  <c r="B85" i="220"/>
  <c r="B86" i="220"/>
  <c r="B87" i="220"/>
  <c r="B88" i="220"/>
  <c r="B89" i="220"/>
  <c r="B90" i="220"/>
  <c r="B91" i="220"/>
  <c r="B92" i="220"/>
  <c r="B93" i="220"/>
  <c r="B94" i="220"/>
  <c r="B95" i="220"/>
  <c r="B96" i="220"/>
  <c r="B97" i="220"/>
  <c r="B98" i="220"/>
  <c r="B99" i="220"/>
  <c r="B100" i="220"/>
  <c r="B101" i="220"/>
  <c r="B102" i="220"/>
  <c r="B103" i="220"/>
  <c r="B104" i="220"/>
  <c r="B105" i="220"/>
  <c r="D38" i="220" l="1"/>
  <c r="E38" i="220"/>
  <c r="E13" i="220"/>
  <c r="D13" i="220"/>
  <c r="E48" i="220"/>
  <c r="D48" i="220"/>
  <c r="D99" i="220"/>
  <c r="E99" i="220"/>
  <c r="D87" i="220"/>
  <c r="E87" i="220"/>
  <c r="D75" i="220"/>
  <c r="E75" i="220"/>
  <c r="E63" i="220"/>
  <c r="D63" i="220"/>
  <c r="D51" i="220"/>
  <c r="E51" i="220"/>
  <c r="D39" i="220"/>
  <c r="E39" i="220"/>
  <c r="E27" i="220"/>
  <c r="D27" i="220"/>
  <c r="E15" i="220"/>
  <c r="D15" i="220"/>
  <c r="D50" i="220"/>
  <c r="E50" i="220"/>
  <c r="E84" i="220"/>
  <c r="D84" i="220"/>
  <c r="D83" i="220"/>
  <c r="E83" i="220"/>
  <c r="D71" i="220"/>
  <c r="E71" i="220"/>
  <c r="D59" i="220"/>
  <c r="E59" i="220"/>
  <c r="D47" i="220"/>
  <c r="E47" i="220"/>
  <c r="D35" i="220"/>
  <c r="E35" i="220"/>
  <c r="D23" i="220"/>
  <c r="E23" i="220"/>
  <c r="D11" i="220"/>
  <c r="E11" i="220"/>
  <c r="E61" i="220"/>
  <c r="D61" i="220"/>
  <c r="D60" i="220"/>
  <c r="E60" i="220"/>
  <c r="E82" i="220"/>
  <c r="D82" i="220"/>
  <c r="D70" i="220"/>
  <c r="E70" i="220"/>
  <c r="E58" i="220"/>
  <c r="D58" i="220"/>
  <c r="D46" i="220"/>
  <c r="E46" i="220"/>
  <c r="D34" i="220"/>
  <c r="E34" i="220"/>
  <c r="D22" i="220"/>
  <c r="E22" i="220"/>
  <c r="D10" i="220"/>
  <c r="E10" i="220"/>
  <c r="D74" i="220"/>
  <c r="E74" i="220"/>
  <c r="E97" i="220"/>
  <c r="D97" i="220"/>
  <c r="E25" i="220"/>
  <c r="D25" i="220"/>
  <c r="D24" i="220"/>
  <c r="E24" i="220"/>
  <c r="E105" i="220"/>
  <c r="D105" i="220"/>
  <c r="D93" i="220"/>
  <c r="E93" i="220"/>
  <c r="E81" i="220"/>
  <c r="D81" i="220"/>
  <c r="D69" i="220"/>
  <c r="E69" i="220"/>
  <c r="E57" i="220"/>
  <c r="D57" i="220"/>
  <c r="E45" i="220"/>
  <c r="D45" i="220"/>
  <c r="D33" i="220"/>
  <c r="E33" i="220"/>
  <c r="E21" i="220"/>
  <c r="D21" i="220"/>
  <c r="D9" i="220"/>
  <c r="E9" i="220"/>
  <c r="D98" i="220"/>
  <c r="E98" i="220"/>
  <c r="D26" i="220"/>
  <c r="E26" i="220"/>
  <c r="E85" i="220"/>
  <c r="D85" i="220"/>
  <c r="D12" i="220"/>
  <c r="E12" i="220"/>
  <c r="E95" i="220"/>
  <c r="D95" i="220"/>
  <c r="E104" i="220"/>
  <c r="D104" i="220"/>
  <c r="D92" i="220"/>
  <c r="E92" i="220"/>
  <c r="D80" i="220"/>
  <c r="E80" i="220"/>
  <c r="D68" i="220"/>
  <c r="E68" i="220"/>
  <c r="D56" i="220"/>
  <c r="E56" i="220"/>
  <c r="E44" i="220"/>
  <c r="D44" i="220"/>
  <c r="D32" i="220"/>
  <c r="E32" i="220"/>
  <c r="D20" i="220"/>
  <c r="E20" i="220"/>
  <c r="D86" i="220"/>
  <c r="E86" i="220"/>
  <c r="E49" i="220"/>
  <c r="D49" i="220"/>
  <c r="D36" i="220"/>
  <c r="E36" i="220"/>
  <c r="D94" i="220"/>
  <c r="E94" i="220"/>
  <c r="E103" i="220"/>
  <c r="D103" i="220"/>
  <c r="E91" i="220"/>
  <c r="D91" i="220"/>
  <c r="E79" i="220"/>
  <c r="D79" i="220"/>
  <c r="E67" i="220"/>
  <c r="D67" i="220"/>
  <c r="E55" i="220"/>
  <c r="D55" i="220"/>
  <c r="D43" i="220"/>
  <c r="E43" i="220"/>
  <c r="E31" i="220"/>
  <c r="D31" i="220"/>
  <c r="E19" i="220"/>
  <c r="D19" i="220"/>
  <c r="D102" i="220"/>
  <c r="E102" i="220"/>
  <c r="D90" i="220"/>
  <c r="E90" i="220"/>
  <c r="D78" i="220"/>
  <c r="E78" i="220"/>
  <c r="E66" i="220"/>
  <c r="D66" i="220"/>
  <c r="D54" i="220"/>
  <c r="E54" i="220"/>
  <c r="D42" i="220"/>
  <c r="E42" i="220"/>
  <c r="D30" i="220"/>
  <c r="E30" i="220"/>
  <c r="E18" i="220"/>
  <c r="D18" i="220"/>
  <c r="D14" i="220"/>
  <c r="E14" i="220"/>
  <c r="E37" i="220"/>
  <c r="D37" i="220"/>
  <c r="E72" i="220"/>
  <c r="D72" i="220"/>
  <c r="D101" i="220"/>
  <c r="E101" i="220"/>
  <c r="D89" i="220"/>
  <c r="E89" i="220"/>
  <c r="D77" i="220"/>
  <c r="E77" i="220"/>
  <c r="D65" i="220"/>
  <c r="E65" i="220"/>
  <c r="D53" i="220"/>
  <c r="E53" i="220"/>
  <c r="D41" i="220"/>
  <c r="E41" i="220"/>
  <c r="D29" i="220"/>
  <c r="E29" i="220"/>
  <c r="D17" i="220"/>
  <c r="E17" i="220"/>
  <c r="D62" i="220"/>
  <c r="E62" i="220"/>
  <c r="E73" i="220"/>
  <c r="D73" i="220"/>
  <c r="D96" i="220"/>
  <c r="E96" i="220"/>
  <c r="D100" i="220"/>
  <c r="E100" i="220"/>
  <c r="D88" i="220"/>
  <c r="E88" i="220"/>
  <c r="D76" i="220"/>
  <c r="E76" i="220"/>
  <c r="E64" i="220"/>
  <c r="D64" i="220"/>
  <c r="D52" i="220"/>
  <c r="E52" i="220"/>
  <c r="D40" i="220"/>
  <c r="E40" i="220"/>
  <c r="D28" i="220"/>
  <c r="E28" i="220"/>
  <c r="E16" i="220"/>
  <c r="D16" i="220"/>
  <c r="F77" i="226"/>
  <c r="G77" i="226" s="1"/>
  <c r="C78" i="226"/>
  <c r="B79" i="226"/>
  <c r="A80" i="226"/>
  <c r="B120" i="220"/>
  <c r="C113" i="220"/>
  <c r="C111" i="220"/>
  <c r="C110" i="220"/>
  <c r="C109" i="220"/>
  <c r="F78" i="226" l="1"/>
  <c r="G78" i="226" s="1"/>
  <c r="C79" i="226"/>
  <c r="B80" i="226"/>
  <c r="A81" i="226"/>
  <c r="B117" i="220"/>
  <c r="B116" i="220"/>
  <c r="C194" i="220"/>
  <c r="C196" i="220"/>
  <c r="C198" i="220"/>
  <c r="C134" i="220"/>
  <c r="C173" i="220"/>
  <c r="C177" i="220"/>
  <c r="C169" i="220"/>
  <c r="C138" i="220"/>
  <c r="C122" i="220"/>
  <c r="C141" i="220"/>
  <c r="C180" i="220"/>
  <c r="C206" i="220"/>
  <c r="C149" i="220"/>
  <c r="C165" i="220"/>
  <c r="C184" i="220"/>
  <c r="C153" i="220"/>
  <c r="C126" i="220"/>
  <c r="C163" i="220"/>
  <c r="C182" i="220"/>
  <c r="C146" i="220"/>
  <c r="C171" i="220"/>
  <c r="C216" i="220"/>
  <c r="C139" i="220"/>
  <c r="C192" i="220"/>
  <c r="C147" i="220"/>
  <c r="C185" i="220"/>
  <c r="C181" i="220"/>
  <c r="C132" i="220"/>
  <c r="C124" i="220"/>
  <c r="C152" i="220"/>
  <c r="C136" i="220"/>
  <c r="C174" i="220"/>
  <c r="C137" i="220"/>
  <c r="C204" i="220"/>
  <c r="C135" i="220"/>
  <c r="C166" i="220"/>
  <c r="C150" i="220"/>
  <c r="C142" i="220"/>
  <c r="C159" i="220"/>
  <c r="C131" i="220"/>
  <c r="C214" i="220"/>
  <c r="C123" i="220"/>
  <c r="C212" i="220"/>
  <c r="C191" i="220"/>
  <c r="C125" i="220"/>
  <c r="C189" i="220"/>
  <c r="C193" i="220"/>
  <c r="C156" i="220"/>
  <c r="C140" i="220"/>
  <c r="C188" i="220"/>
  <c r="C211" i="220"/>
  <c r="C170" i="220"/>
  <c r="C127" i="220"/>
  <c r="C202" i="220"/>
  <c r="C217" i="220"/>
  <c r="C161" i="220"/>
  <c r="C145" i="220"/>
  <c r="C186" i="220"/>
  <c r="C130" i="220"/>
  <c r="C215" i="220"/>
  <c r="C154" i="220"/>
  <c r="C213" i="220"/>
  <c r="C133" i="220"/>
  <c r="C208" i="220"/>
  <c r="C210" i="220"/>
  <c r="C121" i="220"/>
  <c r="C197" i="220"/>
  <c r="C175" i="220"/>
  <c r="C187" i="220"/>
  <c r="C183" i="220"/>
  <c r="C179" i="220"/>
  <c r="C168" i="220"/>
  <c r="C128" i="220"/>
  <c r="C172" i="220"/>
  <c r="C160" i="220"/>
  <c r="C144" i="220"/>
  <c r="C209" i="220"/>
  <c r="C157" i="220"/>
  <c r="C162" i="220"/>
  <c r="C200" i="220"/>
  <c r="C199" i="220"/>
  <c r="C158" i="220"/>
  <c r="C143" i="220"/>
  <c r="C178" i="220"/>
  <c r="C190" i="220"/>
  <c r="C151" i="220"/>
  <c r="C195" i="220"/>
  <c r="C129" i="220"/>
  <c r="C207" i="220"/>
  <c r="C203" i="220"/>
  <c r="C155" i="220"/>
  <c r="C205" i="220"/>
  <c r="C176" i="220"/>
  <c r="C201" i="220"/>
  <c r="C167" i="220"/>
  <c r="C164" i="220"/>
  <c r="C148" i="220"/>
  <c r="C120" i="220"/>
  <c r="F79" i="226" l="1"/>
  <c r="G79" i="226" s="1"/>
  <c r="C80" i="226"/>
  <c r="B81" i="226"/>
  <c r="A82" i="226"/>
  <c r="D135" i="220"/>
  <c r="D133" i="220"/>
  <c r="D168" i="220"/>
  <c r="D122" i="220"/>
  <c r="D132" i="220"/>
  <c r="D152" i="220"/>
  <c r="D164" i="220"/>
  <c r="D127" i="220"/>
  <c r="D180" i="220" l="1"/>
  <c r="F80" i="226"/>
  <c r="G80" i="226" s="1"/>
  <c r="C81" i="226"/>
  <c r="B82" i="226"/>
  <c r="A83" i="226"/>
  <c r="D196" i="220"/>
  <c r="D209" i="220"/>
  <c r="D170" i="220"/>
  <c r="D146" i="220"/>
  <c r="D171" i="220"/>
  <c r="D181" i="220"/>
  <c r="D172" i="220"/>
  <c r="D216" i="220"/>
  <c r="D142" i="220"/>
  <c r="D213" i="220"/>
  <c r="D148" i="220"/>
  <c r="D167" i="220"/>
  <c r="D203" i="220"/>
  <c r="D160" i="220"/>
  <c r="D158" i="220"/>
  <c r="D163" i="220"/>
  <c r="D134" i="220"/>
  <c r="D215" i="220"/>
  <c r="D198" i="220"/>
  <c r="D178" i="220"/>
  <c r="D139" i="220"/>
  <c r="D185" i="220"/>
  <c r="D201" i="220"/>
  <c r="D197" i="220"/>
  <c r="D157" i="220"/>
  <c r="D187" i="220"/>
  <c r="D184" i="220"/>
  <c r="D204" i="220"/>
  <c r="D130" i="220"/>
  <c r="D199" i="220"/>
  <c r="D140" i="220"/>
  <c r="D173" i="220"/>
  <c r="D151" i="220"/>
  <c r="D153" i="220"/>
  <c r="D125" i="220"/>
  <c r="D149" i="220"/>
  <c r="D182" i="220"/>
  <c r="D217" i="220"/>
  <c r="D143" i="220"/>
  <c r="D131" i="220"/>
  <c r="D195" i="220"/>
  <c r="D124" i="220"/>
  <c r="D136" i="220"/>
  <c r="D210" i="220"/>
  <c r="D156" i="220"/>
  <c r="D214" i="220"/>
  <c r="D155" i="220"/>
  <c r="D194" i="220"/>
  <c r="D208" i="220"/>
  <c r="D121" i="220"/>
  <c r="D162" i="220"/>
  <c r="D159" i="220"/>
  <c r="D188" i="220"/>
  <c r="D176" i="220"/>
  <c r="D137" i="220"/>
  <c r="D169" i="220"/>
  <c r="D205" i="220"/>
  <c r="D193" i="220"/>
  <c r="D165" i="220"/>
  <c r="D183" i="220"/>
  <c r="D154" i="220"/>
  <c r="D211" i="220"/>
  <c r="D147" i="220"/>
  <c r="D186" i="220"/>
  <c r="D123" i="220"/>
  <c r="D120" i="220"/>
  <c r="D150" i="220"/>
  <c r="D189" i="220"/>
  <c r="D207" i="220"/>
  <c r="D175" i="220"/>
  <c r="D179" i="220"/>
  <c r="D174" i="220"/>
  <c r="D161" i="220"/>
  <c r="D129" i="220"/>
  <c r="D192" i="220"/>
  <c r="D190" i="220"/>
  <c r="D144" i="220"/>
  <c r="D141" i="220"/>
  <c r="D206" i="220"/>
  <c r="D128" i="220"/>
  <c r="D191" i="220"/>
  <c r="D138" i="220"/>
  <c r="D202" i="220"/>
  <c r="D166" i="220"/>
  <c r="D145" i="220"/>
  <c r="D200" i="220"/>
  <c r="D177" i="220"/>
  <c r="D126" i="220"/>
  <c r="D212" i="220"/>
  <c r="F81" i="226" l="1"/>
  <c r="G81" i="226" s="1"/>
  <c r="C82" i="226"/>
  <c r="B83" i="226"/>
  <c r="A84" i="226"/>
  <c r="F82" i="226" l="1"/>
  <c r="G82" i="226" s="1"/>
  <c r="C83" i="226"/>
  <c r="B84" i="226"/>
  <c r="A85" i="226"/>
  <c r="F83" i="226" l="1"/>
  <c r="G83" i="226" s="1"/>
  <c r="C84" i="226"/>
  <c r="B85" i="226"/>
  <c r="A86" i="226"/>
  <c r="F84" i="226" l="1"/>
  <c r="G84" i="226" s="1"/>
  <c r="C85" i="226"/>
  <c r="B86" i="226"/>
  <c r="A87" i="226"/>
  <c r="F85" i="226" l="1"/>
  <c r="G85" i="226" s="1"/>
  <c r="C86" i="226"/>
  <c r="B87" i="226"/>
  <c r="A88" i="226"/>
  <c r="F86" i="226" l="1"/>
  <c r="G86" i="226" s="1"/>
  <c r="C87" i="226"/>
  <c r="B88" i="226"/>
  <c r="A89" i="226"/>
  <c r="F87" i="226" l="1"/>
  <c r="G87" i="226" s="1"/>
  <c r="C88" i="226"/>
  <c r="B89" i="226"/>
  <c r="A90" i="226"/>
  <c r="F88" i="226" l="1"/>
  <c r="G88" i="226" s="1"/>
  <c r="C89" i="226"/>
  <c r="B90" i="226"/>
  <c r="A91" i="226"/>
  <c r="F89" i="226" l="1"/>
  <c r="G89" i="226" s="1"/>
  <c r="C90" i="226"/>
  <c r="B91" i="226"/>
  <c r="A92" i="226"/>
  <c r="F90" i="226" l="1"/>
  <c r="G90" i="226" s="1"/>
  <c r="C91" i="226"/>
  <c r="B92" i="226"/>
  <c r="A93" i="226"/>
  <c r="F91" i="226" l="1"/>
  <c r="G91" i="226" s="1"/>
  <c r="C92" i="226"/>
  <c r="B93" i="226"/>
  <c r="A94" i="226"/>
  <c r="F92" i="226" l="1"/>
  <c r="G92" i="226" s="1"/>
  <c r="C93" i="226"/>
  <c r="B94" i="226"/>
  <c r="A95" i="226"/>
  <c r="F93" i="226" l="1"/>
  <c r="G93" i="226" s="1"/>
  <c r="C94" i="226"/>
  <c r="B95" i="226"/>
  <c r="A96" i="226"/>
  <c r="F94" i="226" l="1"/>
  <c r="G94" i="226" s="1"/>
  <c r="C95" i="226"/>
  <c r="B96" i="226"/>
  <c r="A97" i="226"/>
  <c r="F95" i="226" l="1"/>
  <c r="G95" i="226" s="1"/>
  <c r="C96" i="226"/>
  <c r="B97" i="226"/>
  <c r="A98" i="226"/>
  <c r="P49" i="115"/>
  <c r="P48" i="115"/>
  <c r="P47" i="115"/>
  <c r="P46" i="115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B32" i="1"/>
  <c r="B31" i="1"/>
  <c r="L482" i="3"/>
  <c r="Q482" i="3" s="1"/>
  <c r="K481" i="3"/>
  <c r="F481" i="3"/>
  <c r="L481" i="3" s="1"/>
  <c r="Q481" i="3" s="1"/>
  <c r="K480" i="3"/>
  <c r="F480" i="3"/>
  <c r="L480" i="3" s="1"/>
  <c r="Q480" i="3" s="1"/>
  <c r="K479" i="3"/>
  <c r="F479" i="3"/>
  <c r="L479" i="3" s="1"/>
  <c r="Q479" i="3" s="1"/>
  <c r="L478" i="3"/>
  <c r="Q478" i="3" s="1"/>
  <c r="K478" i="3"/>
  <c r="L477" i="3"/>
  <c r="Q477" i="3" s="1"/>
  <c r="K477" i="3"/>
  <c r="L476" i="3"/>
  <c r="Q476" i="3" s="1"/>
  <c r="K476" i="3"/>
  <c r="L475" i="3"/>
  <c r="Q475" i="3" s="1"/>
  <c r="K475" i="3"/>
  <c r="L474" i="3"/>
  <c r="Q474" i="3" s="1"/>
  <c r="K474" i="3"/>
  <c r="L473" i="3"/>
  <c r="Q473" i="3" s="1"/>
  <c r="K473" i="3"/>
  <c r="L472" i="3"/>
  <c r="Q472" i="3" s="1"/>
  <c r="K472" i="3"/>
  <c r="L471" i="3"/>
  <c r="Q471" i="3" s="1"/>
  <c r="K471" i="3"/>
  <c r="L470" i="3"/>
  <c r="Q470" i="3" s="1"/>
  <c r="K470" i="3"/>
  <c r="L469" i="3"/>
  <c r="Q469" i="3" s="1"/>
  <c r="K469" i="3"/>
  <c r="L468" i="3"/>
  <c r="Q468" i="3" s="1"/>
  <c r="K468" i="3"/>
  <c r="L467" i="3"/>
  <c r="Q467" i="3" s="1"/>
  <c r="K467" i="3"/>
  <c r="L466" i="3"/>
  <c r="Q466" i="3" s="1"/>
  <c r="K466" i="3"/>
  <c r="L465" i="3"/>
  <c r="Q465" i="3" s="1"/>
  <c r="K465" i="3"/>
  <c r="L464" i="3"/>
  <c r="Q464" i="3" s="1"/>
  <c r="K464" i="3"/>
  <c r="L463" i="3"/>
  <c r="Q463" i="3" s="1"/>
  <c r="K463" i="3"/>
  <c r="L462" i="3"/>
  <c r="Q462" i="3" s="1"/>
  <c r="K462" i="3"/>
  <c r="L461" i="3"/>
  <c r="Q461" i="3" s="1"/>
  <c r="K461" i="3"/>
  <c r="L460" i="3"/>
  <c r="Q460" i="3" s="1"/>
  <c r="K460" i="3"/>
  <c r="L459" i="3"/>
  <c r="Q459" i="3" s="1"/>
  <c r="K459" i="3"/>
  <c r="L458" i="3"/>
  <c r="Q458" i="3" s="1"/>
  <c r="K458" i="3"/>
  <c r="L457" i="3"/>
  <c r="Q457" i="3" s="1"/>
  <c r="K457" i="3"/>
  <c r="L456" i="3"/>
  <c r="Q456" i="3" s="1"/>
  <c r="K456" i="3"/>
  <c r="L455" i="3"/>
  <c r="Q455" i="3" s="1"/>
  <c r="K455" i="3"/>
  <c r="L454" i="3"/>
  <c r="Q454" i="3" s="1"/>
  <c r="K454" i="3"/>
  <c r="L453" i="3"/>
  <c r="Q453" i="3" s="1"/>
  <c r="K453" i="3"/>
  <c r="L452" i="3"/>
  <c r="Q452" i="3" s="1"/>
  <c r="K452" i="3"/>
  <c r="L451" i="3"/>
  <c r="Q451" i="3" s="1"/>
  <c r="K451" i="3"/>
  <c r="L450" i="3"/>
  <c r="Q450" i="3" s="1"/>
  <c r="K450" i="3"/>
  <c r="L449" i="3"/>
  <c r="Q449" i="3" s="1"/>
  <c r="K449" i="3"/>
  <c r="L448" i="3"/>
  <c r="Q448" i="3" s="1"/>
  <c r="K448" i="3"/>
  <c r="L447" i="3"/>
  <c r="Q447" i="3" s="1"/>
  <c r="K447" i="3"/>
  <c r="L446" i="3"/>
  <c r="Q446" i="3" s="1"/>
  <c r="K446" i="3"/>
  <c r="L445" i="3"/>
  <c r="Q445" i="3" s="1"/>
  <c r="K445" i="3"/>
  <c r="L444" i="3"/>
  <c r="Q444" i="3" s="1"/>
  <c r="K444" i="3"/>
  <c r="L443" i="3"/>
  <c r="Q443" i="3" s="1"/>
  <c r="K443" i="3"/>
  <c r="L442" i="3"/>
  <c r="Q442" i="3" s="1"/>
  <c r="K442" i="3"/>
  <c r="L441" i="3"/>
  <c r="Q441" i="3" s="1"/>
  <c r="K441" i="3"/>
  <c r="L440" i="3"/>
  <c r="Q440" i="3" s="1"/>
  <c r="K440" i="3"/>
  <c r="L439" i="3"/>
  <c r="Q439" i="3" s="1"/>
  <c r="K439" i="3"/>
  <c r="L438" i="3"/>
  <c r="Q438" i="3" s="1"/>
  <c r="K438" i="3"/>
  <c r="L437" i="3"/>
  <c r="Q437" i="3" s="1"/>
  <c r="K437" i="3"/>
  <c r="L436" i="3"/>
  <c r="Q436" i="3" s="1"/>
  <c r="K436" i="3"/>
  <c r="L435" i="3"/>
  <c r="Q435" i="3" s="1"/>
  <c r="K435" i="3"/>
  <c r="L434" i="3"/>
  <c r="Q434" i="3" s="1"/>
  <c r="K434" i="3"/>
  <c r="L433" i="3"/>
  <c r="Q433" i="3" s="1"/>
  <c r="K433" i="3"/>
  <c r="L432" i="3"/>
  <c r="Q432" i="3" s="1"/>
  <c r="K432" i="3"/>
  <c r="L431" i="3"/>
  <c r="Q431" i="3" s="1"/>
  <c r="K431" i="3"/>
  <c r="L430" i="3"/>
  <c r="Q430" i="3" s="1"/>
  <c r="K430" i="3"/>
  <c r="L429" i="3"/>
  <c r="Q429" i="3" s="1"/>
  <c r="K429" i="3"/>
  <c r="L428" i="3"/>
  <c r="Q428" i="3" s="1"/>
  <c r="K428" i="3"/>
  <c r="L427" i="3"/>
  <c r="Q427" i="3" s="1"/>
  <c r="K427" i="3"/>
  <c r="L426" i="3"/>
  <c r="Q426" i="3" s="1"/>
  <c r="K426" i="3"/>
  <c r="L425" i="3"/>
  <c r="Q425" i="3" s="1"/>
  <c r="K425" i="3"/>
  <c r="L424" i="3"/>
  <c r="Q424" i="3" s="1"/>
  <c r="K424" i="3"/>
  <c r="L423" i="3"/>
  <c r="Q423" i="3" s="1"/>
  <c r="K423" i="3"/>
  <c r="L422" i="3"/>
  <c r="Q422" i="3" s="1"/>
  <c r="K422" i="3"/>
  <c r="L421" i="3"/>
  <c r="Q421" i="3" s="1"/>
  <c r="K421" i="3"/>
  <c r="L420" i="3"/>
  <c r="Q420" i="3" s="1"/>
  <c r="K420" i="3"/>
  <c r="L419" i="3"/>
  <c r="Q419" i="3" s="1"/>
  <c r="K419" i="3"/>
  <c r="L418" i="3"/>
  <c r="Q418" i="3" s="1"/>
  <c r="K418" i="3"/>
  <c r="L417" i="3"/>
  <c r="Q417" i="3" s="1"/>
  <c r="K417" i="3"/>
  <c r="L416" i="3"/>
  <c r="Q416" i="3" s="1"/>
  <c r="K416" i="3"/>
  <c r="L415" i="3"/>
  <c r="Q415" i="3" s="1"/>
  <c r="K415" i="3"/>
  <c r="L414" i="3"/>
  <c r="Q414" i="3" s="1"/>
  <c r="K414" i="3"/>
  <c r="L413" i="3"/>
  <c r="Q413" i="3" s="1"/>
  <c r="K413" i="3"/>
  <c r="L412" i="3"/>
  <c r="Q412" i="3" s="1"/>
  <c r="K412" i="3"/>
  <c r="L411" i="3"/>
  <c r="Q411" i="3" s="1"/>
  <c r="K411" i="3"/>
  <c r="L410" i="3"/>
  <c r="Q410" i="3" s="1"/>
  <c r="K410" i="3"/>
  <c r="L409" i="3"/>
  <c r="Q409" i="3" s="1"/>
  <c r="K409" i="3"/>
  <c r="L408" i="3"/>
  <c r="Q408" i="3" s="1"/>
  <c r="K408" i="3"/>
  <c r="L407" i="3"/>
  <c r="Q407" i="3" s="1"/>
  <c r="K407" i="3"/>
  <c r="L406" i="3"/>
  <c r="Q406" i="3" s="1"/>
  <c r="K406" i="3"/>
  <c r="L405" i="3"/>
  <c r="Q405" i="3" s="1"/>
  <c r="K405" i="3"/>
  <c r="L404" i="3"/>
  <c r="Q404" i="3" s="1"/>
  <c r="K404" i="3"/>
  <c r="L403" i="3"/>
  <c r="Q403" i="3" s="1"/>
  <c r="K403" i="3"/>
  <c r="L402" i="3"/>
  <c r="Q402" i="3" s="1"/>
  <c r="K402" i="3"/>
  <c r="L401" i="3"/>
  <c r="Q401" i="3" s="1"/>
  <c r="K401" i="3"/>
  <c r="L400" i="3"/>
  <c r="Q400" i="3" s="1"/>
  <c r="K400" i="3"/>
  <c r="L399" i="3"/>
  <c r="Q399" i="3" s="1"/>
  <c r="K399" i="3"/>
  <c r="L398" i="3"/>
  <c r="Q398" i="3" s="1"/>
  <c r="K398" i="3"/>
  <c r="L397" i="3"/>
  <c r="Q397" i="3" s="1"/>
  <c r="K397" i="3"/>
  <c r="L396" i="3"/>
  <c r="Q396" i="3" s="1"/>
  <c r="K396" i="3"/>
  <c r="L395" i="3"/>
  <c r="Q395" i="3" s="1"/>
  <c r="K395" i="3"/>
  <c r="L394" i="3"/>
  <c r="Q394" i="3" s="1"/>
  <c r="K394" i="3"/>
  <c r="L393" i="3"/>
  <c r="Q393" i="3" s="1"/>
  <c r="K393" i="3"/>
  <c r="L392" i="3"/>
  <c r="Q392" i="3" s="1"/>
  <c r="K392" i="3"/>
  <c r="L391" i="3"/>
  <c r="Q391" i="3" s="1"/>
  <c r="K391" i="3"/>
  <c r="L390" i="3"/>
  <c r="Q390" i="3" s="1"/>
  <c r="K390" i="3"/>
  <c r="L389" i="3"/>
  <c r="Q389" i="3" s="1"/>
  <c r="K389" i="3"/>
  <c r="L388" i="3"/>
  <c r="Q388" i="3" s="1"/>
  <c r="K388" i="3"/>
  <c r="L387" i="3"/>
  <c r="Q387" i="3" s="1"/>
  <c r="K387" i="3"/>
  <c r="L386" i="3"/>
  <c r="Q386" i="3" s="1"/>
  <c r="K386" i="3"/>
  <c r="L385" i="3"/>
  <c r="Q385" i="3" s="1"/>
  <c r="K385" i="3"/>
  <c r="L384" i="3"/>
  <c r="Q384" i="3" s="1"/>
  <c r="K384" i="3"/>
  <c r="L383" i="3"/>
  <c r="Q383" i="3" s="1"/>
  <c r="K383" i="3"/>
  <c r="L382" i="3"/>
  <c r="Q382" i="3" s="1"/>
  <c r="K382" i="3"/>
  <c r="L381" i="3"/>
  <c r="Q381" i="3" s="1"/>
  <c r="K381" i="3"/>
  <c r="L380" i="3"/>
  <c r="Q380" i="3" s="1"/>
  <c r="K380" i="3"/>
  <c r="L379" i="3"/>
  <c r="Q379" i="3" s="1"/>
  <c r="K379" i="3"/>
  <c r="L378" i="3"/>
  <c r="Q378" i="3" s="1"/>
  <c r="K378" i="3"/>
  <c r="L377" i="3"/>
  <c r="Q377" i="3" s="1"/>
  <c r="K377" i="3"/>
  <c r="L376" i="3"/>
  <c r="Q376" i="3" s="1"/>
  <c r="K376" i="3"/>
  <c r="L375" i="3"/>
  <c r="Q375" i="3" s="1"/>
  <c r="K375" i="3"/>
  <c r="L374" i="3"/>
  <c r="Q374" i="3" s="1"/>
  <c r="K374" i="3"/>
  <c r="L373" i="3"/>
  <c r="Q373" i="3" s="1"/>
  <c r="K373" i="3"/>
  <c r="L372" i="3"/>
  <c r="Q372" i="3" s="1"/>
  <c r="K372" i="3"/>
  <c r="L371" i="3"/>
  <c r="Q371" i="3" s="1"/>
  <c r="K371" i="3"/>
  <c r="L370" i="3"/>
  <c r="Q370" i="3" s="1"/>
  <c r="K370" i="3"/>
  <c r="L369" i="3"/>
  <c r="Q369" i="3" s="1"/>
  <c r="K369" i="3"/>
  <c r="L368" i="3"/>
  <c r="Q368" i="3" s="1"/>
  <c r="K368" i="3"/>
  <c r="L367" i="3"/>
  <c r="Q367" i="3" s="1"/>
  <c r="K367" i="3"/>
  <c r="L366" i="3"/>
  <c r="Q366" i="3" s="1"/>
  <c r="K366" i="3"/>
  <c r="L365" i="3"/>
  <c r="Q365" i="3" s="1"/>
  <c r="K365" i="3"/>
  <c r="L364" i="3"/>
  <c r="Q364" i="3" s="1"/>
  <c r="K364" i="3"/>
  <c r="L363" i="3"/>
  <c r="Q363" i="3" s="1"/>
  <c r="K363" i="3"/>
  <c r="L362" i="3"/>
  <c r="Q362" i="3" s="1"/>
  <c r="K362" i="3"/>
  <c r="L361" i="3"/>
  <c r="Q361" i="3" s="1"/>
  <c r="K361" i="3"/>
  <c r="L360" i="3"/>
  <c r="Q360" i="3" s="1"/>
  <c r="K360" i="3"/>
  <c r="L359" i="3"/>
  <c r="Q359" i="3" s="1"/>
  <c r="K359" i="3"/>
  <c r="L358" i="3"/>
  <c r="Q358" i="3" s="1"/>
  <c r="K358" i="3"/>
  <c r="L357" i="3"/>
  <c r="Q357" i="3" s="1"/>
  <c r="K357" i="3"/>
  <c r="L356" i="3"/>
  <c r="Q356" i="3" s="1"/>
  <c r="K356" i="3"/>
  <c r="L355" i="3"/>
  <c r="Q355" i="3" s="1"/>
  <c r="K355" i="3"/>
  <c r="L354" i="3"/>
  <c r="Q354" i="3" s="1"/>
  <c r="K354" i="3"/>
  <c r="L353" i="3"/>
  <c r="Q353" i="3" s="1"/>
  <c r="K353" i="3"/>
  <c r="L352" i="3"/>
  <c r="Q352" i="3" s="1"/>
  <c r="K352" i="3"/>
  <c r="L351" i="3"/>
  <c r="Q351" i="3" s="1"/>
  <c r="K351" i="3"/>
  <c r="L350" i="3"/>
  <c r="Q350" i="3" s="1"/>
  <c r="K350" i="3"/>
  <c r="L349" i="3"/>
  <c r="Q349" i="3" s="1"/>
  <c r="K349" i="3"/>
  <c r="L348" i="3"/>
  <c r="Q348" i="3" s="1"/>
  <c r="K348" i="3"/>
  <c r="L347" i="3"/>
  <c r="Q347" i="3" s="1"/>
  <c r="K347" i="3"/>
  <c r="L346" i="3"/>
  <c r="Q346" i="3" s="1"/>
  <c r="K346" i="3"/>
  <c r="L345" i="3"/>
  <c r="Q345" i="3" s="1"/>
  <c r="K345" i="3"/>
  <c r="L344" i="3"/>
  <c r="Q344" i="3" s="1"/>
  <c r="K344" i="3"/>
  <c r="L343" i="3"/>
  <c r="Q343" i="3" s="1"/>
  <c r="K343" i="3"/>
  <c r="L342" i="3"/>
  <c r="Q342" i="3" s="1"/>
  <c r="K342" i="3"/>
  <c r="L341" i="3"/>
  <c r="Q341" i="3" s="1"/>
  <c r="K341" i="3"/>
  <c r="L340" i="3"/>
  <c r="Q340" i="3" s="1"/>
  <c r="K340" i="3"/>
  <c r="L339" i="3"/>
  <c r="Q339" i="3" s="1"/>
  <c r="K339" i="3"/>
  <c r="L338" i="3"/>
  <c r="Q338" i="3" s="1"/>
  <c r="K338" i="3"/>
  <c r="L337" i="3"/>
  <c r="Q337" i="3" s="1"/>
  <c r="K337" i="3"/>
  <c r="L336" i="3"/>
  <c r="Q336" i="3" s="1"/>
  <c r="K336" i="3"/>
  <c r="L335" i="3"/>
  <c r="Q335" i="3" s="1"/>
  <c r="K335" i="3"/>
  <c r="L334" i="3"/>
  <c r="Q334" i="3" s="1"/>
  <c r="K334" i="3"/>
  <c r="L333" i="3"/>
  <c r="Q333" i="3" s="1"/>
  <c r="K333" i="3"/>
  <c r="L332" i="3"/>
  <c r="Q332" i="3" s="1"/>
  <c r="K332" i="3"/>
  <c r="L331" i="3"/>
  <c r="Q331" i="3" s="1"/>
  <c r="K331" i="3"/>
  <c r="L330" i="3"/>
  <c r="Q330" i="3" s="1"/>
  <c r="K330" i="3"/>
  <c r="L329" i="3"/>
  <c r="Q329" i="3" s="1"/>
  <c r="K329" i="3"/>
  <c r="L328" i="3"/>
  <c r="Q328" i="3" s="1"/>
  <c r="K328" i="3"/>
  <c r="L327" i="3"/>
  <c r="Q327" i="3" s="1"/>
  <c r="K327" i="3"/>
  <c r="L326" i="3"/>
  <c r="Q326" i="3" s="1"/>
  <c r="K326" i="3"/>
  <c r="L325" i="3"/>
  <c r="Q325" i="3" s="1"/>
  <c r="K325" i="3"/>
  <c r="L324" i="3"/>
  <c r="Q324" i="3" s="1"/>
  <c r="K324" i="3"/>
  <c r="L323" i="3"/>
  <c r="Q323" i="3" s="1"/>
  <c r="K323" i="3"/>
  <c r="L322" i="3"/>
  <c r="Q322" i="3" s="1"/>
  <c r="K322" i="3"/>
  <c r="L321" i="3"/>
  <c r="Q321" i="3" s="1"/>
  <c r="K321" i="3"/>
  <c r="L320" i="3"/>
  <c r="Q320" i="3" s="1"/>
  <c r="K320" i="3"/>
  <c r="L319" i="3"/>
  <c r="Q319" i="3" s="1"/>
  <c r="K319" i="3"/>
  <c r="L318" i="3"/>
  <c r="Q318" i="3" s="1"/>
  <c r="K318" i="3"/>
  <c r="L317" i="3"/>
  <c r="Q317" i="3" s="1"/>
  <c r="K317" i="3"/>
  <c r="L316" i="3"/>
  <c r="Q316" i="3" s="1"/>
  <c r="K316" i="3"/>
  <c r="L315" i="3"/>
  <c r="Q315" i="3" s="1"/>
  <c r="K315" i="3"/>
  <c r="L314" i="3"/>
  <c r="Q314" i="3" s="1"/>
  <c r="K314" i="3"/>
  <c r="L313" i="3"/>
  <c r="Q313" i="3" s="1"/>
  <c r="K313" i="3"/>
  <c r="L312" i="3"/>
  <c r="Q312" i="3" s="1"/>
  <c r="K312" i="3"/>
  <c r="L311" i="3"/>
  <c r="Q311" i="3" s="1"/>
  <c r="K311" i="3"/>
  <c r="L310" i="3"/>
  <c r="Q310" i="3" s="1"/>
  <c r="K310" i="3"/>
  <c r="L309" i="3"/>
  <c r="Q309" i="3" s="1"/>
  <c r="K309" i="3"/>
  <c r="L308" i="3"/>
  <c r="Q308" i="3" s="1"/>
  <c r="K308" i="3"/>
  <c r="L307" i="3"/>
  <c r="Q307" i="3" s="1"/>
  <c r="K307" i="3"/>
  <c r="L306" i="3"/>
  <c r="Q306" i="3" s="1"/>
  <c r="K306" i="3"/>
  <c r="L305" i="3"/>
  <c r="Q305" i="3" s="1"/>
  <c r="K305" i="3"/>
  <c r="L304" i="3"/>
  <c r="Q304" i="3" s="1"/>
  <c r="K304" i="3"/>
  <c r="L303" i="3"/>
  <c r="Q303" i="3" s="1"/>
  <c r="K303" i="3"/>
  <c r="L302" i="3"/>
  <c r="Q302" i="3" s="1"/>
  <c r="K302" i="3"/>
  <c r="L301" i="3"/>
  <c r="Q301" i="3" s="1"/>
  <c r="K301" i="3"/>
  <c r="L300" i="3"/>
  <c r="Q300" i="3" s="1"/>
  <c r="K300" i="3"/>
  <c r="L299" i="3"/>
  <c r="Q299" i="3" s="1"/>
  <c r="K299" i="3"/>
  <c r="L298" i="3"/>
  <c r="Q298" i="3" s="1"/>
  <c r="K298" i="3"/>
  <c r="L297" i="3"/>
  <c r="Q297" i="3" s="1"/>
  <c r="K297" i="3"/>
  <c r="L296" i="3"/>
  <c r="Q296" i="3" s="1"/>
  <c r="K296" i="3"/>
  <c r="L295" i="3"/>
  <c r="Q295" i="3" s="1"/>
  <c r="K295" i="3"/>
  <c r="L294" i="3"/>
  <c r="Q294" i="3" s="1"/>
  <c r="K294" i="3"/>
  <c r="L293" i="3"/>
  <c r="Q293" i="3" s="1"/>
  <c r="K293" i="3"/>
  <c r="L292" i="3"/>
  <c r="Q292" i="3" s="1"/>
  <c r="K292" i="3"/>
  <c r="L291" i="3"/>
  <c r="Q291" i="3" s="1"/>
  <c r="K291" i="3"/>
  <c r="L290" i="3"/>
  <c r="Q290" i="3" s="1"/>
  <c r="K290" i="3"/>
  <c r="L289" i="3"/>
  <c r="Q289" i="3" s="1"/>
  <c r="K289" i="3"/>
  <c r="L288" i="3"/>
  <c r="Q288" i="3" s="1"/>
  <c r="K288" i="3"/>
  <c r="L287" i="3"/>
  <c r="Q287" i="3" s="1"/>
  <c r="K287" i="3"/>
  <c r="L286" i="3"/>
  <c r="Q286" i="3" s="1"/>
  <c r="K286" i="3"/>
  <c r="L285" i="3"/>
  <c r="Q285" i="3" s="1"/>
  <c r="K285" i="3"/>
  <c r="L284" i="3"/>
  <c r="Q284" i="3" s="1"/>
  <c r="K284" i="3"/>
  <c r="L283" i="3"/>
  <c r="Q283" i="3" s="1"/>
  <c r="K283" i="3"/>
  <c r="L282" i="3"/>
  <c r="Q282" i="3" s="1"/>
  <c r="K282" i="3"/>
  <c r="L281" i="3"/>
  <c r="Q281" i="3" s="1"/>
  <c r="K281" i="3"/>
  <c r="L280" i="3"/>
  <c r="Q280" i="3" s="1"/>
  <c r="K280" i="3"/>
  <c r="L279" i="3"/>
  <c r="Q279" i="3" s="1"/>
  <c r="K279" i="3"/>
  <c r="L278" i="3"/>
  <c r="Q278" i="3" s="1"/>
  <c r="K278" i="3"/>
  <c r="L277" i="3"/>
  <c r="Q277" i="3" s="1"/>
  <c r="K277" i="3"/>
  <c r="L276" i="3"/>
  <c r="Q276" i="3" s="1"/>
  <c r="K276" i="3"/>
  <c r="L275" i="3"/>
  <c r="Q275" i="3" s="1"/>
  <c r="K275" i="3"/>
  <c r="L274" i="3"/>
  <c r="Q274" i="3" s="1"/>
  <c r="K274" i="3"/>
  <c r="L273" i="3"/>
  <c r="Q273" i="3" s="1"/>
  <c r="K273" i="3"/>
  <c r="L272" i="3"/>
  <c r="Q272" i="3" s="1"/>
  <c r="K272" i="3"/>
  <c r="L271" i="3"/>
  <c r="Q271" i="3" s="1"/>
  <c r="K271" i="3"/>
  <c r="L270" i="3"/>
  <c r="Q270" i="3" s="1"/>
  <c r="K270" i="3"/>
  <c r="L269" i="3"/>
  <c r="Q269" i="3" s="1"/>
  <c r="K269" i="3"/>
  <c r="L268" i="3"/>
  <c r="Q268" i="3" s="1"/>
  <c r="K268" i="3"/>
  <c r="L267" i="3"/>
  <c r="Q267" i="3" s="1"/>
  <c r="K267" i="3"/>
  <c r="L266" i="3"/>
  <c r="Q266" i="3" s="1"/>
  <c r="K266" i="3"/>
  <c r="L265" i="3"/>
  <c r="Q265" i="3" s="1"/>
  <c r="K265" i="3"/>
  <c r="L264" i="3"/>
  <c r="Q264" i="3" s="1"/>
  <c r="K264" i="3"/>
  <c r="L263" i="3"/>
  <c r="Q263" i="3" s="1"/>
  <c r="K263" i="3"/>
  <c r="L262" i="3"/>
  <c r="Q262" i="3" s="1"/>
  <c r="K262" i="3"/>
  <c r="L261" i="3"/>
  <c r="Q261" i="3" s="1"/>
  <c r="K261" i="3"/>
  <c r="L260" i="3"/>
  <c r="Q260" i="3" s="1"/>
  <c r="K260" i="3"/>
  <c r="L259" i="3"/>
  <c r="Q259" i="3" s="1"/>
  <c r="K259" i="3"/>
  <c r="L258" i="3"/>
  <c r="Q258" i="3" s="1"/>
  <c r="K258" i="3"/>
  <c r="L257" i="3"/>
  <c r="Q257" i="3" s="1"/>
  <c r="K257" i="3"/>
  <c r="L256" i="3"/>
  <c r="Q256" i="3" s="1"/>
  <c r="K256" i="3"/>
  <c r="L255" i="3"/>
  <c r="Q255" i="3" s="1"/>
  <c r="K255" i="3"/>
  <c r="L254" i="3"/>
  <c r="Q254" i="3" s="1"/>
  <c r="K254" i="3"/>
  <c r="L253" i="3"/>
  <c r="Q253" i="3" s="1"/>
  <c r="K253" i="3"/>
  <c r="L252" i="3"/>
  <c r="Q252" i="3" s="1"/>
  <c r="K252" i="3"/>
  <c r="L251" i="3"/>
  <c r="Q251" i="3" s="1"/>
  <c r="K251" i="3"/>
  <c r="L250" i="3"/>
  <c r="Q250" i="3" s="1"/>
  <c r="K250" i="3"/>
  <c r="L249" i="3"/>
  <c r="Q249" i="3" s="1"/>
  <c r="K249" i="3"/>
  <c r="L248" i="3"/>
  <c r="Q248" i="3" s="1"/>
  <c r="K248" i="3"/>
  <c r="L247" i="3"/>
  <c r="Q247" i="3" s="1"/>
  <c r="K247" i="3"/>
  <c r="L246" i="3"/>
  <c r="Q246" i="3" s="1"/>
  <c r="K246" i="3"/>
  <c r="L245" i="3"/>
  <c r="Q245" i="3" s="1"/>
  <c r="K245" i="3"/>
  <c r="L244" i="3"/>
  <c r="Q244" i="3" s="1"/>
  <c r="K244" i="3"/>
  <c r="L243" i="3"/>
  <c r="Q243" i="3" s="1"/>
  <c r="K243" i="3"/>
  <c r="L242" i="3"/>
  <c r="Q242" i="3" s="1"/>
  <c r="K242" i="3"/>
  <c r="L241" i="3"/>
  <c r="Q241" i="3" s="1"/>
  <c r="K241" i="3"/>
  <c r="L240" i="3"/>
  <c r="Q240" i="3" s="1"/>
  <c r="K240" i="3"/>
  <c r="L239" i="3"/>
  <c r="Q239" i="3" s="1"/>
  <c r="K239" i="3"/>
  <c r="L238" i="3"/>
  <c r="Q238" i="3" s="1"/>
  <c r="K238" i="3"/>
  <c r="L237" i="3"/>
  <c r="Q237" i="3" s="1"/>
  <c r="K237" i="3"/>
  <c r="L236" i="3"/>
  <c r="Q236" i="3" s="1"/>
  <c r="K236" i="3"/>
  <c r="L235" i="3"/>
  <c r="Q235" i="3" s="1"/>
  <c r="K235" i="3"/>
  <c r="L234" i="3"/>
  <c r="Q234" i="3" s="1"/>
  <c r="K234" i="3"/>
  <c r="L233" i="3"/>
  <c r="Q233" i="3" s="1"/>
  <c r="K233" i="3"/>
  <c r="L232" i="3"/>
  <c r="Q232" i="3" s="1"/>
  <c r="K232" i="3"/>
  <c r="L231" i="3"/>
  <c r="Q231" i="3" s="1"/>
  <c r="K231" i="3"/>
  <c r="L230" i="3"/>
  <c r="Q230" i="3" s="1"/>
  <c r="K230" i="3"/>
  <c r="L229" i="3"/>
  <c r="Q229" i="3" s="1"/>
  <c r="K229" i="3"/>
  <c r="L228" i="3"/>
  <c r="Q228" i="3" s="1"/>
  <c r="K228" i="3"/>
  <c r="L227" i="3"/>
  <c r="Q227" i="3" s="1"/>
  <c r="K227" i="3"/>
  <c r="L226" i="3"/>
  <c r="Q226" i="3" s="1"/>
  <c r="K226" i="3"/>
  <c r="L225" i="3"/>
  <c r="Q225" i="3" s="1"/>
  <c r="K225" i="3"/>
  <c r="L224" i="3"/>
  <c r="Q224" i="3" s="1"/>
  <c r="K224" i="3"/>
  <c r="L223" i="3"/>
  <c r="Q223" i="3" s="1"/>
  <c r="K223" i="3"/>
  <c r="L222" i="3"/>
  <c r="Q222" i="3" s="1"/>
  <c r="K222" i="3"/>
  <c r="L221" i="3"/>
  <c r="Q221" i="3" s="1"/>
  <c r="K221" i="3"/>
  <c r="L220" i="3"/>
  <c r="Q220" i="3" s="1"/>
  <c r="K220" i="3"/>
  <c r="L219" i="3"/>
  <c r="Q219" i="3" s="1"/>
  <c r="K219" i="3"/>
  <c r="L218" i="3"/>
  <c r="Q218" i="3" s="1"/>
  <c r="K218" i="3"/>
  <c r="L217" i="3"/>
  <c r="Q217" i="3" s="1"/>
  <c r="K217" i="3"/>
  <c r="L216" i="3"/>
  <c r="Q216" i="3" s="1"/>
  <c r="K216" i="3"/>
  <c r="L215" i="3"/>
  <c r="Q215" i="3" s="1"/>
  <c r="K215" i="3"/>
  <c r="L214" i="3"/>
  <c r="Q214" i="3" s="1"/>
  <c r="K214" i="3"/>
  <c r="L213" i="3"/>
  <c r="Q213" i="3" s="1"/>
  <c r="K213" i="3"/>
  <c r="L212" i="3"/>
  <c r="Q212" i="3" s="1"/>
  <c r="K212" i="3"/>
  <c r="L211" i="3"/>
  <c r="Q211" i="3" s="1"/>
  <c r="K211" i="3"/>
  <c r="L210" i="3"/>
  <c r="Q210" i="3" s="1"/>
  <c r="K210" i="3"/>
  <c r="L209" i="3"/>
  <c r="Q209" i="3" s="1"/>
  <c r="K209" i="3"/>
  <c r="L208" i="3"/>
  <c r="Q208" i="3" s="1"/>
  <c r="K208" i="3"/>
  <c r="L207" i="3"/>
  <c r="Q207" i="3" s="1"/>
  <c r="K207" i="3"/>
  <c r="L206" i="3"/>
  <c r="Q206" i="3" s="1"/>
  <c r="K206" i="3"/>
  <c r="L205" i="3"/>
  <c r="Q205" i="3" s="1"/>
  <c r="K205" i="3"/>
  <c r="L204" i="3"/>
  <c r="Q204" i="3" s="1"/>
  <c r="K204" i="3"/>
  <c r="L203" i="3"/>
  <c r="Q203" i="3" s="1"/>
  <c r="K203" i="3"/>
  <c r="L202" i="3"/>
  <c r="Q202" i="3" s="1"/>
  <c r="K202" i="3"/>
  <c r="L201" i="3"/>
  <c r="Q201" i="3" s="1"/>
  <c r="K201" i="3"/>
  <c r="L200" i="3"/>
  <c r="Q200" i="3" s="1"/>
  <c r="K200" i="3"/>
  <c r="L199" i="3"/>
  <c r="Q199" i="3" s="1"/>
  <c r="K199" i="3"/>
  <c r="L198" i="3"/>
  <c r="Q198" i="3" s="1"/>
  <c r="K198" i="3"/>
  <c r="L197" i="3"/>
  <c r="Q197" i="3" s="1"/>
  <c r="K197" i="3"/>
  <c r="L196" i="3"/>
  <c r="Q196" i="3" s="1"/>
  <c r="K196" i="3"/>
  <c r="L195" i="3"/>
  <c r="Q195" i="3" s="1"/>
  <c r="K195" i="3"/>
  <c r="L194" i="3"/>
  <c r="Q194" i="3" s="1"/>
  <c r="K194" i="3"/>
  <c r="L193" i="3"/>
  <c r="Q193" i="3" s="1"/>
  <c r="K193" i="3"/>
  <c r="L192" i="3"/>
  <c r="Q192" i="3" s="1"/>
  <c r="K192" i="3"/>
  <c r="L191" i="3"/>
  <c r="Q191" i="3" s="1"/>
  <c r="K191" i="3"/>
  <c r="L190" i="3"/>
  <c r="Q190" i="3" s="1"/>
  <c r="K190" i="3"/>
  <c r="L189" i="3"/>
  <c r="Q189" i="3" s="1"/>
  <c r="K189" i="3"/>
  <c r="L188" i="3"/>
  <c r="Q188" i="3" s="1"/>
  <c r="K188" i="3"/>
  <c r="L187" i="3"/>
  <c r="Q187" i="3" s="1"/>
  <c r="K187" i="3"/>
  <c r="L186" i="3"/>
  <c r="Q186" i="3" s="1"/>
  <c r="K186" i="3"/>
  <c r="L185" i="3"/>
  <c r="Q185" i="3" s="1"/>
  <c r="K185" i="3"/>
  <c r="L184" i="3"/>
  <c r="Q184" i="3" s="1"/>
  <c r="K184" i="3"/>
  <c r="L183" i="3"/>
  <c r="Q183" i="3" s="1"/>
  <c r="K183" i="3"/>
  <c r="L182" i="3"/>
  <c r="Q182" i="3" s="1"/>
  <c r="K182" i="3"/>
  <c r="L181" i="3"/>
  <c r="Q181" i="3" s="1"/>
  <c r="K181" i="3"/>
  <c r="L180" i="3"/>
  <c r="Q180" i="3" s="1"/>
  <c r="K180" i="3"/>
  <c r="L179" i="3"/>
  <c r="Q179" i="3" s="1"/>
  <c r="K179" i="3"/>
  <c r="L178" i="3"/>
  <c r="Q178" i="3" s="1"/>
  <c r="K178" i="3"/>
  <c r="L177" i="3"/>
  <c r="Q177" i="3" s="1"/>
  <c r="K177" i="3"/>
  <c r="L176" i="3"/>
  <c r="Q176" i="3" s="1"/>
  <c r="K176" i="3"/>
  <c r="L175" i="3"/>
  <c r="Q175" i="3" s="1"/>
  <c r="K175" i="3"/>
  <c r="L174" i="3"/>
  <c r="Q174" i="3" s="1"/>
  <c r="K174" i="3"/>
  <c r="L173" i="3"/>
  <c r="Q173" i="3" s="1"/>
  <c r="K173" i="3"/>
  <c r="L172" i="3"/>
  <c r="Q172" i="3" s="1"/>
  <c r="K172" i="3"/>
  <c r="L171" i="3"/>
  <c r="Q171" i="3" s="1"/>
  <c r="K171" i="3"/>
  <c r="L170" i="3"/>
  <c r="Q170" i="3" s="1"/>
  <c r="K170" i="3"/>
  <c r="L169" i="3"/>
  <c r="Q169" i="3" s="1"/>
  <c r="K169" i="3"/>
  <c r="L168" i="3"/>
  <c r="Q168" i="3" s="1"/>
  <c r="K168" i="3"/>
  <c r="L167" i="3"/>
  <c r="Q167" i="3" s="1"/>
  <c r="K167" i="3"/>
  <c r="L166" i="3"/>
  <c r="Q166" i="3" s="1"/>
  <c r="K166" i="3"/>
  <c r="L165" i="3"/>
  <c r="Q165" i="3" s="1"/>
  <c r="K165" i="3"/>
  <c r="L164" i="3"/>
  <c r="Q164" i="3" s="1"/>
  <c r="K164" i="3"/>
  <c r="L163" i="3"/>
  <c r="Q163" i="3" s="1"/>
  <c r="K163" i="3"/>
  <c r="L162" i="3"/>
  <c r="Q162" i="3" s="1"/>
  <c r="K162" i="3"/>
  <c r="L161" i="3"/>
  <c r="Q161" i="3" s="1"/>
  <c r="K161" i="3"/>
  <c r="L160" i="3"/>
  <c r="Q160" i="3" s="1"/>
  <c r="K160" i="3"/>
  <c r="L159" i="3"/>
  <c r="Q159" i="3" s="1"/>
  <c r="K159" i="3"/>
  <c r="L158" i="3"/>
  <c r="Q158" i="3" s="1"/>
  <c r="K158" i="3"/>
  <c r="L157" i="3"/>
  <c r="Q157" i="3" s="1"/>
  <c r="K157" i="3"/>
  <c r="L156" i="3"/>
  <c r="Q156" i="3" s="1"/>
  <c r="K156" i="3"/>
  <c r="L155" i="3"/>
  <c r="Q155" i="3" s="1"/>
  <c r="K155" i="3"/>
  <c r="L154" i="3"/>
  <c r="Q154" i="3" s="1"/>
  <c r="K154" i="3"/>
  <c r="L153" i="3"/>
  <c r="Q153" i="3" s="1"/>
  <c r="K153" i="3"/>
  <c r="L152" i="3"/>
  <c r="Q152" i="3" s="1"/>
  <c r="K152" i="3"/>
  <c r="L151" i="3"/>
  <c r="Q151" i="3" s="1"/>
  <c r="K151" i="3"/>
  <c r="L150" i="3"/>
  <c r="Q150" i="3" s="1"/>
  <c r="K150" i="3"/>
  <c r="L149" i="3"/>
  <c r="Q149" i="3" s="1"/>
  <c r="K149" i="3"/>
  <c r="L148" i="3"/>
  <c r="Q148" i="3" s="1"/>
  <c r="K148" i="3"/>
  <c r="L147" i="3"/>
  <c r="Q147" i="3" s="1"/>
  <c r="K147" i="3"/>
  <c r="L146" i="3"/>
  <c r="Q146" i="3" s="1"/>
  <c r="K146" i="3"/>
  <c r="L145" i="3"/>
  <c r="Q145" i="3" s="1"/>
  <c r="K145" i="3"/>
  <c r="L144" i="3"/>
  <c r="Q144" i="3" s="1"/>
  <c r="K144" i="3"/>
  <c r="L143" i="3"/>
  <c r="Q143" i="3" s="1"/>
  <c r="K143" i="3"/>
  <c r="L142" i="3"/>
  <c r="Q142" i="3" s="1"/>
  <c r="K142" i="3"/>
  <c r="L141" i="3"/>
  <c r="Q141" i="3" s="1"/>
  <c r="K141" i="3"/>
  <c r="L140" i="3"/>
  <c r="Q140" i="3" s="1"/>
  <c r="K140" i="3"/>
  <c r="L139" i="3"/>
  <c r="Q139" i="3" s="1"/>
  <c r="K139" i="3"/>
  <c r="L138" i="3"/>
  <c r="Q138" i="3" s="1"/>
  <c r="K138" i="3"/>
  <c r="L137" i="3"/>
  <c r="Q137" i="3" s="1"/>
  <c r="K137" i="3"/>
  <c r="L136" i="3"/>
  <c r="Q136" i="3" s="1"/>
  <c r="K136" i="3"/>
  <c r="L135" i="3"/>
  <c r="Q135" i="3" s="1"/>
  <c r="K135" i="3"/>
  <c r="L134" i="3"/>
  <c r="Q134" i="3" s="1"/>
  <c r="K134" i="3"/>
  <c r="L133" i="3"/>
  <c r="Q133" i="3" s="1"/>
  <c r="K133" i="3"/>
  <c r="L132" i="3"/>
  <c r="Q132" i="3" s="1"/>
  <c r="K132" i="3"/>
  <c r="L131" i="3"/>
  <c r="Q131" i="3" s="1"/>
  <c r="K131" i="3"/>
  <c r="L130" i="3"/>
  <c r="Q130" i="3" s="1"/>
  <c r="K130" i="3"/>
  <c r="L129" i="3"/>
  <c r="Q129" i="3" s="1"/>
  <c r="K129" i="3"/>
  <c r="L128" i="3"/>
  <c r="Q128" i="3" s="1"/>
  <c r="K128" i="3"/>
  <c r="L127" i="3"/>
  <c r="Q127" i="3" s="1"/>
  <c r="K127" i="3"/>
  <c r="L126" i="3"/>
  <c r="Q126" i="3" s="1"/>
  <c r="K126" i="3"/>
  <c r="L125" i="3"/>
  <c r="Q125" i="3" s="1"/>
  <c r="K125" i="3"/>
  <c r="L124" i="3"/>
  <c r="Q124" i="3" s="1"/>
  <c r="K124" i="3"/>
  <c r="L123" i="3"/>
  <c r="Q123" i="3" s="1"/>
  <c r="K123" i="3"/>
  <c r="L122" i="3"/>
  <c r="Q122" i="3" s="1"/>
  <c r="K122" i="3"/>
  <c r="L121" i="3"/>
  <c r="Q121" i="3" s="1"/>
  <c r="K121" i="3"/>
  <c r="L120" i="3"/>
  <c r="Q120" i="3" s="1"/>
  <c r="K120" i="3"/>
  <c r="L119" i="3"/>
  <c r="Q119" i="3" s="1"/>
  <c r="K119" i="3"/>
  <c r="L118" i="3"/>
  <c r="Q118" i="3" s="1"/>
  <c r="K118" i="3"/>
  <c r="L117" i="3"/>
  <c r="Q117" i="3" s="1"/>
  <c r="K117" i="3"/>
  <c r="L116" i="3"/>
  <c r="Q116" i="3" s="1"/>
  <c r="K116" i="3"/>
  <c r="L115" i="3"/>
  <c r="Q115" i="3" s="1"/>
  <c r="K115" i="3"/>
  <c r="L114" i="3"/>
  <c r="Q114" i="3" s="1"/>
  <c r="K114" i="3"/>
  <c r="L113" i="3"/>
  <c r="Q113" i="3" s="1"/>
  <c r="K113" i="3"/>
  <c r="L112" i="3"/>
  <c r="Q112" i="3" s="1"/>
  <c r="K112" i="3"/>
  <c r="L111" i="3"/>
  <c r="Q111" i="3" s="1"/>
  <c r="K111" i="3"/>
  <c r="L110" i="3"/>
  <c r="Q110" i="3" s="1"/>
  <c r="K110" i="3"/>
  <c r="L109" i="3"/>
  <c r="Q109" i="3" s="1"/>
  <c r="K109" i="3"/>
  <c r="L108" i="3"/>
  <c r="Q108" i="3" s="1"/>
  <c r="K108" i="3"/>
  <c r="L107" i="3"/>
  <c r="Q107" i="3" s="1"/>
  <c r="K107" i="3"/>
  <c r="L106" i="3"/>
  <c r="Q106" i="3" s="1"/>
  <c r="K106" i="3"/>
  <c r="L105" i="3"/>
  <c r="Q105" i="3" s="1"/>
  <c r="K105" i="3"/>
  <c r="L104" i="3"/>
  <c r="Q104" i="3" s="1"/>
  <c r="K104" i="3"/>
  <c r="L103" i="3"/>
  <c r="Q103" i="3" s="1"/>
  <c r="K103" i="3"/>
  <c r="L102" i="3"/>
  <c r="Q102" i="3" s="1"/>
  <c r="K102" i="3"/>
  <c r="L101" i="3"/>
  <c r="Q101" i="3" s="1"/>
  <c r="K101" i="3"/>
  <c r="L100" i="3"/>
  <c r="Q100" i="3" s="1"/>
  <c r="K100" i="3"/>
  <c r="L99" i="3"/>
  <c r="Q99" i="3" s="1"/>
  <c r="K99" i="3"/>
  <c r="L98" i="3"/>
  <c r="Q98" i="3" s="1"/>
  <c r="K98" i="3"/>
  <c r="L97" i="3"/>
  <c r="Q97" i="3" s="1"/>
  <c r="K97" i="3"/>
  <c r="L96" i="3"/>
  <c r="Q96" i="3" s="1"/>
  <c r="K96" i="3"/>
  <c r="L95" i="3"/>
  <c r="Q95" i="3" s="1"/>
  <c r="K95" i="3"/>
  <c r="L94" i="3"/>
  <c r="Q94" i="3" s="1"/>
  <c r="K94" i="3"/>
  <c r="L93" i="3"/>
  <c r="Q93" i="3" s="1"/>
  <c r="K93" i="3"/>
  <c r="L92" i="3"/>
  <c r="Q92" i="3" s="1"/>
  <c r="K92" i="3"/>
  <c r="L91" i="3"/>
  <c r="Q91" i="3" s="1"/>
  <c r="K91" i="3"/>
  <c r="L90" i="3"/>
  <c r="Q90" i="3" s="1"/>
  <c r="K90" i="3"/>
  <c r="L89" i="3"/>
  <c r="Q89" i="3" s="1"/>
  <c r="K89" i="3"/>
  <c r="L88" i="3"/>
  <c r="Q88" i="3" s="1"/>
  <c r="K88" i="3"/>
  <c r="L87" i="3"/>
  <c r="Q87" i="3" s="1"/>
  <c r="K87" i="3"/>
  <c r="L86" i="3"/>
  <c r="Q86" i="3" s="1"/>
  <c r="K86" i="3"/>
  <c r="L85" i="3"/>
  <c r="Q85" i="3" s="1"/>
  <c r="K85" i="3"/>
  <c r="L84" i="3"/>
  <c r="Q84" i="3" s="1"/>
  <c r="K84" i="3"/>
  <c r="L83" i="3"/>
  <c r="Q83" i="3" s="1"/>
  <c r="K83" i="3"/>
  <c r="L82" i="3"/>
  <c r="Q82" i="3" s="1"/>
  <c r="K82" i="3"/>
  <c r="L81" i="3"/>
  <c r="Q81" i="3" s="1"/>
  <c r="K81" i="3"/>
  <c r="L80" i="3"/>
  <c r="Q80" i="3" s="1"/>
  <c r="K80" i="3"/>
  <c r="L79" i="3"/>
  <c r="Q79" i="3" s="1"/>
  <c r="K79" i="3"/>
  <c r="L78" i="3"/>
  <c r="Q78" i="3" s="1"/>
  <c r="K78" i="3"/>
  <c r="L77" i="3"/>
  <c r="Q77" i="3" s="1"/>
  <c r="K77" i="3"/>
  <c r="L76" i="3"/>
  <c r="Q76" i="3" s="1"/>
  <c r="K76" i="3"/>
  <c r="L75" i="3"/>
  <c r="Q75" i="3" s="1"/>
  <c r="K75" i="3"/>
  <c r="L74" i="3"/>
  <c r="Q74" i="3" s="1"/>
  <c r="K74" i="3"/>
  <c r="L73" i="3"/>
  <c r="Q73" i="3" s="1"/>
  <c r="K73" i="3"/>
  <c r="L72" i="3"/>
  <c r="Q72" i="3" s="1"/>
  <c r="K72" i="3"/>
  <c r="L71" i="3"/>
  <c r="Q71" i="3" s="1"/>
  <c r="K71" i="3"/>
  <c r="L70" i="3"/>
  <c r="Q70" i="3" s="1"/>
  <c r="K70" i="3"/>
  <c r="L69" i="3"/>
  <c r="Q69" i="3" s="1"/>
  <c r="K69" i="3"/>
  <c r="L68" i="3"/>
  <c r="Q68" i="3" s="1"/>
  <c r="K68" i="3"/>
  <c r="L67" i="3"/>
  <c r="Q67" i="3" s="1"/>
  <c r="K67" i="3"/>
  <c r="L66" i="3"/>
  <c r="Q66" i="3" s="1"/>
  <c r="K66" i="3"/>
  <c r="L65" i="3"/>
  <c r="Q65" i="3" s="1"/>
  <c r="K65" i="3"/>
  <c r="L64" i="3"/>
  <c r="Q64" i="3" s="1"/>
  <c r="K64" i="3"/>
  <c r="L63" i="3"/>
  <c r="Q63" i="3" s="1"/>
  <c r="K63" i="3"/>
  <c r="L62" i="3"/>
  <c r="Q62" i="3" s="1"/>
  <c r="K62" i="3"/>
  <c r="L61" i="3"/>
  <c r="Q61" i="3" s="1"/>
  <c r="K61" i="3"/>
  <c r="L60" i="3"/>
  <c r="Q60" i="3" s="1"/>
  <c r="K60" i="3"/>
  <c r="L59" i="3"/>
  <c r="Q59" i="3" s="1"/>
  <c r="K59" i="3"/>
  <c r="L58" i="3"/>
  <c r="Q58" i="3" s="1"/>
  <c r="K58" i="3"/>
  <c r="L57" i="3"/>
  <c r="Q57" i="3" s="1"/>
  <c r="K57" i="3"/>
  <c r="L56" i="3"/>
  <c r="Q56" i="3" s="1"/>
  <c r="K56" i="3"/>
  <c r="L55" i="3"/>
  <c r="Q55" i="3" s="1"/>
  <c r="K55" i="3"/>
  <c r="L54" i="3"/>
  <c r="Q54" i="3" s="1"/>
  <c r="K54" i="3"/>
  <c r="L53" i="3"/>
  <c r="Q53" i="3" s="1"/>
  <c r="K53" i="3"/>
  <c r="L52" i="3"/>
  <c r="Q52" i="3" s="1"/>
  <c r="K52" i="3"/>
  <c r="L51" i="3"/>
  <c r="Q51" i="3" s="1"/>
  <c r="K51" i="3"/>
  <c r="L50" i="3"/>
  <c r="Q50" i="3" s="1"/>
  <c r="K50" i="3"/>
  <c r="L49" i="3"/>
  <c r="Q49" i="3" s="1"/>
  <c r="K49" i="3"/>
  <c r="L48" i="3"/>
  <c r="Q48" i="3" s="1"/>
  <c r="K48" i="3"/>
  <c r="L47" i="3"/>
  <c r="Q47" i="3" s="1"/>
  <c r="K47" i="3"/>
  <c r="L46" i="3"/>
  <c r="Q46" i="3" s="1"/>
  <c r="K46" i="3"/>
  <c r="L45" i="3"/>
  <c r="Q45" i="3" s="1"/>
  <c r="K45" i="3"/>
  <c r="L44" i="3"/>
  <c r="Q44" i="3" s="1"/>
  <c r="K44" i="3"/>
  <c r="L43" i="3"/>
  <c r="Q43" i="3" s="1"/>
  <c r="K43" i="3"/>
  <c r="L42" i="3"/>
  <c r="Q42" i="3" s="1"/>
  <c r="K42" i="3"/>
  <c r="L41" i="3"/>
  <c r="Q41" i="3" s="1"/>
  <c r="K41" i="3"/>
  <c r="L40" i="3"/>
  <c r="Q40" i="3" s="1"/>
  <c r="K40" i="3"/>
  <c r="L39" i="3"/>
  <c r="Q39" i="3" s="1"/>
  <c r="K39" i="3"/>
  <c r="L38" i="3"/>
  <c r="Q38" i="3" s="1"/>
  <c r="K38" i="3"/>
  <c r="L37" i="3"/>
  <c r="Q37" i="3" s="1"/>
  <c r="K37" i="3"/>
  <c r="L36" i="3"/>
  <c r="Q36" i="3" s="1"/>
  <c r="K36" i="3"/>
  <c r="L35" i="3"/>
  <c r="Q35" i="3" s="1"/>
  <c r="K35" i="3"/>
  <c r="L34" i="3"/>
  <c r="Q34" i="3" s="1"/>
  <c r="K34" i="3"/>
  <c r="L33" i="3"/>
  <c r="Q33" i="3" s="1"/>
  <c r="K33" i="3"/>
  <c r="L32" i="3"/>
  <c r="Q32" i="3" s="1"/>
  <c r="K32" i="3"/>
  <c r="L31" i="3"/>
  <c r="Q31" i="3" s="1"/>
  <c r="K31" i="3"/>
  <c r="L30" i="3"/>
  <c r="Q30" i="3" s="1"/>
  <c r="K30" i="3"/>
  <c r="L29" i="3"/>
  <c r="Q29" i="3" s="1"/>
  <c r="K29" i="3"/>
  <c r="L28" i="3"/>
  <c r="Q28" i="3" s="1"/>
  <c r="K28" i="3"/>
  <c r="L27" i="3"/>
  <c r="Q27" i="3" s="1"/>
  <c r="K27" i="3"/>
  <c r="L26" i="3"/>
  <c r="Q26" i="3" s="1"/>
  <c r="K26" i="3"/>
  <c r="L25" i="3"/>
  <c r="Q25" i="3" s="1"/>
  <c r="K25" i="3"/>
  <c r="L24" i="3"/>
  <c r="Q24" i="3" s="1"/>
  <c r="K24" i="3"/>
  <c r="L23" i="3"/>
  <c r="Q23" i="3" s="1"/>
  <c r="K23" i="3"/>
  <c r="L22" i="3"/>
  <c r="Q22" i="3" s="1"/>
  <c r="K22" i="3"/>
  <c r="L21" i="3"/>
  <c r="Q21" i="3" s="1"/>
  <c r="K21" i="3"/>
  <c r="L20" i="3"/>
  <c r="Q20" i="3" s="1"/>
  <c r="K20" i="3"/>
  <c r="L19" i="3"/>
  <c r="Q19" i="3" s="1"/>
  <c r="K19" i="3"/>
  <c r="L18" i="3"/>
  <c r="Q18" i="3" s="1"/>
  <c r="K18" i="3"/>
  <c r="L17" i="3"/>
  <c r="Q17" i="3" s="1"/>
  <c r="K17" i="3"/>
  <c r="L16" i="3"/>
  <c r="Q16" i="3" s="1"/>
  <c r="K16" i="3"/>
  <c r="L15" i="3"/>
  <c r="Q15" i="3" s="1"/>
  <c r="K15" i="3"/>
  <c r="L14" i="3"/>
  <c r="Q14" i="3" s="1"/>
  <c r="K14" i="3"/>
  <c r="L13" i="3"/>
  <c r="Q13" i="3" s="1"/>
  <c r="K13" i="3"/>
  <c r="L12" i="3"/>
  <c r="Q12" i="3" s="1"/>
  <c r="K12" i="3"/>
  <c r="L11" i="3"/>
  <c r="Q11" i="3" s="1"/>
  <c r="K11" i="3"/>
  <c r="L10" i="3"/>
  <c r="Q10" i="3" s="1"/>
  <c r="K10" i="3"/>
  <c r="L9" i="3"/>
  <c r="Q9" i="3" s="1"/>
  <c r="K9" i="3"/>
  <c r="L8" i="3"/>
  <c r="Q8" i="3" s="1"/>
  <c r="K8" i="3"/>
  <c r="L7" i="3"/>
  <c r="Q7" i="3" s="1"/>
  <c r="K7" i="3"/>
  <c r="F96" i="226" l="1"/>
  <c r="G96" i="226" s="1"/>
  <c r="C97" i="226"/>
  <c r="B98" i="226"/>
  <c r="R7" i="3"/>
  <c r="A99" i="226"/>
  <c r="M12" i="3"/>
  <c r="M16" i="3"/>
  <c r="M13" i="3"/>
  <c r="M15" i="3"/>
  <c r="M14" i="3"/>
  <c r="V8" i="3"/>
  <c r="M10" i="3"/>
  <c r="V265" i="3"/>
  <c r="M267" i="3"/>
  <c r="V136" i="3"/>
  <c r="M138" i="3"/>
  <c r="V393" i="3"/>
  <c r="M395" i="3"/>
  <c r="V72" i="3"/>
  <c r="M74" i="3"/>
  <c r="V201" i="3"/>
  <c r="M203" i="3"/>
  <c r="V329" i="3"/>
  <c r="M331" i="3"/>
  <c r="V457" i="3"/>
  <c r="M459" i="3"/>
  <c r="V40" i="3"/>
  <c r="M42" i="3"/>
  <c r="V104" i="3"/>
  <c r="M106" i="3"/>
  <c r="V168" i="3"/>
  <c r="M170" i="3"/>
  <c r="V233" i="3"/>
  <c r="M235" i="3"/>
  <c r="V297" i="3"/>
  <c r="M299" i="3"/>
  <c r="V361" i="3"/>
  <c r="M363" i="3"/>
  <c r="V425" i="3"/>
  <c r="M427" i="3"/>
  <c r="V24" i="3"/>
  <c r="M26" i="3"/>
  <c r="V56" i="3"/>
  <c r="M58" i="3"/>
  <c r="V88" i="3"/>
  <c r="M90" i="3"/>
  <c r="V120" i="3"/>
  <c r="M122" i="3"/>
  <c r="V152" i="3"/>
  <c r="M154" i="3"/>
  <c r="V184" i="3"/>
  <c r="M186" i="3"/>
  <c r="V217" i="3"/>
  <c r="M219" i="3"/>
  <c r="V249" i="3"/>
  <c r="M251" i="3"/>
  <c r="V281" i="3"/>
  <c r="M283" i="3"/>
  <c r="V313" i="3"/>
  <c r="M315" i="3"/>
  <c r="V345" i="3"/>
  <c r="M347" i="3"/>
  <c r="V377" i="3"/>
  <c r="M379" i="3"/>
  <c r="V409" i="3"/>
  <c r="M411" i="3"/>
  <c r="V441" i="3"/>
  <c r="M443" i="3"/>
  <c r="V473" i="3"/>
  <c r="M475" i="3"/>
  <c r="V16" i="3"/>
  <c r="M18" i="3"/>
  <c r="V32" i="3"/>
  <c r="M34" i="3"/>
  <c r="V48" i="3"/>
  <c r="M50" i="3"/>
  <c r="V64" i="3"/>
  <c r="M66" i="3"/>
  <c r="V80" i="3"/>
  <c r="M82" i="3"/>
  <c r="V96" i="3"/>
  <c r="M98" i="3"/>
  <c r="V112" i="3"/>
  <c r="M114" i="3"/>
  <c r="V128" i="3"/>
  <c r="M130" i="3"/>
  <c r="V144" i="3"/>
  <c r="M146" i="3"/>
  <c r="V160" i="3"/>
  <c r="M162" i="3"/>
  <c r="V176" i="3"/>
  <c r="M178" i="3"/>
  <c r="V192" i="3"/>
  <c r="V193" i="3"/>
  <c r="M195" i="3"/>
  <c r="V209" i="3"/>
  <c r="M211" i="3"/>
  <c r="V225" i="3"/>
  <c r="M227" i="3"/>
  <c r="V241" i="3"/>
  <c r="M243" i="3"/>
  <c r="V257" i="3"/>
  <c r="M259" i="3"/>
  <c r="V273" i="3"/>
  <c r="M275" i="3"/>
  <c r="V289" i="3"/>
  <c r="M291" i="3"/>
  <c r="V305" i="3"/>
  <c r="M307" i="3"/>
  <c r="V321" i="3"/>
  <c r="M323" i="3"/>
  <c r="V337" i="3"/>
  <c r="M339" i="3"/>
  <c r="V353" i="3"/>
  <c r="M355" i="3"/>
  <c r="V369" i="3"/>
  <c r="M371" i="3"/>
  <c r="V385" i="3"/>
  <c r="M387" i="3"/>
  <c r="V401" i="3"/>
  <c r="M403" i="3"/>
  <c r="V417" i="3"/>
  <c r="M419" i="3"/>
  <c r="V433" i="3"/>
  <c r="M435" i="3"/>
  <c r="V449" i="3"/>
  <c r="M451" i="3"/>
  <c r="V465" i="3"/>
  <c r="M467" i="3"/>
  <c r="V12" i="3"/>
  <c r="V20" i="3"/>
  <c r="M22" i="3"/>
  <c r="V28" i="3"/>
  <c r="M30" i="3"/>
  <c r="V36" i="3"/>
  <c r="M38" i="3"/>
  <c r="V44" i="3"/>
  <c r="M46" i="3"/>
  <c r="V52" i="3"/>
  <c r="M54" i="3"/>
  <c r="V60" i="3"/>
  <c r="M62" i="3"/>
  <c r="V68" i="3"/>
  <c r="M70" i="3"/>
  <c r="V76" i="3"/>
  <c r="M78" i="3"/>
  <c r="V84" i="3"/>
  <c r="M86" i="3"/>
  <c r="V92" i="3"/>
  <c r="M94" i="3"/>
  <c r="V100" i="3"/>
  <c r="M102" i="3"/>
  <c r="V108" i="3"/>
  <c r="M110" i="3"/>
  <c r="V116" i="3"/>
  <c r="M118" i="3"/>
  <c r="V124" i="3"/>
  <c r="M126" i="3"/>
  <c r="V132" i="3"/>
  <c r="M134" i="3"/>
  <c r="V140" i="3"/>
  <c r="M142" i="3"/>
  <c r="V148" i="3"/>
  <c r="M150" i="3"/>
  <c r="V156" i="3"/>
  <c r="M158" i="3"/>
  <c r="V164" i="3"/>
  <c r="M166" i="3"/>
  <c r="V172" i="3"/>
  <c r="M174" i="3"/>
  <c r="V180" i="3"/>
  <c r="M182" i="3"/>
  <c r="V188" i="3"/>
  <c r="M190" i="3"/>
  <c r="V197" i="3"/>
  <c r="M199" i="3"/>
  <c r="V205" i="3"/>
  <c r="M207" i="3"/>
  <c r="V213" i="3"/>
  <c r="M215" i="3"/>
  <c r="V221" i="3"/>
  <c r="M223" i="3"/>
  <c r="V229" i="3"/>
  <c r="M231" i="3"/>
  <c r="V237" i="3"/>
  <c r="M239" i="3"/>
  <c r="V245" i="3"/>
  <c r="M247" i="3"/>
  <c r="V253" i="3"/>
  <c r="M255" i="3"/>
  <c r="V261" i="3"/>
  <c r="M263" i="3"/>
  <c r="V269" i="3"/>
  <c r="M271" i="3"/>
  <c r="V277" i="3"/>
  <c r="M279" i="3"/>
  <c r="V285" i="3"/>
  <c r="M287" i="3"/>
  <c r="V293" i="3"/>
  <c r="M295" i="3"/>
  <c r="V301" i="3"/>
  <c r="M303" i="3"/>
  <c r="V309" i="3"/>
  <c r="M311" i="3"/>
  <c r="V317" i="3"/>
  <c r="M319" i="3"/>
  <c r="V325" i="3"/>
  <c r="M327" i="3"/>
  <c r="V333" i="3"/>
  <c r="M335" i="3"/>
  <c r="V341" i="3"/>
  <c r="M343" i="3"/>
  <c r="V349" i="3"/>
  <c r="M351" i="3"/>
  <c r="V357" i="3"/>
  <c r="M359" i="3"/>
  <c r="V365" i="3"/>
  <c r="M367" i="3"/>
  <c r="V373" i="3"/>
  <c r="M375" i="3"/>
  <c r="V381" i="3"/>
  <c r="M383" i="3"/>
  <c r="V389" i="3"/>
  <c r="M391" i="3"/>
  <c r="V397" i="3"/>
  <c r="M399" i="3"/>
  <c r="V405" i="3"/>
  <c r="M407" i="3"/>
  <c r="V413" i="3"/>
  <c r="M415" i="3"/>
  <c r="V421" i="3"/>
  <c r="M423" i="3"/>
  <c r="V429" i="3"/>
  <c r="M431" i="3"/>
  <c r="V437" i="3"/>
  <c r="M439" i="3"/>
  <c r="V445" i="3"/>
  <c r="M447" i="3"/>
  <c r="V453" i="3"/>
  <c r="M455" i="3"/>
  <c r="V461" i="3"/>
  <c r="M463" i="3"/>
  <c r="V469" i="3"/>
  <c r="M471" i="3"/>
  <c r="V477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M8" i="3"/>
  <c r="R8" i="3"/>
  <c r="V10" i="3"/>
  <c r="R12" i="3"/>
  <c r="V14" i="3"/>
  <c r="R16" i="3"/>
  <c r="V18" i="3"/>
  <c r="M20" i="3"/>
  <c r="R20" i="3"/>
  <c r="V22" i="3"/>
  <c r="M24" i="3"/>
  <c r="R24" i="3"/>
  <c r="V26" i="3"/>
  <c r="M28" i="3"/>
  <c r="R28" i="3"/>
  <c r="V30" i="3"/>
  <c r="M32" i="3"/>
  <c r="R32" i="3"/>
  <c r="V34" i="3"/>
  <c r="M36" i="3"/>
  <c r="R36" i="3"/>
  <c r="V38" i="3"/>
  <c r="M40" i="3"/>
  <c r="R40" i="3"/>
  <c r="V42" i="3"/>
  <c r="M44" i="3"/>
  <c r="R44" i="3"/>
  <c r="V46" i="3"/>
  <c r="M48" i="3"/>
  <c r="R48" i="3"/>
  <c r="V50" i="3"/>
  <c r="M52" i="3"/>
  <c r="R52" i="3"/>
  <c r="V54" i="3"/>
  <c r="M56" i="3"/>
  <c r="R56" i="3"/>
  <c r="V58" i="3"/>
  <c r="M60" i="3"/>
  <c r="R60" i="3"/>
  <c r="V62" i="3"/>
  <c r="M64" i="3"/>
  <c r="R64" i="3"/>
  <c r="V66" i="3"/>
  <c r="M68" i="3"/>
  <c r="R68" i="3"/>
  <c r="V70" i="3"/>
  <c r="M72" i="3"/>
  <c r="R72" i="3"/>
  <c r="V74" i="3"/>
  <c r="M76" i="3"/>
  <c r="R76" i="3"/>
  <c r="V78" i="3"/>
  <c r="M80" i="3"/>
  <c r="R80" i="3"/>
  <c r="V82" i="3"/>
  <c r="M84" i="3"/>
  <c r="R84" i="3"/>
  <c r="V86" i="3"/>
  <c r="M88" i="3"/>
  <c r="R88" i="3"/>
  <c r="V90" i="3"/>
  <c r="M92" i="3"/>
  <c r="R92" i="3"/>
  <c r="V94" i="3"/>
  <c r="M96" i="3"/>
  <c r="R96" i="3"/>
  <c r="V98" i="3"/>
  <c r="M100" i="3"/>
  <c r="R100" i="3"/>
  <c r="V102" i="3"/>
  <c r="M104" i="3"/>
  <c r="R104" i="3"/>
  <c r="V106" i="3"/>
  <c r="M108" i="3"/>
  <c r="R108" i="3"/>
  <c r="V110" i="3"/>
  <c r="M112" i="3"/>
  <c r="R112" i="3"/>
  <c r="V114" i="3"/>
  <c r="M116" i="3"/>
  <c r="R116" i="3"/>
  <c r="V118" i="3"/>
  <c r="M120" i="3"/>
  <c r="R120" i="3"/>
  <c r="V122" i="3"/>
  <c r="M124" i="3"/>
  <c r="R124" i="3"/>
  <c r="V126" i="3"/>
  <c r="M128" i="3"/>
  <c r="R128" i="3"/>
  <c r="V130" i="3"/>
  <c r="M132" i="3"/>
  <c r="R132" i="3"/>
  <c r="V134" i="3"/>
  <c r="M136" i="3"/>
  <c r="R136" i="3"/>
  <c r="V138" i="3"/>
  <c r="M140" i="3"/>
  <c r="R140" i="3"/>
  <c r="V142" i="3"/>
  <c r="M144" i="3"/>
  <c r="R144" i="3"/>
  <c r="V146" i="3"/>
  <c r="M148" i="3"/>
  <c r="R148" i="3"/>
  <c r="V150" i="3"/>
  <c r="M152" i="3"/>
  <c r="R152" i="3"/>
  <c r="V154" i="3"/>
  <c r="M156" i="3"/>
  <c r="R156" i="3"/>
  <c r="V158" i="3"/>
  <c r="M160" i="3"/>
  <c r="R160" i="3"/>
  <c r="V162" i="3"/>
  <c r="M164" i="3"/>
  <c r="R164" i="3"/>
  <c r="V166" i="3"/>
  <c r="M168" i="3"/>
  <c r="R168" i="3"/>
  <c r="V170" i="3"/>
  <c r="M172" i="3"/>
  <c r="R172" i="3"/>
  <c r="V174" i="3"/>
  <c r="M176" i="3"/>
  <c r="R176" i="3"/>
  <c r="V178" i="3"/>
  <c r="M180" i="3"/>
  <c r="R180" i="3"/>
  <c r="V182" i="3"/>
  <c r="M184" i="3"/>
  <c r="R184" i="3"/>
  <c r="V186" i="3"/>
  <c r="M188" i="3"/>
  <c r="R188" i="3"/>
  <c r="V190" i="3"/>
  <c r="M192" i="3"/>
  <c r="R192" i="3"/>
  <c r="M193" i="3"/>
  <c r="R193" i="3"/>
  <c r="V195" i="3"/>
  <c r="M197" i="3"/>
  <c r="R197" i="3"/>
  <c r="V199" i="3"/>
  <c r="M201" i="3"/>
  <c r="R201" i="3"/>
  <c r="V203" i="3"/>
  <c r="M205" i="3"/>
  <c r="R205" i="3"/>
  <c r="V207" i="3"/>
  <c r="M209" i="3"/>
  <c r="R209" i="3"/>
  <c r="V211" i="3"/>
  <c r="M213" i="3"/>
  <c r="R213" i="3"/>
  <c r="V215" i="3"/>
  <c r="M217" i="3"/>
  <c r="R217" i="3"/>
  <c r="V219" i="3"/>
  <c r="M221" i="3"/>
  <c r="R221" i="3"/>
  <c r="V223" i="3"/>
  <c r="M225" i="3"/>
  <c r="R225" i="3"/>
  <c r="V227" i="3"/>
  <c r="M229" i="3"/>
  <c r="R229" i="3"/>
  <c r="V231" i="3"/>
  <c r="M233" i="3"/>
  <c r="R233" i="3"/>
  <c r="V235" i="3"/>
  <c r="M237" i="3"/>
  <c r="R237" i="3"/>
  <c r="V239" i="3"/>
  <c r="M241" i="3"/>
  <c r="R241" i="3"/>
  <c r="V243" i="3"/>
  <c r="M245" i="3"/>
  <c r="R245" i="3"/>
  <c r="V247" i="3"/>
  <c r="M249" i="3"/>
  <c r="R249" i="3"/>
  <c r="V251" i="3"/>
  <c r="M253" i="3"/>
  <c r="R253" i="3"/>
  <c r="V255" i="3"/>
  <c r="M257" i="3"/>
  <c r="R257" i="3"/>
  <c r="V259" i="3"/>
  <c r="M261" i="3"/>
  <c r="R261" i="3"/>
  <c r="V263" i="3"/>
  <c r="M265" i="3"/>
  <c r="R265" i="3"/>
  <c r="V267" i="3"/>
  <c r="M269" i="3"/>
  <c r="R269" i="3"/>
  <c r="V271" i="3"/>
  <c r="M273" i="3"/>
  <c r="R273" i="3"/>
  <c r="V275" i="3"/>
  <c r="M277" i="3"/>
  <c r="R277" i="3"/>
  <c r="V279" i="3"/>
  <c r="M281" i="3"/>
  <c r="R281" i="3"/>
  <c r="V283" i="3"/>
  <c r="M285" i="3"/>
  <c r="R285" i="3"/>
  <c r="V287" i="3"/>
  <c r="M289" i="3"/>
  <c r="R289" i="3"/>
  <c r="V291" i="3"/>
  <c r="M293" i="3"/>
  <c r="R293" i="3"/>
  <c r="V295" i="3"/>
  <c r="M297" i="3"/>
  <c r="R297" i="3"/>
  <c r="V299" i="3"/>
  <c r="M301" i="3"/>
  <c r="R301" i="3"/>
  <c r="V303" i="3"/>
  <c r="M305" i="3"/>
  <c r="R305" i="3"/>
  <c r="V307" i="3"/>
  <c r="M309" i="3"/>
  <c r="R309" i="3"/>
  <c r="V311" i="3"/>
  <c r="M313" i="3"/>
  <c r="R313" i="3"/>
  <c r="V315" i="3"/>
  <c r="M317" i="3"/>
  <c r="R317" i="3"/>
  <c r="V319" i="3"/>
  <c r="M321" i="3"/>
  <c r="R321" i="3"/>
  <c r="V323" i="3"/>
  <c r="M325" i="3"/>
  <c r="R325" i="3"/>
  <c r="V327" i="3"/>
  <c r="M329" i="3"/>
  <c r="R329" i="3"/>
  <c r="V331" i="3"/>
  <c r="M333" i="3"/>
  <c r="R333" i="3"/>
  <c r="V335" i="3"/>
  <c r="M337" i="3"/>
  <c r="R337" i="3"/>
  <c r="V339" i="3"/>
  <c r="M341" i="3"/>
  <c r="R341" i="3"/>
  <c r="V343" i="3"/>
  <c r="M345" i="3"/>
  <c r="R345" i="3"/>
  <c r="V347" i="3"/>
  <c r="M349" i="3"/>
  <c r="R349" i="3"/>
  <c r="V351" i="3"/>
  <c r="M353" i="3"/>
  <c r="R353" i="3"/>
  <c r="V355" i="3"/>
  <c r="M357" i="3"/>
  <c r="R357" i="3"/>
  <c r="V359" i="3"/>
  <c r="M361" i="3"/>
  <c r="R361" i="3"/>
  <c r="V363" i="3"/>
  <c r="M365" i="3"/>
  <c r="R365" i="3"/>
  <c r="V367" i="3"/>
  <c r="M369" i="3"/>
  <c r="R369" i="3"/>
  <c r="V371" i="3"/>
  <c r="M373" i="3"/>
  <c r="R373" i="3"/>
  <c r="V375" i="3"/>
  <c r="M377" i="3"/>
  <c r="R377" i="3"/>
  <c r="V379" i="3"/>
  <c r="M381" i="3"/>
  <c r="R381" i="3"/>
  <c r="V383" i="3"/>
  <c r="M385" i="3"/>
  <c r="R385" i="3"/>
  <c r="V387" i="3"/>
  <c r="M389" i="3"/>
  <c r="R389" i="3"/>
  <c r="V391" i="3"/>
  <c r="M393" i="3"/>
  <c r="R393" i="3"/>
  <c r="V395" i="3"/>
  <c r="M397" i="3"/>
  <c r="R397" i="3"/>
  <c r="V399" i="3"/>
  <c r="M401" i="3"/>
  <c r="R401" i="3"/>
  <c r="V403" i="3"/>
  <c r="M405" i="3"/>
  <c r="R405" i="3"/>
  <c r="V407" i="3"/>
  <c r="M409" i="3"/>
  <c r="R409" i="3"/>
  <c r="V411" i="3"/>
  <c r="M413" i="3"/>
  <c r="R413" i="3"/>
  <c r="V415" i="3"/>
  <c r="M417" i="3"/>
  <c r="R417" i="3"/>
  <c r="V419" i="3"/>
  <c r="M421" i="3"/>
  <c r="R421" i="3"/>
  <c r="V423" i="3"/>
  <c r="M425" i="3"/>
  <c r="R425" i="3"/>
  <c r="V427" i="3"/>
  <c r="M429" i="3"/>
  <c r="R429" i="3"/>
  <c r="V431" i="3"/>
  <c r="M433" i="3"/>
  <c r="R433" i="3"/>
  <c r="V435" i="3"/>
  <c r="M437" i="3"/>
  <c r="R437" i="3"/>
  <c r="V439" i="3"/>
  <c r="M441" i="3"/>
  <c r="R441" i="3"/>
  <c r="V443" i="3"/>
  <c r="M445" i="3"/>
  <c r="R445" i="3"/>
  <c r="V447" i="3"/>
  <c r="M449" i="3"/>
  <c r="R449" i="3"/>
  <c r="V451" i="3"/>
  <c r="M453" i="3"/>
  <c r="R453" i="3"/>
  <c r="V455" i="3"/>
  <c r="M457" i="3"/>
  <c r="R457" i="3"/>
  <c r="V459" i="3"/>
  <c r="M461" i="3"/>
  <c r="R461" i="3"/>
  <c r="V463" i="3"/>
  <c r="M465" i="3"/>
  <c r="R465" i="3"/>
  <c r="V467" i="3"/>
  <c r="M469" i="3"/>
  <c r="R469" i="3"/>
  <c r="V471" i="3"/>
  <c r="M473" i="3"/>
  <c r="R473" i="3"/>
  <c r="V475" i="3"/>
  <c r="M477" i="3"/>
  <c r="R477" i="3"/>
  <c r="R479" i="3"/>
  <c r="M479" i="3"/>
  <c r="V479" i="3"/>
  <c r="R481" i="3"/>
  <c r="M481" i="3"/>
  <c r="V481" i="3"/>
  <c r="R480" i="3"/>
  <c r="M480" i="3"/>
  <c r="V480" i="3"/>
  <c r="R482" i="3"/>
  <c r="M482" i="3"/>
  <c r="V482" i="3"/>
  <c r="V7" i="3"/>
  <c r="V9" i="3"/>
  <c r="V11" i="3"/>
  <c r="V25" i="3"/>
  <c r="V27" i="3"/>
  <c r="V33" i="3"/>
  <c r="V35" i="3"/>
  <c r="V37" i="3"/>
  <c r="V39" i="3"/>
  <c r="V41" i="3"/>
  <c r="V43" i="3"/>
  <c r="V45" i="3"/>
  <c r="V47" i="3"/>
  <c r="V49" i="3"/>
  <c r="V51" i="3"/>
  <c r="V53" i="3"/>
  <c r="V55" i="3"/>
  <c r="V57" i="3"/>
  <c r="V59" i="3"/>
  <c r="V61" i="3"/>
  <c r="V63" i="3"/>
  <c r="V65" i="3"/>
  <c r="V67" i="3"/>
  <c r="V69" i="3"/>
  <c r="V71" i="3"/>
  <c r="V73" i="3"/>
  <c r="V75" i="3"/>
  <c r="V77" i="3"/>
  <c r="V79" i="3"/>
  <c r="V81" i="3"/>
  <c r="V83" i="3"/>
  <c r="V85" i="3"/>
  <c r="V87" i="3"/>
  <c r="V89" i="3"/>
  <c r="V91" i="3"/>
  <c r="V93" i="3"/>
  <c r="V95" i="3"/>
  <c r="V97" i="3"/>
  <c r="V99" i="3"/>
  <c r="V101" i="3"/>
  <c r="V103" i="3"/>
  <c r="V105" i="3"/>
  <c r="V107" i="3"/>
  <c r="V109" i="3"/>
  <c r="V111" i="3"/>
  <c r="V113" i="3"/>
  <c r="V115" i="3"/>
  <c r="V117" i="3"/>
  <c r="V119" i="3"/>
  <c r="V121" i="3"/>
  <c r="V123" i="3"/>
  <c r="V125" i="3"/>
  <c r="V127" i="3"/>
  <c r="V129" i="3"/>
  <c r="V131" i="3"/>
  <c r="V133" i="3"/>
  <c r="V135" i="3"/>
  <c r="V137" i="3"/>
  <c r="V139" i="3"/>
  <c r="V141" i="3"/>
  <c r="V143" i="3"/>
  <c r="V145" i="3"/>
  <c r="V147" i="3"/>
  <c r="V149" i="3"/>
  <c r="V151" i="3"/>
  <c r="V153" i="3"/>
  <c r="V155" i="3"/>
  <c r="V157" i="3"/>
  <c r="V159" i="3"/>
  <c r="V161" i="3"/>
  <c r="V163" i="3"/>
  <c r="V165" i="3"/>
  <c r="V167" i="3"/>
  <c r="V169" i="3"/>
  <c r="V171" i="3"/>
  <c r="V173" i="3"/>
  <c r="V175" i="3"/>
  <c r="V177" i="3"/>
  <c r="V179" i="3"/>
  <c r="V181" i="3"/>
  <c r="V183" i="3"/>
  <c r="V185" i="3"/>
  <c r="V187" i="3"/>
  <c r="V189" i="3"/>
  <c r="V191" i="3"/>
  <c r="V194" i="3"/>
  <c r="V196" i="3"/>
  <c r="V198" i="3"/>
  <c r="V200" i="3"/>
  <c r="V202" i="3"/>
  <c r="V204" i="3"/>
  <c r="V206" i="3"/>
  <c r="V208" i="3"/>
  <c r="V210" i="3"/>
  <c r="V212" i="3"/>
  <c r="V214" i="3"/>
  <c r="V216" i="3"/>
  <c r="V218" i="3"/>
  <c r="V220" i="3"/>
  <c r="V222" i="3"/>
  <c r="V224" i="3"/>
  <c r="V226" i="3"/>
  <c r="V228" i="3"/>
  <c r="V230" i="3"/>
  <c r="V232" i="3"/>
  <c r="V234" i="3"/>
  <c r="V236" i="3"/>
  <c r="V238" i="3"/>
  <c r="V240" i="3"/>
  <c r="V242" i="3"/>
  <c r="V244" i="3"/>
  <c r="V246" i="3"/>
  <c r="V248" i="3"/>
  <c r="V250" i="3"/>
  <c r="V252" i="3"/>
  <c r="V254" i="3"/>
  <c r="V256" i="3"/>
  <c r="V258" i="3"/>
  <c r="V260" i="3"/>
  <c r="V262" i="3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V306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0" i="3"/>
  <c r="V462" i="3"/>
  <c r="V464" i="3"/>
  <c r="V466" i="3"/>
  <c r="V468" i="3"/>
  <c r="V470" i="3"/>
  <c r="V472" i="3"/>
  <c r="V474" i="3"/>
  <c r="V476" i="3"/>
  <c r="V478" i="3"/>
  <c r="L483" i="3"/>
  <c r="V13" i="3"/>
  <c r="V15" i="3"/>
  <c r="V17" i="3"/>
  <c r="V19" i="3"/>
  <c r="V21" i="3"/>
  <c r="V23" i="3"/>
  <c r="V29" i="3"/>
  <c r="V31" i="3"/>
  <c r="M7" i="3"/>
  <c r="M9" i="3"/>
  <c r="R9" i="3"/>
  <c r="M11" i="3"/>
  <c r="R11" i="3"/>
  <c r="R13" i="3"/>
  <c r="R15" i="3"/>
  <c r="M17" i="3"/>
  <c r="R17" i="3"/>
  <c r="M19" i="3"/>
  <c r="R19" i="3"/>
  <c r="M21" i="3"/>
  <c r="R21" i="3"/>
  <c r="M23" i="3"/>
  <c r="R23" i="3"/>
  <c r="M25" i="3"/>
  <c r="R25" i="3"/>
  <c r="M27" i="3"/>
  <c r="R27" i="3"/>
  <c r="M29" i="3"/>
  <c r="R29" i="3"/>
  <c r="M31" i="3"/>
  <c r="R31" i="3"/>
  <c r="M33" i="3"/>
  <c r="R33" i="3"/>
  <c r="M35" i="3"/>
  <c r="R35" i="3"/>
  <c r="M37" i="3"/>
  <c r="R37" i="3"/>
  <c r="M39" i="3"/>
  <c r="R39" i="3"/>
  <c r="M41" i="3"/>
  <c r="R41" i="3"/>
  <c r="M43" i="3"/>
  <c r="R43" i="3"/>
  <c r="M45" i="3"/>
  <c r="R45" i="3"/>
  <c r="M47" i="3"/>
  <c r="R47" i="3"/>
  <c r="M49" i="3"/>
  <c r="R49" i="3"/>
  <c r="M51" i="3"/>
  <c r="R51" i="3"/>
  <c r="M53" i="3"/>
  <c r="R53" i="3"/>
  <c r="M55" i="3"/>
  <c r="R55" i="3"/>
  <c r="M57" i="3"/>
  <c r="R57" i="3"/>
  <c r="M59" i="3"/>
  <c r="R59" i="3"/>
  <c r="M61" i="3"/>
  <c r="R61" i="3"/>
  <c r="M63" i="3"/>
  <c r="R63" i="3"/>
  <c r="M65" i="3"/>
  <c r="R65" i="3"/>
  <c r="M67" i="3"/>
  <c r="R67" i="3"/>
  <c r="M69" i="3"/>
  <c r="R69" i="3"/>
  <c r="M71" i="3"/>
  <c r="R71" i="3"/>
  <c r="M73" i="3"/>
  <c r="R73" i="3"/>
  <c r="M75" i="3"/>
  <c r="R75" i="3"/>
  <c r="M77" i="3"/>
  <c r="R77" i="3"/>
  <c r="M79" i="3"/>
  <c r="R79" i="3"/>
  <c r="M81" i="3"/>
  <c r="R81" i="3"/>
  <c r="M83" i="3"/>
  <c r="R83" i="3"/>
  <c r="M85" i="3"/>
  <c r="R85" i="3"/>
  <c r="M87" i="3"/>
  <c r="R87" i="3"/>
  <c r="M89" i="3"/>
  <c r="R89" i="3"/>
  <c r="M91" i="3"/>
  <c r="R91" i="3"/>
  <c r="M93" i="3"/>
  <c r="R93" i="3"/>
  <c r="M95" i="3"/>
  <c r="R95" i="3"/>
  <c r="M97" i="3"/>
  <c r="R97" i="3"/>
  <c r="M99" i="3"/>
  <c r="R99" i="3"/>
  <c r="M101" i="3"/>
  <c r="R101" i="3"/>
  <c r="M103" i="3"/>
  <c r="R103" i="3"/>
  <c r="M105" i="3"/>
  <c r="R105" i="3"/>
  <c r="M107" i="3"/>
  <c r="R107" i="3"/>
  <c r="M109" i="3"/>
  <c r="R109" i="3"/>
  <c r="M111" i="3"/>
  <c r="R111" i="3"/>
  <c r="M113" i="3"/>
  <c r="R113" i="3"/>
  <c r="M115" i="3"/>
  <c r="R115" i="3"/>
  <c r="M117" i="3"/>
  <c r="R117" i="3"/>
  <c r="M119" i="3"/>
  <c r="R119" i="3"/>
  <c r="M121" i="3"/>
  <c r="R121" i="3"/>
  <c r="M123" i="3"/>
  <c r="R123" i="3"/>
  <c r="M125" i="3"/>
  <c r="R125" i="3"/>
  <c r="M127" i="3"/>
  <c r="R127" i="3"/>
  <c r="M129" i="3"/>
  <c r="R129" i="3"/>
  <c r="M131" i="3"/>
  <c r="R131" i="3"/>
  <c r="M133" i="3"/>
  <c r="R133" i="3"/>
  <c r="M135" i="3"/>
  <c r="R135" i="3"/>
  <c r="M137" i="3"/>
  <c r="R137" i="3"/>
  <c r="M139" i="3"/>
  <c r="R139" i="3"/>
  <c r="M141" i="3"/>
  <c r="R141" i="3"/>
  <c r="M143" i="3"/>
  <c r="R143" i="3"/>
  <c r="M145" i="3"/>
  <c r="R145" i="3"/>
  <c r="M147" i="3"/>
  <c r="R147" i="3"/>
  <c r="M149" i="3"/>
  <c r="R149" i="3"/>
  <c r="M151" i="3"/>
  <c r="R151" i="3"/>
  <c r="M153" i="3"/>
  <c r="R153" i="3"/>
  <c r="M155" i="3"/>
  <c r="R155" i="3"/>
  <c r="M157" i="3"/>
  <c r="R157" i="3"/>
  <c r="M159" i="3"/>
  <c r="R159" i="3"/>
  <c r="M161" i="3"/>
  <c r="R161" i="3"/>
  <c r="M163" i="3"/>
  <c r="R163" i="3"/>
  <c r="M165" i="3"/>
  <c r="R165" i="3"/>
  <c r="M167" i="3"/>
  <c r="R167" i="3"/>
  <c r="M169" i="3"/>
  <c r="R169" i="3"/>
  <c r="M171" i="3"/>
  <c r="R171" i="3"/>
  <c r="M173" i="3"/>
  <c r="R173" i="3"/>
  <c r="M175" i="3"/>
  <c r="R175" i="3"/>
  <c r="M177" i="3"/>
  <c r="R177" i="3"/>
  <c r="M179" i="3"/>
  <c r="R179" i="3"/>
  <c r="M181" i="3"/>
  <c r="R181" i="3"/>
  <c r="M183" i="3"/>
  <c r="R183" i="3"/>
  <c r="M185" i="3"/>
  <c r="R185" i="3"/>
  <c r="M187" i="3"/>
  <c r="R187" i="3"/>
  <c r="M189" i="3"/>
  <c r="R189" i="3"/>
  <c r="M191" i="3"/>
  <c r="R191" i="3"/>
  <c r="M194" i="3"/>
  <c r="R194" i="3"/>
  <c r="M196" i="3"/>
  <c r="R196" i="3"/>
  <c r="M198" i="3"/>
  <c r="R198" i="3"/>
  <c r="M200" i="3"/>
  <c r="R200" i="3"/>
  <c r="M202" i="3"/>
  <c r="R202" i="3"/>
  <c r="M204" i="3"/>
  <c r="R204" i="3"/>
  <c r="M206" i="3"/>
  <c r="R206" i="3"/>
  <c r="M208" i="3"/>
  <c r="R208" i="3"/>
  <c r="M210" i="3"/>
  <c r="R210" i="3"/>
  <c r="M212" i="3"/>
  <c r="R212" i="3"/>
  <c r="M214" i="3"/>
  <c r="R214" i="3"/>
  <c r="M216" i="3"/>
  <c r="R216" i="3"/>
  <c r="M218" i="3"/>
  <c r="R218" i="3"/>
  <c r="M220" i="3"/>
  <c r="R220" i="3"/>
  <c r="M222" i="3"/>
  <c r="R222" i="3"/>
  <c r="M224" i="3"/>
  <c r="R224" i="3"/>
  <c r="M226" i="3"/>
  <c r="R226" i="3"/>
  <c r="M228" i="3"/>
  <c r="R228" i="3"/>
  <c r="M230" i="3"/>
  <c r="R230" i="3"/>
  <c r="M232" i="3"/>
  <c r="R232" i="3"/>
  <c r="M234" i="3"/>
  <c r="R234" i="3"/>
  <c r="M236" i="3"/>
  <c r="R236" i="3"/>
  <c r="M238" i="3"/>
  <c r="R238" i="3"/>
  <c r="M240" i="3"/>
  <c r="R240" i="3"/>
  <c r="M242" i="3"/>
  <c r="R242" i="3"/>
  <c r="M244" i="3"/>
  <c r="R244" i="3"/>
  <c r="M246" i="3"/>
  <c r="R246" i="3"/>
  <c r="M248" i="3"/>
  <c r="R248" i="3"/>
  <c r="M250" i="3"/>
  <c r="R250" i="3"/>
  <c r="M252" i="3"/>
  <c r="R252" i="3"/>
  <c r="M254" i="3"/>
  <c r="R254" i="3"/>
  <c r="M256" i="3"/>
  <c r="R256" i="3"/>
  <c r="M258" i="3"/>
  <c r="R258" i="3"/>
  <c r="M260" i="3"/>
  <c r="R260" i="3"/>
  <c r="M262" i="3"/>
  <c r="R262" i="3"/>
  <c r="M264" i="3"/>
  <c r="R264" i="3"/>
  <c r="M266" i="3"/>
  <c r="R266" i="3"/>
  <c r="M268" i="3"/>
  <c r="R268" i="3"/>
  <c r="M270" i="3"/>
  <c r="R270" i="3"/>
  <c r="M272" i="3"/>
  <c r="R272" i="3"/>
  <c r="M274" i="3"/>
  <c r="R274" i="3"/>
  <c r="M276" i="3"/>
  <c r="R276" i="3"/>
  <c r="M278" i="3"/>
  <c r="R278" i="3"/>
  <c r="M280" i="3"/>
  <c r="R280" i="3"/>
  <c r="M282" i="3"/>
  <c r="R282" i="3"/>
  <c r="M284" i="3"/>
  <c r="R284" i="3"/>
  <c r="M286" i="3"/>
  <c r="R286" i="3"/>
  <c r="M288" i="3"/>
  <c r="R288" i="3"/>
  <c r="M290" i="3"/>
  <c r="R290" i="3"/>
  <c r="M292" i="3"/>
  <c r="R292" i="3"/>
  <c r="M294" i="3"/>
  <c r="R294" i="3"/>
  <c r="M296" i="3"/>
  <c r="R296" i="3"/>
  <c r="M298" i="3"/>
  <c r="R298" i="3"/>
  <c r="M300" i="3"/>
  <c r="R300" i="3"/>
  <c r="M302" i="3"/>
  <c r="R302" i="3"/>
  <c r="M304" i="3"/>
  <c r="R304" i="3"/>
  <c r="M306" i="3"/>
  <c r="R306" i="3"/>
  <c r="M308" i="3"/>
  <c r="R308" i="3"/>
  <c r="M310" i="3"/>
  <c r="R310" i="3"/>
  <c r="M312" i="3"/>
  <c r="R312" i="3"/>
  <c r="M314" i="3"/>
  <c r="R314" i="3"/>
  <c r="M316" i="3"/>
  <c r="R316" i="3"/>
  <c r="M318" i="3"/>
  <c r="R318" i="3"/>
  <c r="M320" i="3"/>
  <c r="R320" i="3"/>
  <c r="M322" i="3"/>
  <c r="R322" i="3"/>
  <c r="M324" i="3"/>
  <c r="R324" i="3"/>
  <c r="M326" i="3"/>
  <c r="R326" i="3"/>
  <c r="M328" i="3"/>
  <c r="R328" i="3"/>
  <c r="M330" i="3"/>
  <c r="R330" i="3"/>
  <c r="M332" i="3"/>
  <c r="R332" i="3"/>
  <c r="M334" i="3"/>
  <c r="R334" i="3"/>
  <c r="M336" i="3"/>
  <c r="R336" i="3"/>
  <c r="M338" i="3"/>
  <c r="R338" i="3"/>
  <c r="M340" i="3"/>
  <c r="R340" i="3"/>
  <c r="M342" i="3"/>
  <c r="R342" i="3"/>
  <c r="M344" i="3"/>
  <c r="R344" i="3"/>
  <c r="M346" i="3"/>
  <c r="R346" i="3"/>
  <c r="M348" i="3"/>
  <c r="R348" i="3"/>
  <c r="M350" i="3"/>
  <c r="R350" i="3"/>
  <c r="M352" i="3"/>
  <c r="R352" i="3"/>
  <c r="M354" i="3"/>
  <c r="R354" i="3"/>
  <c r="M356" i="3"/>
  <c r="R356" i="3"/>
  <c r="M358" i="3"/>
  <c r="R358" i="3"/>
  <c r="M360" i="3"/>
  <c r="R360" i="3"/>
  <c r="M362" i="3"/>
  <c r="R362" i="3"/>
  <c r="M364" i="3"/>
  <c r="R364" i="3"/>
  <c r="M366" i="3"/>
  <c r="R366" i="3"/>
  <c r="M368" i="3"/>
  <c r="R368" i="3"/>
  <c r="M370" i="3"/>
  <c r="R370" i="3"/>
  <c r="M372" i="3"/>
  <c r="R372" i="3"/>
  <c r="M374" i="3"/>
  <c r="R374" i="3"/>
  <c r="M376" i="3"/>
  <c r="R376" i="3"/>
  <c r="M378" i="3"/>
  <c r="R378" i="3"/>
  <c r="M380" i="3"/>
  <c r="R380" i="3"/>
  <c r="M382" i="3"/>
  <c r="R382" i="3"/>
  <c r="M384" i="3"/>
  <c r="R384" i="3"/>
  <c r="M386" i="3"/>
  <c r="R386" i="3"/>
  <c r="M388" i="3"/>
  <c r="R388" i="3"/>
  <c r="M390" i="3"/>
  <c r="R390" i="3"/>
  <c r="M392" i="3"/>
  <c r="R392" i="3"/>
  <c r="M394" i="3"/>
  <c r="R394" i="3"/>
  <c r="M396" i="3"/>
  <c r="R396" i="3"/>
  <c r="M398" i="3"/>
  <c r="R398" i="3"/>
  <c r="M400" i="3"/>
  <c r="R400" i="3"/>
  <c r="M402" i="3"/>
  <c r="R402" i="3"/>
  <c r="M404" i="3"/>
  <c r="R404" i="3"/>
  <c r="M406" i="3"/>
  <c r="R406" i="3"/>
  <c r="M408" i="3"/>
  <c r="R408" i="3"/>
  <c r="M410" i="3"/>
  <c r="R410" i="3"/>
  <c r="M412" i="3"/>
  <c r="R412" i="3"/>
  <c r="M414" i="3"/>
  <c r="R414" i="3"/>
  <c r="M416" i="3"/>
  <c r="R416" i="3"/>
  <c r="M418" i="3"/>
  <c r="R418" i="3"/>
  <c r="M420" i="3"/>
  <c r="R420" i="3"/>
  <c r="M422" i="3"/>
  <c r="R422" i="3"/>
  <c r="M424" i="3"/>
  <c r="R424" i="3"/>
  <c r="M426" i="3"/>
  <c r="R426" i="3"/>
  <c r="M428" i="3"/>
  <c r="R428" i="3"/>
  <c r="M430" i="3"/>
  <c r="R430" i="3"/>
  <c r="M432" i="3"/>
  <c r="R432" i="3"/>
  <c r="M434" i="3"/>
  <c r="R434" i="3"/>
  <c r="M436" i="3"/>
  <c r="R436" i="3"/>
  <c r="M438" i="3"/>
  <c r="R438" i="3"/>
  <c r="M440" i="3"/>
  <c r="R440" i="3"/>
  <c r="M442" i="3"/>
  <c r="R442" i="3"/>
  <c r="M444" i="3"/>
  <c r="R444" i="3"/>
  <c r="M446" i="3"/>
  <c r="R446" i="3"/>
  <c r="M448" i="3"/>
  <c r="R448" i="3"/>
  <c r="M450" i="3"/>
  <c r="R450" i="3"/>
  <c r="M452" i="3"/>
  <c r="R452" i="3"/>
  <c r="M454" i="3"/>
  <c r="R454" i="3"/>
  <c r="M456" i="3"/>
  <c r="R456" i="3"/>
  <c r="M458" i="3"/>
  <c r="R458" i="3"/>
  <c r="M460" i="3"/>
  <c r="R460" i="3"/>
  <c r="M462" i="3"/>
  <c r="R462" i="3"/>
  <c r="M464" i="3"/>
  <c r="R464" i="3"/>
  <c r="M466" i="3"/>
  <c r="R466" i="3"/>
  <c r="M468" i="3"/>
  <c r="R468" i="3"/>
  <c r="M470" i="3"/>
  <c r="R470" i="3"/>
  <c r="M472" i="3"/>
  <c r="R472" i="3"/>
  <c r="M474" i="3"/>
  <c r="R474" i="3"/>
  <c r="M476" i="3"/>
  <c r="R476" i="3"/>
  <c r="M478" i="3"/>
  <c r="R478" i="3"/>
  <c r="F97" i="226" l="1"/>
  <c r="G97" i="226" s="1"/>
  <c r="C98" i="226"/>
  <c r="B99" i="226"/>
  <c r="R483" i="3"/>
  <c r="A100" i="226"/>
  <c r="V483" i="3"/>
  <c r="E3" i="3" s="1"/>
  <c r="R484" i="3"/>
  <c r="E2" i="3" s="1"/>
  <c r="M483" i="3"/>
  <c r="F98" i="226" l="1"/>
  <c r="G98" i="226" s="1"/>
  <c r="C99" i="226"/>
  <c r="B100" i="226"/>
  <c r="A101" i="226"/>
  <c r="F99" i="226" l="1"/>
  <c r="G99" i="226" s="1"/>
  <c r="C100" i="226"/>
  <c r="B101" i="226"/>
  <c r="F100" i="226" l="1"/>
  <c r="G100" i="226" s="1"/>
  <c r="C101" i="226"/>
  <c r="F101" i="226" s="1"/>
  <c r="G101" i="226" l="1"/>
  <c r="H102" i="226"/>
  <c r="H103" i="226" s="1"/>
</calcChain>
</file>

<file path=xl/sharedStrings.xml><?xml version="1.0" encoding="utf-8"?>
<sst xmlns="http://schemas.openxmlformats.org/spreadsheetml/2006/main" count="684" uniqueCount="662">
  <si>
    <t>Seconds per year (s/y)</t>
  </si>
  <si>
    <t>Name</t>
  </si>
  <si>
    <t>Red Shift (z)</t>
  </si>
  <si>
    <t>Aphrodite</t>
  </si>
  <si>
    <t>Greenberg</t>
  </si>
  <si>
    <t>Lancaster</t>
  </si>
  <si>
    <t>Sasquatch</t>
  </si>
  <si>
    <t>SDSS10028</t>
  </si>
  <si>
    <t>SDSS10106</t>
  </si>
  <si>
    <t>SDSS10434</t>
  </si>
  <si>
    <t>SDSS10449</t>
  </si>
  <si>
    <t>SDSS10550</t>
  </si>
  <si>
    <t>SDSS11300</t>
  </si>
  <si>
    <t>SDSS11864</t>
  </si>
  <si>
    <t>Torngasek</t>
  </si>
  <si>
    <t>SN UDS10Wil</t>
  </si>
  <si>
    <t>Bulge Mass</t>
  </si>
  <si>
    <t>Disk Mass</t>
  </si>
  <si>
    <t>SolarLuminosity</t>
  </si>
  <si>
    <t>Radius
(kpc)</t>
  </si>
  <si>
    <t>Bulge Mass
(kg)</t>
  </si>
  <si>
    <t>Total Mass
(kg)</t>
  </si>
  <si>
    <t>Bulge Effective Radius</t>
  </si>
  <si>
    <t>Electron Mass</t>
  </si>
  <si>
    <t>GND12Col</t>
  </si>
  <si>
    <t xml:space="preserve"> GND13Sto </t>
  </si>
  <si>
    <t>B Band Magnitude</t>
  </si>
  <si>
    <t>Stretch Parameter</t>
  </si>
  <si>
    <t>Color</t>
  </si>
  <si>
    <t>Model Parameters</t>
  </si>
  <si>
    <t>α</t>
  </si>
  <si>
    <t>β</t>
  </si>
  <si>
    <r>
      <t>M</t>
    </r>
    <r>
      <rPr>
        <vertAlign val="subscript"/>
        <sz val="11"/>
        <color theme="1"/>
        <rFont val="Calibri"/>
        <family val="2"/>
        <scheme val="minor"/>
      </rPr>
      <t>b</t>
    </r>
  </si>
  <si>
    <t>Total Error</t>
  </si>
  <si>
    <t>sn2004s</t>
  </si>
  <si>
    <t>sn1999ac</t>
  </si>
  <si>
    <t>sn1997do</t>
  </si>
  <si>
    <t>sn2006bh</t>
  </si>
  <si>
    <t>sn2002dp</t>
  </si>
  <si>
    <t>sn2005al</t>
  </si>
  <si>
    <t>sn2001ep</t>
  </si>
  <si>
    <t>sn1997e</t>
  </si>
  <si>
    <t>sn2001fe</t>
  </si>
  <si>
    <t>sn2005bo</t>
  </si>
  <si>
    <t>sn2002ha</t>
  </si>
  <si>
    <t>sn2006n</t>
  </si>
  <si>
    <t>sn1999dq</t>
  </si>
  <si>
    <t>sn1999aa</t>
  </si>
  <si>
    <t>sn1992al</t>
  </si>
  <si>
    <t>sn2001bt</t>
  </si>
  <si>
    <t>sn2005el</t>
  </si>
  <si>
    <t>sn1999dk</t>
  </si>
  <si>
    <t>sn2001v</t>
  </si>
  <si>
    <t>sn2005kc</t>
  </si>
  <si>
    <t>sn1994s</t>
  </si>
  <si>
    <t>sn2001cz</t>
  </si>
  <si>
    <t>sn2001cn</t>
  </si>
  <si>
    <t>sn2001bf</t>
  </si>
  <si>
    <t>sn2004eo</t>
  </si>
  <si>
    <t>sn2004ey</t>
  </si>
  <si>
    <t>sn2001en</t>
  </si>
  <si>
    <t>sn2006td</t>
  </si>
  <si>
    <t>sn1996bv</t>
  </si>
  <si>
    <t>sn2006ax</t>
  </si>
  <si>
    <t>sn2001da</t>
  </si>
  <si>
    <t>sn2000dk</t>
  </si>
  <si>
    <t>sn1998v</t>
  </si>
  <si>
    <t>sn1998ef</t>
  </si>
  <si>
    <t>sn2007ci</t>
  </si>
  <si>
    <t>sn1992bo</t>
  </si>
  <si>
    <t>sn2002kf</t>
  </si>
  <si>
    <t>sn2005ki</t>
  </si>
  <si>
    <t>sn2003w</t>
  </si>
  <si>
    <t>sn1992bc</t>
  </si>
  <si>
    <t>sn2006ej</t>
  </si>
  <si>
    <t>sn2007bc</t>
  </si>
  <si>
    <t>sn2002jy</t>
  </si>
  <si>
    <t>sn2008bf</t>
  </si>
  <si>
    <t>sn2006bq</t>
  </si>
  <si>
    <t>sn2006et</t>
  </si>
  <si>
    <t>sn2006cp</t>
  </si>
  <si>
    <t>sn2006ar</t>
  </si>
  <si>
    <t>sn1995ak</t>
  </si>
  <si>
    <t>sn2006mp</t>
  </si>
  <si>
    <t>sn2005bg</t>
  </si>
  <si>
    <t>sn2006ac</t>
  </si>
  <si>
    <t>sn1994m</t>
  </si>
  <si>
    <t>sn2000cn</t>
  </si>
  <si>
    <t>sn2007f</t>
  </si>
  <si>
    <t>sn2000ca</t>
  </si>
  <si>
    <t>sn2007qe</t>
  </si>
  <si>
    <t>sn2006sr</t>
  </si>
  <si>
    <t>sn1993h</t>
  </si>
  <si>
    <t>sn2002bf</t>
  </si>
  <si>
    <t>sn2002he</t>
  </si>
  <si>
    <t>sn1992ag</t>
  </si>
  <si>
    <t>sn2005ms</t>
  </si>
  <si>
    <t>sn1992p</t>
  </si>
  <si>
    <t>sn2007cq</t>
  </si>
  <si>
    <t>sn2005na</t>
  </si>
  <si>
    <t>sn2004gs</t>
  </si>
  <si>
    <t>sn1999gp</t>
  </si>
  <si>
    <t>sn2007co</t>
  </si>
  <si>
    <t>sn1998ab</t>
  </si>
  <si>
    <t>sn2002de</t>
  </si>
  <si>
    <t>sn2003u</t>
  </si>
  <si>
    <t>sn2005eq</t>
  </si>
  <si>
    <t>sn2001ba</t>
  </si>
  <si>
    <t>sn1996c</t>
  </si>
  <si>
    <t>sn2006qo</t>
  </si>
  <si>
    <t>sn2003ch</t>
  </si>
  <si>
    <t>sn1990o</t>
  </si>
  <si>
    <t>sn1997dg</t>
  </si>
  <si>
    <t>sn2006az</t>
  </si>
  <si>
    <t>sn2004as</t>
  </si>
  <si>
    <t>sn2007bd</t>
  </si>
  <si>
    <t>sn1999cc</t>
  </si>
  <si>
    <t>sn2006s</t>
  </si>
  <si>
    <t>sn2006bt</t>
  </si>
  <si>
    <t>sn2004l</t>
  </si>
  <si>
    <t>sn2005iq</t>
  </si>
  <si>
    <t>sn2003iv</t>
  </si>
  <si>
    <t>sn2006gr</t>
  </si>
  <si>
    <t>sn2005eu</t>
  </si>
  <si>
    <t>sn2002hd</t>
  </si>
  <si>
    <t>sn1992bg</t>
  </si>
  <si>
    <t>sn1996bl</t>
  </si>
  <si>
    <t>sn2000cf</t>
  </si>
  <si>
    <t>sn2006mo</t>
  </si>
  <si>
    <t>sn2001eh</t>
  </si>
  <si>
    <t>sn1999aw</t>
  </si>
  <si>
    <t>sn2002hu</t>
  </si>
  <si>
    <t>sn2003fa</t>
  </si>
  <si>
    <t>sn2001az</t>
  </si>
  <si>
    <t>sn2005lz</t>
  </si>
  <si>
    <t>sn1992bl</t>
  </si>
  <si>
    <t>sn1992bh</t>
  </si>
  <si>
    <t>sn2004gu</t>
  </si>
  <si>
    <t>sn2005hc</t>
  </si>
  <si>
    <t>sn1993ag</t>
  </si>
  <si>
    <t>sn1995ac</t>
  </si>
  <si>
    <t>sn1990af</t>
  </si>
  <si>
    <t>sn1993o</t>
  </si>
  <si>
    <t>sn1999ao</t>
  </si>
  <si>
    <t>sn1998dx</t>
  </si>
  <si>
    <t>sn2006ob</t>
  </si>
  <si>
    <t>sn2006oa</t>
  </si>
  <si>
    <t>SDSS3901</t>
  </si>
  <si>
    <t>sn1992bs</t>
  </si>
  <si>
    <t>sn2006an</t>
  </si>
  <si>
    <t>sn2007ae</t>
  </si>
  <si>
    <t>SDSS6057</t>
  </si>
  <si>
    <t>sn2006al</t>
  </si>
  <si>
    <t>sn1993b</t>
  </si>
  <si>
    <t>sn2006on</t>
  </si>
  <si>
    <t>sn1992ae</t>
  </si>
  <si>
    <t>sn2005ir</t>
  </si>
  <si>
    <t>sn1999bp</t>
  </si>
  <si>
    <t>sn1992bp</t>
  </si>
  <si>
    <t>sn2005ag</t>
  </si>
  <si>
    <t>SDSS1241</t>
  </si>
  <si>
    <t>SDSS3592</t>
  </si>
  <si>
    <t>SDSS6773</t>
  </si>
  <si>
    <t>SDSS2102</t>
  </si>
  <si>
    <t>SDSS3256</t>
  </si>
  <si>
    <t>SDSS7147</t>
  </si>
  <si>
    <t>SDSS8719</t>
  </si>
  <si>
    <t>SDSS5395</t>
  </si>
  <si>
    <t>SDSS2561</t>
  </si>
  <si>
    <t>SDSS1371</t>
  </si>
  <si>
    <t>SDSS5549</t>
  </si>
  <si>
    <t>SDSS2916</t>
  </si>
  <si>
    <t>06D2fb</t>
  </si>
  <si>
    <t>SDSS6406</t>
  </si>
  <si>
    <t>SDSS2992</t>
  </si>
  <si>
    <t>SDSS744</t>
  </si>
  <si>
    <t>SDSS5751</t>
  </si>
  <si>
    <t>SDSS1032</t>
  </si>
  <si>
    <t>SDSS2635</t>
  </si>
  <si>
    <t>SDSS1794</t>
  </si>
  <si>
    <t>SDSS8921</t>
  </si>
  <si>
    <t>SDSS5103</t>
  </si>
  <si>
    <t>SDSS2308</t>
  </si>
  <si>
    <t>SDSS2031</t>
  </si>
  <si>
    <t>SDSS5550</t>
  </si>
  <si>
    <t>SDSS2689</t>
  </si>
  <si>
    <t>SDSS3087</t>
  </si>
  <si>
    <t>05D3ne</t>
  </si>
  <si>
    <t>SDSS5916</t>
  </si>
  <si>
    <t>SDSS3080</t>
  </si>
  <si>
    <t>SDSS5350</t>
  </si>
  <si>
    <t>SDSS5635</t>
  </si>
  <si>
    <t>SDSS2372</t>
  </si>
  <si>
    <t>SDSS6936</t>
  </si>
  <si>
    <t>SDSS1580</t>
  </si>
  <si>
    <t>05D2ah</t>
  </si>
  <si>
    <t>SDSS6422</t>
  </si>
  <si>
    <t>SDSS8213</t>
  </si>
  <si>
    <t>SDSS5994</t>
  </si>
  <si>
    <t>SDSS6304</t>
  </si>
  <si>
    <t>SDSS762</t>
  </si>
  <si>
    <t>SDSS2440</t>
  </si>
  <si>
    <t>SDSS7335</t>
  </si>
  <si>
    <t>SDSS6780</t>
  </si>
  <si>
    <t>SDSS7243</t>
  </si>
  <si>
    <t>SDSS3331</t>
  </si>
  <si>
    <t>04D1dc</t>
  </si>
  <si>
    <t>SDSS7847</t>
  </si>
  <si>
    <t>SDSS6933</t>
  </si>
  <si>
    <t>SDSS8495</t>
  </si>
  <si>
    <t>SDSS1316</t>
  </si>
  <si>
    <t>SDSS9467</t>
  </si>
  <si>
    <t>05D3kx</t>
  </si>
  <si>
    <t>SDSS7512</t>
  </si>
  <si>
    <t>SDSS5533</t>
  </si>
  <si>
    <t>SDSS3452</t>
  </si>
  <si>
    <t>SDSS3377</t>
  </si>
  <si>
    <t>05D3mq</t>
  </si>
  <si>
    <t>SDSS3451</t>
  </si>
  <si>
    <t>06D3gn</t>
  </si>
  <si>
    <t>SDSS3199</t>
  </si>
  <si>
    <t>SDSS5717</t>
  </si>
  <si>
    <t>SDSS5736</t>
  </si>
  <si>
    <t>SDSS9032</t>
  </si>
  <si>
    <t>SDSS9457</t>
  </si>
  <si>
    <t>SDSS1112</t>
  </si>
  <si>
    <t>SDSS8046</t>
  </si>
  <si>
    <t>SDSS6108</t>
  </si>
  <si>
    <t>SDSS3241</t>
  </si>
  <si>
    <t>SDSS1253</t>
  </si>
  <si>
    <t>SDSS2017</t>
  </si>
  <si>
    <t>04D3ez</t>
  </si>
  <si>
    <t>05D1hk</t>
  </si>
  <si>
    <t>SDSS2422</t>
  </si>
  <si>
    <t>SDSS2943</t>
  </si>
  <si>
    <t>SDSS6315</t>
  </si>
  <si>
    <t>06D3fp</t>
  </si>
  <si>
    <t>03D4cj</t>
  </si>
  <si>
    <t>SDSS6192</t>
  </si>
  <si>
    <t>SDSS5957</t>
  </si>
  <si>
    <t>06D3dt</t>
  </si>
  <si>
    <t>03D4ag</t>
  </si>
  <si>
    <t>SDSS2165</t>
  </si>
  <si>
    <t>SDSS2789</t>
  </si>
  <si>
    <t>03D3ba</t>
  </si>
  <si>
    <t>SDSS6249</t>
  </si>
  <si>
    <t>06D4dh</t>
  </si>
  <si>
    <t>SDSS5966</t>
  </si>
  <si>
    <t>SDSS6699</t>
  </si>
  <si>
    <t>SDSS5844</t>
  </si>
  <si>
    <t>SDSS6649</t>
  </si>
  <si>
    <t>SDSS7475</t>
  </si>
  <si>
    <t>05D2ab</t>
  </si>
  <si>
    <t>SDSS6924</t>
  </si>
  <si>
    <t>03D1fc</t>
  </si>
  <si>
    <t>04D3kr</t>
  </si>
  <si>
    <t>SDSS2533</t>
  </si>
  <si>
    <t>04D3nh</t>
  </si>
  <si>
    <t>03D1bp</t>
  </si>
  <si>
    <t>04D2mc</t>
  </si>
  <si>
    <t>05D2ie</t>
  </si>
  <si>
    <t>SDSS9207</t>
  </si>
  <si>
    <t>05D2hc</t>
  </si>
  <si>
    <t>05D2mp</t>
  </si>
  <si>
    <t>03D3bl</t>
  </si>
  <si>
    <t>04D2fs</t>
  </si>
  <si>
    <t>04D3fk</t>
  </si>
  <si>
    <t>04D1hd</t>
  </si>
  <si>
    <t>04D2cf</t>
  </si>
  <si>
    <t>05D3jr</t>
  </si>
  <si>
    <t>03D3ay</t>
  </si>
  <si>
    <t>05D4bm</t>
  </si>
  <si>
    <t>05D4fo</t>
  </si>
  <si>
    <t>05D4cw</t>
  </si>
  <si>
    <t>SDSS7779</t>
  </si>
  <si>
    <t>SDSS5737</t>
  </si>
  <si>
    <t>SDSS8707</t>
  </si>
  <si>
    <t>05D4ff</t>
  </si>
  <si>
    <t>06D3ed</t>
  </si>
  <si>
    <t>05D4dt</t>
  </si>
  <si>
    <t>06D4cq</t>
  </si>
  <si>
    <t>04D2fp</t>
  </si>
  <si>
    <t>05D2dw</t>
  </si>
  <si>
    <t>05D3cf</t>
  </si>
  <si>
    <t>04D4gg</t>
  </si>
  <si>
    <t>05D2cb</t>
  </si>
  <si>
    <t>04D1rh</t>
  </si>
  <si>
    <t>06D4co</t>
  </si>
  <si>
    <t>06D2gb</t>
  </si>
  <si>
    <t>06D3df</t>
  </si>
  <si>
    <t>03D3aw</t>
  </si>
  <si>
    <t>04D2gb</t>
  </si>
  <si>
    <t>04D3gt</t>
  </si>
  <si>
    <t>03D3cd</t>
  </si>
  <si>
    <t>05D3lc</t>
  </si>
  <si>
    <t>03D4au</t>
  </si>
  <si>
    <t>05D3mx</t>
  </si>
  <si>
    <t>04D4jr</t>
  </si>
  <si>
    <t>04D3df</t>
  </si>
  <si>
    <t>04D4ju</t>
  </si>
  <si>
    <t>05D2bv</t>
  </si>
  <si>
    <t>05D2ac</t>
  </si>
  <si>
    <t>05D3dd</t>
  </si>
  <si>
    <t>05D1ix</t>
  </si>
  <si>
    <t>03D1ax</t>
  </si>
  <si>
    <t>05D4af</t>
  </si>
  <si>
    <t>06D2bk</t>
  </si>
  <si>
    <t>03D1au</t>
  </si>
  <si>
    <t>05D4av</t>
  </si>
  <si>
    <t>05D2dy</t>
  </si>
  <si>
    <t>04D2mj</t>
  </si>
  <si>
    <t>04D1pg</t>
  </si>
  <si>
    <t>05D3ci</t>
  </si>
  <si>
    <t>04D4in</t>
  </si>
  <si>
    <t>06D3el</t>
  </si>
  <si>
    <t>04D2gc</t>
  </si>
  <si>
    <t>06D2ca</t>
  </si>
  <si>
    <t>06D2cc</t>
  </si>
  <si>
    <t>05D2eb</t>
  </si>
  <si>
    <t>05D4ek</t>
  </si>
  <si>
    <t>05D4be</t>
  </si>
  <si>
    <t>04D4bq</t>
  </si>
  <si>
    <t>04D3hn</t>
  </si>
  <si>
    <t>06D2ck</t>
  </si>
  <si>
    <t>06D4bo</t>
  </si>
  <si>
    <t>05D1ee</t>
  </si>
  <si>
    <t>04D1hx</t>
  </si>
  <si>
    <t>05D1kl</t>
  </si>
  <si>
    <t>05D1cc</t>
  </si>
  <si>
    <t>05D1dn</t>
  </si>
  <si>
    <t>03D4gl</t>
  </si>
  <si>
    <t>05D2dt</t>
  </si>
  <si>
    <t>06D3et</t>
  </si>
  <si>
    <t>05D3jq</t>
  </si>
  <si>
    <t>05D3gp</t>
  </si>
  <si>
    <t>03D4gf</t>
  </si>
  <si>
    <t>05D1dx</t>
  </si>
  <si>
    <t>03D1aw</t>
  </si>
  <si>
    <t>04D1jg</t>
  </si>
  <si>
    <t>04D1kj</t>
  </si>
  <si>
    <t>05D4ej</t>
  </si>
  <si>
    <t>04D1sa</t>
  </si>
  <si>
    <t>05D1hm</t>
  </si>
  <si>
    <t>05D4bf</t>
  </si>
  <si>
    <t>04D2mh</t>
  </si>
  <si>
    <t>04D1oh</t>
  </si>
  <si>
    <t>03D4gg</t>
  </si>
  <si>
    <t>05D3lr</t>
  </si>
  <si>
    <t>05D4ef</t>
  </si>
  <si>
    <t>05D2he</t>
  </si>
  <si>
    <t>03D4dy</t>
  </si>
  <si>
    <t>04D3do</t>
  </si>
  <si>
    <t>03D1dt</t>
  </si>
  <si>
    <t>04D4an</t>
  </si>
  <si>
    <t>05D1ck</t>
  </si>
  <si>
    <t>04D2an</t>
  </si>
  <si>
    <t>04D3co</t>
  </si>
  <si>
    <t>03D4dh</t>
  </si>
  <si>
    <t>04D4fx</t>
  </si>
  <si>
    <t>05D2ci</t>
  </si>
  <si>
    <t>05D1cb</t>
  </si>
  <si>
    <t>03D4at</t>
  </si>
  <si>
    <t>04D1pu</t>
  </si>
  <si>
    <t>05D2ec</t>
  </si>
  <si>
    <t>05D4ag</t>
  </si>
  <si>
    <t>05D3ax</t>
  </si>
  <si>
    <t>04D3cy</t>
  </si>
  <si>
    <t>05D3lb</t>
  </si>
  <si>
    <t>05D3kt</t>
  </si>
  <si>
    <t>04D1sk</t>
  </si>
  <si>
    <t>05D3hs</t>
  </si>
  <si>
    <t>05D3mh</t>
  </si>
  <si>
    <t>03D1co</t>
  </si>
  <si>
    <t>05D2bt</t>
  </si>
  <si>
    <t>06D3cc</t>
  </si>
  <si>
    <t>04D4ic</t>
  </si>
  <si>
    <t>06D3em</t>
  </si>
  <si>
    <t>05D1ke</t>
  </si>
  <si>
    <t>03D4cz</t>
  </si>
  <si>
    <t>05D2ck</t>
  </si>
  <si>
    <t>04D4ib</t>
  </si>
  <si>
    <t>04D2iu</t>
  </si>
  <si>
    <t>06D4ba</t>
  </si>
  <si>
    <t>05D2le</t>
  </si>
  <si>
    <t>05D4cq</t>
  </si>
  <si>
    <t>05D4bj</t>
  </si>
  <si>
    <t>04D1si</t>
  </si>
  <si>
    <t>04D4hu</t>
  </si>
  <si>
    <t>05D3gv</t>
  </si>
  <si>
    <t>05D3jh</t>
  </si>
  <si>
    <t>06D3gh</t>
  </si>
  <si>
    <t>04D1aj</t>
  </si>
  <si>
    <t>05D4ev</t>
  </si>
  <si>
    <t>06D3do</t>
  </si>
  <si>
    <t>06D3bz</t>
  </si>
  <si>
    <t>04D2gp</t>
  </si>
  <si>
    <t>06D4bw</t>
  </si>
  <si>
    <t>05D2fq</t>
  </si>
  <si>
    <t>05D2ct</t>
  </si>
  <si>
    <t>04D1pp</t>
  </si>
  <si>
    <t>05D3jk</t>
  </si>
  <si>
    <t>05D1eo</t>
  </si>
  <si>
    <t>04D2ja</t>
  </si>
  <si>
    <t>04D3fq</t>
  </si>
  <si>
    <t>04D2kr</t>
  </si>
  <si>
    <t>05D3jb</t>
  </si>
  <si>
    <t>04D3ks</t>
  </si>
  <si>
    <t>04D4im</t>
  </si>
  <si>
    <t>04D3oe</t>
  </si>
  <si>
    <t>05D2nt</t>
  </si>
  <si>
    <t>05D3mn</t>
  </si>
  <si>
    <t>06D3gx</t>
  </si>
  <si>
    <t>05D4cn</t>
  </si>
  <si>
    <t>05D1if</t>
  </si>
  <si>
    <t>05D3hh</t>
  </si>
  <si>
    <t>04D1qd</t>
  </si>
  <si>
    <t>04D1de</t>
  </si>
  <si>
    <t>04D4id</t>
  </si>
  <si>
    <t>04D1pc</t>
  </si>
  <si>
    <t>05D4bi</t>
  </si>
  <si>
    <t>04D1jd</t>
  </si>
  <si>
    <t>05D4cs</t>
  </si>
  <si>
    <t>03D4fd</t>
  </si>
  <si>
    <t>04D1ks</t>
  </si>
  <si>
    <t>05D3dh</t>
  </si>
  <si>
    <t>03D1fq</t>
  </si>
  <si>
    <t>05D3cx</t>
  </si>
  <si>
    <t>05D3ha</t>
  </si>
  <si>
    <t>05D4gw</t>
  </si>
  <si>
    <t>05D4dy</t>
  </si>
  <si>
    <t>04D3ny</t>
  </si>
  <si>
    <t>04D4dm</t>
  </si>
  <si>
    <t>04D3mk</t>
  </si>
  <si>
    <t>04D3nc</t>
  </si>
  <si>
    <t>06D2ce</t>
  </si>
  <si>
    <t>04D3lu</t>
  </si>
  <si>
    <t>05D1cl</t>
  </si>
  <si>
    <t>04D3cp</t>
  </si>
  <si>
    <t>04D2al</t>
  </si>
  <si>
    <t>Elvis</t>
  </si>
  <si>
    <t>05D4fg</t>
  </si>
  <si>
    <t>06D2ga</t>
  </si>
  <si>
    <t>05D1az</t>
  </si>
  <si>
    <t>05D4hn</t>
  </si>
  <si>
    <t>04D1hy</t>
  </si>
  <si>
    <t>06D4ce</t>
  </si>
  <si>
    <t>05D3kp</t>
  </si>
  <si>
    <t>05D4dw</t>
  </si>
  <si>
    <t>04D1ff</t>
  </si>
  <si>
    <t>05D1iz</t>
  </si>
  <si>
    <t>05D1er</t>
  </si>
  <si>
    <t>03D1bk</t>
  </si>
  <si>
    <t>05D1em</t>
  </si>
  <si>
    <t>04D4ii</t>
  </si>
  <si>
    <t>03D1ew</t>
  </si>
  <si>
    <t>05D2nn</t>
  </si>
  <si>
    <t>04D4bk</t>
  </si>
  <si>
    <t>05D3cq</t>
  </si>
  <si>
    <t>05D2by</t>
  </si>
  <si>
    <t>03D4di</t>
  </si>
  <si>
    <t>05D3ht</t>
  </si>
  <si>
    <t>04D3gx</t>
  </si>
  <si>
    <t>04D1ow</t>
  </si>
  <si>
    <t>05D2bw</t>
  </si>
  <si>
    <t>05D2ay</t>
  </si>
  <si>
    <t>05D2ob</t>
  </si>
  <si>
    <t>03D4cy</t>
  </si>
  <si>
    <t>06D2cd</t>
  </si>
  <si>
    <t>04D4jy</t>
  </si>
  <si>
    <t>04D4ih</t>
  </si>
  <si>
    <t>Vilas</t>
  </si>
  <si>
    <t>04D4hf</t>
  </si>
  <si>
    <t>05D3la</t>
  </si>
  <si>
    <t>03D4cx</t>
  </si>
  <si>
    <t>04D1pd</t>
  </si>
  <si>
    <t>04D3ml</t>
  </si>
  <si>
    <t>04D3nr</t>
  </si>
  <si>
    <t>05D3km</t>
  </si>
  <si>
    <t>04D4jw</t>
  </si>
  <si>
    <t>Patuxent</t>
  </si>
  <si>
    <t>Ombo</t>
  </si>
  <si>
    <t>05D2my</t>
  </si>
  <si>
    <t>04D3lp</t>
  </si>
  <si>
    <t>04D1rx</t>
  </si>
  <si>
    <t>04D1iv</t>
  </si>
  <si>
    <t>06D4cl</t>
  </si>
  <si>
    <t>04D3dd</t>
  </si>
  <si>
    <t>Strolger</t>
  </si>
  <si>
    <t>Eagle</t>
  </si>
  <si>
    <t>Ferguson</t>
  </si>
  <si>
    <t>04D4dw</t>
  </si>
  <si>
    <t>06D3en</t>
  </si>
  <si>
    <t>Gabi</t>
  </si>
  <si>
    <t>Borg</t>
  </si>
  <si>
    <t>B Band Magnitude Error</t>
  </si>
  <si>
    <t>Stretch Parameter Error</t>
  </si>
  <si>
    <t>Color Error</t>
  </si>
  <si>
    <t>Intrinsic Scatter Error</t>
  </si>
  <si>
    <t>Red Shift Error</t>
  </si>
  <si>
    <t>Observed Distance Moduli</t>
  </si>
  <si>
    <t>Primo</t>
  </si>
  <si>
    <t>DDO210</t>
  </si>
  <si>
    <t>1,2</t>
  </si>
  <si>
    <t>CamB</t>
  </si>
  <si>
    <t>UGC8215</t>
  </si>
  <si>
    <t>DDO183</t>
  </si>
  <si>
    <t>UGC8833</t>
  </si>
  <si>
    <t>D564-8</t>
  </si>
  <si>
    <t>DDO181</t>
  </si>
  <si>
    <t>P51659</t>
  </si>
  <si>
    <t>KK9824</t>
  </si>
  <si>
    <t>UGCA92</t>
  </si>
  <si>
    <t>D512-2</t>
  </si>
  <si>
    <t>UGCA444</t>
  </si>
  <si>
    <t>KK98251</t>
  </si>
  <si>
    <t>UGC7242</t>
  </si>
  <si>
    <t>UGC6145</t>
  </si>
  <si>
    <t>NGC3741</t>
  </si>
  <si>
    <t>D500-3</t>
  </si>
  <si>
    <t>D631-7</t>
  </si>
  <si>
    <t>DDO168</t>
  </si>
  <si>
    <t>KKH11</t>
  </si>
  <si>
    <t>UGC8550</t>
  </si>
  <si>
    <t>D575-2</t>
  </si>
  <si>
    <t>UGC4115</t>
  </si>
  <si>
    <t>UGC3851</t>
  </si>
  <si>
    <t>UGC9211</t>
  </si>
  <si>
    <t>NGC3109</t>
  </si>
  <si>
    <t>UGC8055</t>
  </si>
  <si>
    <t>D500-2</t>
  </si>
  <si>
    <t>IC2574</t>
  </si>
  <si>
    <t>UGC6818</t>
  </si>
  <si>
    <t>UGC4499</t>
  </si>
  <si>
    <t>NGC1560</t>
  </si>
  <si>
    <t>UGC8490</t>
  </si>
  <si>
    <t>UGC5721</t>
  </si>
  <si>
    <t>F565-V2</t>
  </si>
  <si>
    <t>F571-V1</t>
  </si>
  <si>
    <t>IC2233</t>
  </si>
  <si>
    <t>NGC2915</t>
  </si>
  <si>
    <t>NGC5585</t>
  </si>
  <si>
    <t>UGC3711</t>
  </si>
  <si>
    <t>UGC6983</t>
  </si>
  <si>
    <t>F563-V2</t>
  </si>
  <si>
    <t>F568-1</t>
  </si>
  <si>
    <t>F568-3</t>
  </si>
  <si>
    <t>F568-V1</t>
  </si>
  <si>
    <t>NGC2403</t>
  </si>
  <si>
    <t>NGC3198</t>
  </si>
  <si>
    <t>McGaugh (2011)</t>
  </si>
  <si>
    <t>Red Shift of CMB</t>
  </si>
  <si>
    <t>Observed Luminous Distance (Mpc)</t>
  </si>
  <si>
    <t>Temperature of CMB</t>
  </si>
  <si>
    <t>LDCM</t>
  </si>
  <si>
    <t>Halo Representative Density</t>
  </si>
  <si>
    <t>Central Surface Density</t>
  </si>
  <si>
    <t>Disk Scale Radius</t>
  </si>
  <si>
    <t>Halo Scale Radius</t>
  </si>
  <si>
    <r>
      <t xml:space="preserve">Halo Mass at </t>
    </r>
    <r>
      <rPr>
        <i/>
        <sz val="11"/>
        <color theme="1"/>
        <rFont val="Calibri"/>
        <family val="2"/>
        <scheme val="minor"/>
      </rPr>
      <t>h</t>
    </r>
  </si>
  <si>
    <t>Hubble Constant from SNe Ia</t>
  </si>
  <si>
    <t>CMB</t>
  </si>
  <si>
    <r>
      <t>Boltzman Constant (J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</si>
  <si>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QES Distance Moduli</t>
  </si>
  <si>
    <r>
      <t>QES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</si>
  <si>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QES</t>
  </si>
  <si>
    <t>Angular Scale (θ100)</t>
  </si>
  <si>
    <t>Hubble Constant from CMB (Plank 2018)</t>
  </si>
  <si>
    <t>Angular Scale (100θ)(Planck 2018)</t>
  </si>
  <si>
    <t>Thousand Years (kyr)</t>
  </si>
  <si>
    <t>Billion Years (Gyr)</t>
  </si>
  <si>
    <t>Million Years (Myr)</t>
  </si>
  <si>
    <t>Hydrogen Mass (kg)</t>
  </si>
  <si>
    <t>Helium Mass (kg)</t>
  </si>
  <si>
    <r>
      <t>QES Hubble Constant (H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</si>
  <si>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Parsec (m)</t>
  </si>
  <si>
    <t>Kiloparsec(m)</t>
  </si>
  <si>
    <t>Megaparsec (m)</t>
  </si>
  <si>
    <t>Gigaparsec (m)</t>
  </si>
  <si>
    <t>kilometer (m)</t>
  </si>
  <si>
    <r>
      <t>Gravitational Constant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</si>
  <si>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SolarMass (kg)</t>
  </si>
  <si>
    <r>
      <t>Universe Acceleration (m 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²)</t>
    </r>
  </si>
  <si>
    <r>
      <t>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</si>
  <si>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Reduced 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</si>
  <si>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Velocity of Light (m/s)</t>
  </si>
  <si>
    <t>QES Luminous Distance (m)</t>
  </si>
  <si>
    <t>Observed Velocity
(km)</t>
  </si>
  <si>
    <t>Radius
(m)</t>
  </si>
  <si>
    <t>Hydrogen Abundance</t>
  </si>
  <si>
    <t>Helium Abundance</t>
  </si>
  <si>
    <t>ζ(3)</t>
  </si>
  <si>
    <t>Stefan–Boltzmann constant</t>
  </si>
  <si>
    <t>Radiation Density constant</t>
  </si>
  <si>
    <t>Proton Mass (kg)</t>
  </si>
  <si>
    <t>ΛCDM CMBR Redshift</t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</si>
  <si>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(Gpc)</t>
    </r>
  </si>
  <si>
    <t>Radius of Curvature</t>
  </si>
  <si>
    <t>Age of CMB (s) (Myr)</t>
  </si>
  <si>
    <r>
      <t>Curvature (m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</si>
  <si>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ΛCDM Unverse Age (s) (Gyr)</t>
  </si>
  <si>
    <t>QES Universe Age (s) (Gyr)</t>
  </si>
  <si>
    <t>Baryon Density</t>
  </si>
  <si>
    <t>Light Year</t>
  </si>
  <si>
    <r>
      <t>Constant of Integration (c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</si>
  <si>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Sound Horizon (Mpc)</t>
  </si>
  <si>
    <t>FLRW Distance Moduli</t>
  </si>
  <si>
    <r>
      <t>FLRW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</si>
  <si>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FLRW</t>
  </si>
  <si>
    <t>t</t>
  </si>
  <si>
    <r>
      <t>a</t>
    </r>
    <r>
      <rPr>
        <vertAlign val="subscript"/>
        <sz val="14"/>
        <color theme="1"/>
        <rFont val="Calibri"/>
        <family val="2"/>
        <scheme val="minor"/>
      </rPr>
      <t>3</t>
    </r>
  </si>
  <si>
    <r>
      <t>v</t>
    </r>
    <r>
      <rPr>
        <vertAlign val="subscript"/>
        <sz val="14"/>
        <color theme="1"/>
        <rFont val="Calibri"/>
        <family val="2"/>
        <scheme val="minor"/>
      </rPr>
      <t>3</t>
    </r>
  </si>
  <si>
    <t>τ</t>
  </si>
  <si>
    <t>dt/dτ</t>
  </si>
  <si>
    <r>
      <t>d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t/dτ</t>
    </r>
    <r>
      <rPr>
        <vertAlign val="superscript"/>
        <sz val="14"/>
        <color theme="1"/>
        <rFont val="Calibri"/>
        <family val="2"/>
        <scheme val="minor"/>
      </rPr>
      <t>2</t>
    </r>
  </si>
  <si>
    <t>dt</t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</si>
  <si>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(Gpc)</t>
    </r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</si>
  <si>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(m) (Gpc)</t>
    </r>
  </si>
  <si>
    <r>
      <t>Proper 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(Mpc)</t>
    </r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</si>
  <si>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(Mpc)</t>
    </r>
  </si>
  <si>
    <t>Error</t>
  </si>
  <si>
    <t>ref</t>
  </si>
  <si>
    <t>Distance
 (Mpc)</t>
  </si>
  <si>
    <r>
      <t>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</si>
  <si>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</si>
  <si>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</si>
  <si>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t>Error
(kg)</t>
  </si>
  <si>
    <t>Predicted Mass
(kg)</t>
  </si>
  <si>
    <t>Observed
Mass
(kg)</t>
  </si>
  <si>
    <t>Log
(velocity)</t>
  </si>
  <si>
    <t>Log
(observed
Mass)</t>
  </si>
  <si>
    <t>Log
(predicted
Mass)</t>
  </si>
  <si>
    <t>Residual
Mass
(kg)</t>
  </si>
  <si>
    <r>
      <t>QES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</si>
  <si>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ΛCDM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</si>
  <si>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χ</t>
    </r>
    <r>
      <rPr>
        <vertAlign val="superscript"/>
        <sz val="11"/>
        <color theme="1"/>
        <rFont val="Calibri"/>
        <family val="2"/>
        <scheme val="minor"/>
      </rPr>
      <t>2</t>
    </r>
  </si>
  <si>
    <t>Initial Tangent Velocity</t>
  </si>
  <si>
    <r>
      <t>f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(τ)</t>
    </r>
  </si>
  <si>
    <t>Univesre Size (m) (Gpc)</t>
  </si>
  <si>
    <t>QES Error</t>
  </si>
  <si>
    <t>ΛCDM Error</t>
  </si>
  <si>
    <t>Time
(s)</t>
  </si>
  <si>
    <t>Time
(Gyr)</t>
  </si>
  <si>
    <t>Redshift (z)</t>
  </si>
  <si>
    <t>a</t>
  </si>
  <si>
    <t>ȧ</t>
  </si>
  <si>
    <r>
      <t>H(t)
(s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</si>
  <si>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H(t)
(km s</t>
    </r>
    <r>
      <rPr>
        <vertAlign val="superscript"/>
        <sz val="11"/>
        <color theme="1"/>
        <rFont val="Calibri"/>
        <family val="2"/>
        <scheme val="minor"/>
      </rPr>
      <t xml:space="preserve">-1
</t>
    </r>
    <r>
      <rPr>
        <sz val="11"/>
        <color theme="1"/>
        <rFont val="Calibri"/>
        <family val="2"/>
        <scheme val="minor"/>
      </rPr>
      <t xml:space="preserve"> Mpc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</si>
  <si>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Pos Hubble Sphere
(Gpc)</t>
  </si>
  <si>
    <t>Neg Hubble Sphere
(Gpc)</t>
  </si>
  <si>
    <t>Pos Particle Horizon
(Gpc)</t>
  </si>
  <si>
    <t>Neg Particle Horizon
(Gpc)</t>
  </si>
  <si>
    <t>Pos
 Light Cone (Gpc)</t>
  </si>
  <si>
    <t>Neg Light Cone (Gpc)</t>
  </si>
  <si>
    <t>Pos World Line (Gpc)</t>
  </si>
  <si>
    <t>Neg World Line (Gpc)</t>
  </si>
  <si>
    <t>Core Radius (kpc)</t>
  </si>
  <si>
    <r>
      <t>Core Mass (M</t>
    </r>
    <r>
      <rPr>
        <vertAlign val="subscript"/>
        <sz val="11"/>
        <color theme="1"/>
        <rFont val="Calibri"/>
        <family val="2"/>
        <scheme val="minor"/>
      </rPr>
      <t>☉</t>
    </r>
    <r>
      <rPr>
        <sz val="11"/>
        <color theme="1"/>
        <rFont val="Calibri"/>
        <family val="2"/>
        <scheme val="minor"/>
      </rPr>
      <t>)</t>
    </r>
  </si>
  <si>
    <t>Mass
(kg)</t>
  </si>
  <si>
    <t>Density</t>
  </si>
  <si>
    <r>
      <t>QES
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</si>
  <si>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Newton
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</si>
  <si>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Rotation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</si>
</sst>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"/>
    <numFmt numFmtId="168" formatCode="0.000E+00"/>
    <numFmt numFmtId="169" formatCode="0.000000000000"/>
    <numFmt numFmtId="170" formatCode="0.0000E+00"/>
    <numFmt numFmtId="171" formatCode="#,##0.00000"/>
    <numFmt numFmtId="172" formatCode="#,##0.0000"/>
  </numFmts>
  <fonts count="30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top" wrapText="1"/>
    </xf>
    <xf numFmtId="11" fontId="0" fillId="0" borderId="0" xfId="0" applyNumberFormat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1" fontId="0" fillId="0" borderId="0" xfId="0" applyNumberFormat="1"/>
    <xf numFmtId="2" fontId="0" fillId="0" borderId="0" xfId="0" applyNumberForma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right" vertical="top" wrapText="1"/>
    </xf>
    <xf numFmtId="1" fontId="0" fillId="0" borderId="0" xfId="0" applyNumberFormat="1" applyFont="1"/>
    <xf numFmtId="167" fontId="0" fillId="0" borderId="0" xfId="0" applyNumberFormat="1" applyAlignment="1">
      <alignment horizontal="right" vertical="top" wrapText="1"/>
    </xf>
    <xf numFmtId="2" fontId="2" fillId="0" borderId="0" xfId="0" applyNumberFormat="1" applyFont="1"/>
    <xf numFmtId="2" fontId="0" fillId="0" borderId="0" xfId="0" applyNumberFormat="1" applyFont="1" applyAlignment="1">
      <alignment horizontal="right" vertical="top" wrapText="1"/>
    </xf>
    <xf numFmtId="11" fontId="0" fillId="0" borderId="0" xfId="0" applyNumberFormat="1" applyFont="1" applyAlignment="1">
      <alignment horizontal="right" vertical="top" wrapText="1"/>
    </xf>
    <xf numFmtId="2" fontId="0" fillId="0" borderId="0" xfId="0" applyNumberFormat="1" applyFont="1"/>
    <xf numFmtId="11" fontId="0" fillId="0" borderId="0" xfId="0" applyNumberFormat="1" applyFont="1"/>
    <xf numFmtId="0" fontId="0" fillId="0" borderId="0" xfId="0" applyAlignment="1">
      <alignment horizontal="right" vertical="top"/>
    </xf>
    <xf numFmtId="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ont="1"/>
    <xf numFmtId="2" fontId="0" fillId="0" borderId="0" xfId="0" applyNumberFormat="1" applyFont="1" applyAlignment="1">
      <alignment horizontal="left" vertical="top" wrapText="1"/>
    </xf>
    <xf numFmtId="169" fontId="0" fillId="0" borderId="0" xfId="0" applyNumberFormat="1"/>
    <xf numFmtId="164" fontId="0" fillId="0" borderId="0" xfId="0" applyNumberFormat="1" applyFont="1"/>
    <xf numFmtId="2" fontId="3" fillId="0" borderId="0" xfId="0" applyNumberFormat="1" applyFont="1"/>
    <xf numFmtId="2" fontId="0" fillId="0" borderId="0" xfId="0" applyNumberFormat="1" applyAlignment="1">
      <alignment horizontal="right" vertical="top"/>
    </xf>
    <xf numFmtId="170" fontId="0" fillId="0" borderId="0" xfId="0" applyNumberFormat="1"/>
    <xf numFmtId="0" fontId="0" fillId="0" borderId="0" xfId="0"/>
    <xf numFmtId="167" fontId="0" fillId="0" borderId="0" xfId="0" applyNumberFormat="1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NumberFormat="1" applyAlignment="1">
      <alignment horizontal="right" vertical="center"/>
    </xf>
    <xf numFmtId="2" fontId="0" fillId="0" borderId="0" xfId="0" applyNumberFormat="1" applyFont="1" applyAlignment="1">
      <alignment horizontal="left" vertical="center" wrapText="1"/>
    </xf>
    <xf numFmtId="4" fontId="0" fillId="0" borderId="0" xfId="4" applyNumberFormat="1" applyFont="1"/>
    <xf numFmtId="9" fontId="0" fillId="0" borderId="0" xfId="3" applyFont="1"/>
    <xf numFmtId="167" fontId="0" fillId="0" borderId="0" xfId="0" applyNumberFormat="1" applyFont="1" applyAlignment="1">
      <alignment horizontal="right" vertical="top" wrapText="1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6" fillId="0" borderId="0" xfId="0" applyFont="1"/>
    <xf numFmtId="2" fontId="26" fillId="0" borderId="0" xfId="0" applyNumberFormat="1" applyFont="1" applyAlignment="1">
      <alignment horizontal="right"/>
    </xf>
    <xf numFmtId="167" fontId="26" fillId="0" borderId="0" xfId="0" applyNumberFormat="1" applyFont="1"/>
    <xf numFmtId="167" fontId="26" fillId="0" borderId="0" xfId="0" applyNumberFormat="1" applyFont="1" applyAlignment="1">
      <alignment horizontal="right"/>
    </xf>
    <xf numFmtId="171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4" applyNumberFormat="1" applyFont="1"/>
    <xf numFmtId="172" fontId="0" fillId="0" borderId="0" xfId="0" applyNumberFormat="1"/>
    <xf numFmtId="4" fontId="0" fillId="0" borderId="0" xfId="0" applyNumberFormat="1"/>
    <xf numFmtId="3" fontId="0" fillId="0" borderId="0" xfId="3" applyNumberFormat="1" applyFont="1"/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top"/>
    </xf>
    <xf numFmtId="11" fontId="0" fillId="0" borderId="0" xfId="0" applyNumberFormat="1" applyAlignment="1">
      <alignment horizontal="right" vertical="top"/>
    </xf>
    <xf numFmtId="11" fontId="2" fillId="33" borderId="0" xfId="0" applyNumberFormat="1" applyFont="1" applyFill="1"/>
    <xf numFmtId="1" fontId="2" fillId="33" borderId="0" xfId="0" applyNumberFormat="1" applyFont="1" applyFill="1"/>
    <xf numFmtId="11" fontId="0" fillId="33" borderId="0" xfId="0" applyNumberFormat="1" applyFill="1"/>
    <xf numFmtId="2" fontId="2" fillId="33" borderId="0" xfId="0" applyNumberFormat="1" applyFont="1" applyFill="1"/>
    <xf numFmtId="2" fontId="0" fillId="33" borderId="0" xfId="0" applyNumberFormat="1" applyFill="1"/>
    <xf numFmtId="1" fontId="0" fillId="0" borderId="0" xfId="0" applyNumberFormat="1" applyAlignment="1">
      <alignment vertical="center" wrapText="1"/>
    </xf>
    <xf numFmtId="1" fontId="25" fillId="0" borderId="0" xfId="0" applyNumberFormat="1" applyFont="1"/>
    <xf numFmtId="1" fontId="3" fillId="0" borderId="0" xfId="0" applyNumberFormat="1" applyFo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4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6000000}"/>
    <cellStyle name="Normal 3" xfId="2" xr:uid="{00000000-0005-0000-0000-000027000000}"/>
    <cellStyle name="Normal 4" xfId="5" xr:uid="{00000000-0005-0000-0000-000028000000}"/>
    <cellStyle name="Note" xfId="20" builtinId="10" customBuiltin="1"/>
    <cellStyle name="Output" xfId="15" builtinId="21" customBuiltin="1"/>
    <cellStyle name="Percent" xfId="3" builtinId="5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49FF"/>
      <color rgb="FF7E75EF"/>
      <color rgb="FF000000"/>
      <color rgb="FFE7C6C6"/>
      <color rgb="FFFF00FF"/>
      <color rgb="FFFF0000"/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273840769904"/>
          <c:y val="2.2933193792821844E-2"/>
          <c:w val="0.85367125984251968"/>
          <c:h val="0.86898551306557059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7-43DC-BFD6-5ECB1D69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6-4D58-B637-E6B206DDF043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6-4D58-B637-E6B206DD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Shift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(Mpc)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3823904041522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70472440944888"/>
          <c:y val="0.62289608516979456"/>
          <c:w val="0.25257633420822395"/>
          <c:h val="0.245534417600237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92523661815"/>
          <c:y val="4.6146106736657914E-2"/>
          <c:w val="0.84291656724727593"/>
          <c:h val="0.70440944881889767"/>
        </c:manualLayout>
      </c:layout>
      <c:scatterChart>
        <c:scatterStyle val="lineMarker"/>
        <c:varyColors val="0"/>
        <c:ser>
          <c:idx val="0"/>
          <c:order val="0"/>
          <c:tx>
            <c:v>QESError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Data'!$Q$7:$Q$482</c:f>
              <c:numCache>
                <c:formatCode>0.00</c:formatCode>
                <c:ptCount val="476"/>
                <c:pt idx="0">
                  <c:v>-7.5759450155388208E-2</c:v>
                </c:pt>
                <c:pt idx="1">
                  <c:v>-0.19243145015538943</c:v>
                </c:pt>
                <c:pt idx="2">
                  <c:v>-0.21405171910704723</c:v>
                </c:pt>
                <c:pt idx="3">
                  <c:v>0.10723528089295797</c:v>
                </c:pt>
                <c:pt idx="4">
                  <c:v>-0.11393171910704325</c:v>
                </c:pt>
                <c:pt idx="5">
                  <c:v>0.50924422081780563</c:v>
                </c:pt>
                <c:pt idx="6">
                  <c:v>-0.10385798223693143</c:v>
                </c:pt>
                <c:pt idx="7">
                  <c:v>9.8566509365603849E-2</c:v>
                </c:pt>
                <c:pt idx="8">
                  <c:v>-0.3284461224835411</c:v>
                </c:pt>
                <c:pt idx="9">
                  <c:v>7.6225093656034915E-3</c:v>
                </c:pt>
                <c:pt idx="10">
                  <c:v>-2.1417490634398462E-2</c:v>
                </c:pt>
                <c:pt idx="11">
                  <c:v>9.9653877516452383E-2</c:v>
                </c:pt>
                <c:pt idx="12">
                  <c:v>-0.69075549063439468</c:v>
                </c:pt>
                <c:pt idx="13">
                  <c:v>-0.26382968249630778</c:v>
                </c:pt>
                <c:pt idx="14">
                  <c:v>-0.1148634906343986</c:v>
                </c:pt>
                <c:pt idx="15">
                  <c:v>-0.14139349063439965</c:v>
                </c:pt>
                <c:pt idx="16">
                  <c:v>3.7560877516455093E-2</c:v>
                </c:pt>
                <c:pt idx="17">
                  <c:v>-0.26964949063440002</c:v>
                </c:pt>
                <c:pt idx="18">
                  <c:v>-0.63816268249631491</c:v>
                </c:pt>
                <c:pt idx="19">
                  <c:v>-8.9754122483540755E-2</c:v>
                </c:pt>
                <c:pt idx="20">
                  <c:v>-0.10965812248354467</c:v>
                </c:pt>
                <c:pt idx="21">
                  <c:v>-0.31043068249631034</c:v>
                </c:pt>
                <c:pt idx="22">
                  <c:v>-0.18872412248354209</c:v>
                </c:pt>
                <c:pt idx="23">
                  <c:v>-0.29732512248354226</c:v>
                </c:pt>
                <c:pt idx="24">
                  <c:v>-0.12620512248354743</c:v>
                </c:pt>
                <c:pt idx="25">
                  <c:v>-0.16117268249631422</c:v>
                </c:pt>
                <c:pt idx="26">
                  <c:v>-7.3046122483546583E-2</c:v>
                </c:pt>
                <c:pt idx="27">
                  <c:v>0.15440731750368997</c:v>
                </c:pt>
                <c:pt idx="28">
                  <c:v>-0.44958574878588564</c:v>
                </c:pt>
                <c:pt idx="29">
                  <c:v>-3.5956748785892501E-2</c:v>
                </c:pt>
                <c:pt idx="30">
                  <c:v>-0.11770774878588952</c:v>
                </c:pt>
                <c:pt idx="31">
                  <c:v>-0.100083474360396</c:v>
                </c:pt>
                <c:pt idx="32">
                  <c:v>-0.21495274878589044</c:v>
                </c:pt>
                <c:pt idx="33">
                  <c:v>-0.40114547436039771</c:v>
                </c:pt>
                <c:pt idx="34">
                  <c:v>0.1140118015773055</c:v>
                </c:pt>
                <c:pt idx="35">
                  <c:v>0.30166580157730039</c:v>
                </c:pt>
                <c:pt idx="36">
                  <c:v>8.2866141759005529E-2</c:v>
                </c:pt>
                <c:pt idx="37">
                  <c:v>6.177014175899842E-2</c:v>
                </c:pt>
                <c:pt idx="38">
                  <c:v>-0.29845648487224707</c:v>
                </c:pt>
                <c:pt idx="39">
                  <c:v>-0.34192048487224724</c:v>
                </c:pt>
                <c:pt idx="40">
                  <c:v>1.5003141759002858E-2</c:v>
                </c:pt>
                <c:pt idx="41">
                  <c:v>-1.4261995174209119E-2</c:v>
                </c:pt>
                <c:pt idx="42">
                  <c:v>-7.101299517420756E-2</c:v>
                </c:pt>
                <c:pt idx="43">
                  <c:v>-0.16676799517420449</c:v>
                </c:pt>
                <c:pt idx="44">
                  <c:v>5.1310004825793953E-2</c:v>
                </c:pt>
                <c:pt idx="45">
                  <c:v>-0.37048599517420655</c:v>
                </c:pt>
                <c:pt idx="46">
                  <c:v>-0.25487780313936526</c:v>
                </c:pt>
                <c:pt idx="47">
                  <c:v>0.10344919686063747</c:v>
                </c:pt>
                <c:pt idx="48">
                  <c:v>5.5444004825787374E-2</c:v>
                </c:pt>
                <c:pt idx="49">
                  <c:v>-5.7807803139361624E-2</c:v>
                </c:pt>
                <c:pt idx="50">
                  <c:v>-0.30195010091023988</c:v>
                </c:pt>
                <c:pt idx="51">
                  <c:v>-4.0486803139366145E-2</c:v>
                </c:pt>
                <c:pt idx="52">
                  <c:v>-3.2388100910232254E-2</c:v>
                </c:pt>
                <c:pt idx="53">
                  <c:v>9.6917680737099943E-2</c:v>
                </c:pt>
                <c:pt idx="54">
                  <c:v>-7.5844319262905913E-2</c:v>
                </c:pt>
                <c:pt idx="55">
                  <c:v>-0.12404780313936214</c:v>
                </c:pt>
                <c:pt idx="56">
                  <c:v>-0.18815431926289961</c:v>
                </c:pt>
                <c:pt idx="57">
                  <c:v>3.9696680737101531E-2</c:v>
                </c:pt>
                <c:pt idx="58">
                  <c:v>0.10433468073709662</c:v>
                </c:pt>
                <c:pt idx="59">
                  <c:v>-0.33118610091023726</c:v>
                </c:pt>
                <c:pt idx="60">
                  <c:v>0.13129189908976713</c:v>
                </c:pt>
                <c:pt idx="61">
                  <c:v>-0.36655810091023255</c:v>
                </c:pt>
                <c:pt idx="62">
                  <c:v>-0.1021011636609046</c:v>
                </c:pt>
                <c:pt idx="63">
                  <c:v>-9.4226845045511709E-2</c:v>
                </c:pt>
                <c:pt idx="64">
                  <c:v>-0.31931210091023843</c:v>
                </c:pt>
                <c:pt idx="65">
                  <c:v>-0.1492261636609058</c:v>
                </c:pt>
                <c:pt idx="66">
                  <c:v>0.26916983633909553</c:v>
                </c:pt>
                <c:pt idx="67">
                  <c:v>-0.34003216366090072</c:v>
                </c:pt>
                <c:pt idx="68">
                  <c:v>-0.14104816366090489</c:v>
                </c:pt>
                <c:pt idx="69">
                  <c:v>-0.52025584504551148</c:v>
                </c:pt>
                <c:pt idx="70">
                  <c:v>-0.12698584504551036</c:v>
                </c:pt>
                <c:pt idx="71">
                  <c:v>3.6165035151611846E-3</c:v>
                </c:pt>
                <c:pt idx="72">
                  <c:v>-0.21327749648483518</c:v>
                </c:pt>
                <c:pt idx="73">
                  <c:v>-9.4000759027323966E-3</c:v>
                </c:pt>
                <c:pt idx="74">
                  <c:v>-0.23174504690953057</c:v>
                </c:pt>
                <c:pt idx="75">
                  <c:v>-0.28083007590273468</c:v>
                </c:pt>
                <c:pt idx="76">
                  <c:v>0.15297792409727151</c:v>
                </c:pt>
                <c:pt idx="77">
                  <c:v>-0.22167707590273267</c:v>
                </c:pt>
                <c:pt idx="78">
                  <c:v>0.28228095309046353</c:v>
                </c:pt>
                <c:pt idx="79">
                  <c:v>7.2279953090465199E-2</c:v>
                </c:pt>
                <c:pt idx="80">
                  <c:v>1.5194717858037166E-2</c:v>
                </c:pt>
                <c:pt idx="81">
                  <c:v>-3.7345728340703488E-2</c:v>
                </c:pt>
                <c:pt idx="82">
                  <c:v>1.4270271659299283E-2</c:v>
                </c:pt>
                <c:pt idx="83">
                  <c:v>-7.9154282141963961E-2</c:v>
                </c:pt>
                <c:pt idx="84">
                  <c:v>-5.8449046909537117E-2</c:v>
                </c:pt>
                <c:pt idx="85">
                  <c:v>1.1016717858041147E-2</c:v>
                </c:pt>
                <c:pt idx="86">
                  <c:v>0.18025959558811877</c:v>
                </c:pt>
                <c:pt idx="87">
                  <c:v>0.22529322874551383</c:v>
                </c:pt>
                <c:pt idx="88">
                  <c:v>-0.11671540441188455</c:v>
                </c:pt>
                <c:pt idx="89">
                  <c:v>-0.27147677125448411</c:v>
                </c:pt>
                <c:pt idx="90">
                  <c:v>-0.36144028090351554</c:v>
                </c:pt>
                <c:pt idx="91">
                  <c:v>-3.3491771254489322E-2</c:v>
                </c:pt>
                <c:pt idx="92">
                  <c:v>-0.23670077125449041</c:v>
                </c:pt>
                <c:pt idx="93">
                  <c:v>9.5080874376016311E-2</c:v>
                </c:pt>
                <c:pt idx="94">
                  <c:v>0.23256187437602449</c:v>
                </c:pt>
                <c:pt idx="95">
                  <c:v>-0.30784612562398195</c:v>
                </c:pt>
                <c:pt idx="96">
                  <c:v>-0.20537051237230486</c:v>
                </c:pt>
                <c:pt idx="97">
                  <c:v>-0.19534272063883407</c:v>
                </c:pt>
                <c:pt idx="98">
                  <c:v>-0.31428451237230348</c:v>
                </c:pt>
                <c:pt idx="99">
                  <c:v>-3.1683684348848828E-2</c:v>
                </c:pt>
                <c:pt idx="100">
                  <c:v>0.1184062240843744</c:v>
                </c:pt>
                <c:pt idx="101">
                  <c:v>0.13243477360280309</c:v>
                </c:pt>
                <c:pt idx="102">
                  <c:v>0.14915977360281119</c:v>
                </c:pt>
                <c:pt idx="103">
                  <c:v>-0.40065035310488639</c:v>
                </c:pt>
                <c:pt idx="104">
                  <c:v>-0.11554532773989479</c:v>
                </c:pt>
                <c:pt idx="105">
                  <c:v>-5.4863917449004873E-2</c:v>
                </c:pt>
                <c:pt idx="106">
                  <c:v>-0.49570691744900586</c:v>
                </c:pt>
                <c:pt idx="107">
                  <c:v>9.5065919904364193E-2</c:v>
                </c:pt>
                <c:pt idx="108">
                  <c:v>5.9481674576964849E-2</c:v>
                </c:pt>
                <c:pt idx="109">
                  <c:v>5.822951707604318E-2</c:v>
                </c:pt>
                <c:pt idx="110">
                  <c:v>-5.4275525535800284E-2</c:v>
                </c:pt>
                <c:pt idx="111">
                  <c:v>0.14499500599738724</c:v>
                </c:pt>
                <c:pt idx="112">
                  <c:v>-0.10968832252306981</c:v>
                </c:pt>
                <c:pt idx="113">
                  <c:v>-0.32391779836325441</c:v>
                </c:pt>
                <c:pt idx="114">
                  <c:v>0.17185520163674539</c:v>
                </c:pt>
                <c:pt idx="115">
                  <c:v>-0.11244141047058065</c:v>
                </c:pt>
                <c:pt idx="116">
                  <c:v>-0.34164079836325811</c:v>
                </c:pt>
                <c:pt idx="117">
                  <c:v>-7.8371410470580827E-2</c:v>
                </c:pt>
                <c:pt idx="118">
                  <c:v>-0.10510959583466928</c:v>
                </c:pt>
                <c:pt idx="119">
                  <c:v>0.25416760525388327</c:v>
                </c:pt>
                <c:pt idx="120">
                  <c:v>-0.12622322955736109</c:v>
                </c:pt>
                <c:pt idx="121">
                  <c:v>-0.19319602322896401</c:v>
                </c:pt>
                <c:pt idx="122">
                  <c:v>-6.2594001320682935E-2</c:v>
                </c:pt>
                <c:pt idx="123">
                  <c:v>-0.22437100132068366</c:v>
                </c:pt>
                <c:pt idx="124">
                  <c:v>-0.1275879699448268</c:v>
                </c:pt>
                <c:pt idx="125">
                  <c:v>-0.15191510155403165</c:v>
                </c:pt>
                <c:pt idx="126">
                  <c:v>-0.24378290592527208</c:v>
                </c:pt>
                <c:pt idx="127">
                  <c:v>-5.3542606541910231E-2</c:v>
                </c:pt>
                <c:pt idx="128">
                  <c:v>-4.8220606541917732E-2</c:v>
                </c:pt>
                <c:pt idx="129">
                  <c:v>-0.30288447468909396</c:v>
                </c:pt>
                <c:pt idx="130">
                  <c:v>-0.17161135415797446</c:v>
                </c:pt>
                <c:pt idx="131">
                  <c:v>2.7962745604085626E-2</c:v>
                </c:pt>
                <c:pt idx="132">
                  <c:v>0.16716558496111844</c:v>
                </c:pt>
                <c:pt idx="133">
                  <c:v>0.14065208841942933</c:v>
                </c:pt>
                <c:pt idx="134">
                  <c:v>2.8475293287186787E-3</c:v>
                </c:pt>
                <c:pt idx="135">
                  <c:v>-0.12329475255641853</c:v>
                </c:pt>
                <c:pt idx="136">
                  <c:v>-6.8812143769939382E-2</c:v>
                </c:pt>
                <c:pt idx="137">
                  <c:v>-0.30938032439505037</c:v>
                </c:pt>
                <c:pt idx="138">
                  <c:v>-0.11521544031893427</c:v>
                </c:pt>
                <c:pt idx="139">
                  <c:v>-1.2736288273842433E-2</c:v>
                </c:pt>
                <c:pt idx="140">
                  <c:v>5.4446711726143349E-2</c:v>
                </c:pt>
                <c:pt idx="141">
                  <c:v>-0.20851187369015634</c:v>
                </c:pt>
                <c:pt idx="142">
                  <c:v>-0.15924160384129493</c:v>
                </c:pt>
                <c:pt idx="143">
                  <c:v>-0.2328480967055313</c:v>
                </c:pt>
                <c:pt idx="144">
                  <c:v>-0.2846588301022166</c:v>
                </c:pt>
                <c:pt idx="145">
                  <c:v>0.17613416989778585</c:v>
                </c:pt>
                <c:pt idx="146">
                  <c:v>-0.16094035243719418</c:v>
                </c:pt>
                <c:pt idx="147">
                  <c:v>-2.9762352437195716E-2</c:v>
                </c:pt>
                <c:pt idx="148">
                  <c:v>-0.12896683029531175</c:v>
                </c:pt>
                <c:pt idx="149">
                  <c:v>0.10025835272600148</c:v>
                </c:pt>
                <c:pt idx="150">
                  <c:v>-0.17044340941059488</c:v>
                </c:pt>
                <c:pt idx="151">
                  <c:v>0.20567259058940124</c:v>
                </c:pt>
                <c:pt idx="152">
                  <c:v>-1.9997500491591325E-2</c:v>
                </c:pt>
                <c:pt idx="153">
                  <c:v>-0.2119644097886777</c:v>
                </c:pt>
                <c:pt idx="154">
                  <c:v>-0.2059382479659746</c:v>
                </c:pt>
                <c:pt idx="155">
                  <c:v>-0.35803613324288364</c:v>
                </c:pt>
                <c:pt idx="156">
                  <c:v>-0.18539171277742383</c:v>
                </c:pt>
                <c:pt idx="157">
                  <c:v>0.24621081284877278</c:v>
                </c:pt>
                <c:pt idx="158">
                  <c:v>-9.3881056708674748E-2</c:v>
                </c:pt>
                <c:pt idx="159">
                  <c:v>-0.14960989556421112</c:v>
                </c:pt>
                <c:pt idx="160">
                  <c:v>-2.9076138361588733E-2</c:v>
                </c:pt>
                <c:pt idx="161">
                  <c:v>0.34819510251174535</c:v>
                </c:pt>
                <c:pt idx="162">
                  <c:v>-0.15212390286461641</c:v>
                </c:pt>
                <c:pt idx="163">
                  <c:v>1.3730971353780319E-3</c:v>
                </c:pt>
                <c:pt idx="164">
                  <c:v>-0.27215136159071562</c:v>
                </c:pt>
                <c:pt idx="165">
                  <c:v>7.0008674836692819E-2</c:v>
                </c:pt>
                <c:pt idx="166">
                  <c:v>-4.4828325163308591E-2</c:v>
                </c:pt>
                <c:pt idx="167">
                  <c:v>-8.5396055558106809E-2</c:v>
                </c:pt>
                <c:pt idx="168">
                  <c:v>-5.6623580611883995E-2</c:v>
                </c:pt>
                <c:pt idx="169">
                  <c:v>-6.4977105870823948E-2</c:v>
                </c:pt>
                <c:pt idx="170">
                  <c:v>-7.7303624193618248E-2</c:v>
                </c:pt>
                <c:pt idx="171">
                  <c:v>0.10914752665242133</c:v>
                </c:pt>
                <c:pt idx="172">
                  <c:v>0.21801153051861633</c:v>
                </c:pt>
                <c:pt idx="173">
                  <c:v>7.6696519267315466E-2</c:v>
                </c:pt>
                <c:pt idx="174">
                  <c:v>-8.0486189184398427E-2</c:v>
                </c:pt>
                <c:pt idx="175">
                  <c:v>-5.3888968690195327E-2</c:v>
                </c:pt>
                <c:pt idx="176">
                  <c:v>3.7038852345233408E-2</c:v>
                </c:pt>
                <c:pt idx="177">
                  <c:v>-0.2225316589764148</c:v>
                </c:pt>
                <c:pt idx="178">
                  <c:v>-0.15090382023488047</c:v>
                </c:pt>
                <c:pt idx="179">
                  <c:v>-0.15835208607324347</c:v>
                </c:pt>
                <c:pt idx="180">
                  <c:v>0.12447903683484185</c:v>
                </c:pt>
                <c:pt idx="181">
                  <c:v>0.37102493121377478</c:v>
                </c:pt>
                <c:pt idx="182">
                  <c:v>-0.11384345947708141</c:v>
                </c:pt>
                <c:pt idx="183">
                  <c:v>-1.3491459477080525E-2</c:v>
                </c:pt>
                <c:pt idx="184">
                  <c:v>-2.6269553576199201E-2</c:v>
                </c:pt>
                <c:pt idx="185">
                  <c:v>-0.13089029038876987</c:v>
                </c:pt>
                <c:pt idx="186">
                  <c:v>-0.4065976388916468</c:v>
                </c:pt>
                <c:pt idx="187">
                  <c:v>-0.30876932062935225</c:v>
                </c:pt>
                <c:pt idx="188">
                  <c:v>8.6813144149921584E-2</c:v>
                </c:pt>
                <c:pt idx="189">
                  <c:v>-0.2679263861882788</c:v>
                </c:pt>
                <c:pt idx="190">
                  <c:v>3.0751613811723644E-2</c:v>
                </c:pt>
                <c:pt idx="191">
                  <c:v>0.10681645078568636</c:v>
                </c:pt>
                <c:pt idx="192">
                  <c:v>4.6488714272143739E-2</c:v>
                </c:pt>
                <c:pt idx="193">
                  <c:v>-2.0928705753107124E-3</c:v>
                </c:pt>
                <c:pt idx="194">
                  <c:v>-0.16280557536735785</c:v>
                </c:pt>
                <c:pt idx="195">
                  <c:v>-3.7392078042074672E-2</c:v>
                </c:pt>
                <c:pt idx="196">
                  <c:v>5.4590084237723602E-2</c:v>
                </c:pt>
                <c:pt idx="197">
                  <c:v>-3.7467184688381394E-2</c:v>
                </c:pt>
                <c:pt idx="198">
                  <c:v>-8.7295184688386485E-2</c:v>
                </c:pt>
                <c:pt idx="199">
                  <c:v>0.10755881531162004</c:v>
                </c:pt>
                <c:pt idx="200">
                  <c:v>2.8782903463259402E-2</c:v>
                </c:pt>
                <c:pt idx="201">
                  <c:v>0.10985190346325879</c:v>
                </c:pt>
                <c:pt idx="202">
                  <c:v>-7.0579593796423978E-2</c:v>
                </c:pt>
                <c:pt idx="203">
                  <c:v>-0.24551059379642481</c:v>
                </c:pt>
                <c:pt idx="204">
                  <c:v>0.15778916615640526</c:v>
                </c:pt>
                <c:pt idx="205">
                  <c:v>-0.13277983384358549</c:v>
                </c:pt>
                <c:pt idx="206">
                  <c:v>-7.4478648952123194E-2</c:v>
                </c:pt>
                <c:pt idx="207">
                  <c:v>-9.5335855112793411E-2</c:v>
                </c:pt>
                <c:pt idx="208">
                  <c:v>-0.26790400795373159</c:v>
                </c:pt>
                <c:pt idx="209">
                  <c:v>0.17590969011731517</c:v>
                </c:pt>
                <c:pt idx="210">
                  <c:v>0.10729136170720466</c:v>
                </c:pt>
                <c:pt idx="211">
                  <c:v>0.16101066455555468</c:v>
                </c:pt>
                <c:pt idx="212">
                  <c:v>-0.23601578469439488</c:v>
                </c:pt>
                <c:pt idx="213">
                  <c:v>0.22486547834518689</c:v>
                </c:pt>
                <c:pt idx="214">
                  <c:v>9.7082002363798381E-2</c:v>
                </c:pt>
                <c:pt idx="215">
                  <c:v>-0.17421657865926932</c:v>
                </c:pt>
                <c:pt idx="216">
                  <c:v>-0.10473283424257573</c:v>
                </c:pt>
                <c:pt idx="217">
                  <c:v>-7.1133723389145587E-2</c:v>
                </c:pt>
                <c:pt idx="218">
                  <c:v>4.094460040208503E-2</c:v>
                </c:pt>
                <c:pt idx="219">
                  <c:v>0.27202560040208823</c:v>
                </c:pt>
                <c:pt idx="220">
                  <c:v>-7.0038916334091539E-2</c:v>
                </c:pt>
                <c:pt idx="221">
                  <c:v>0.29913445546632289</c:v>
                </c:pt>
                <c:pt idx="222">
                  <c:v>1.0645455466324449E-2</c:v>
                </c:pt>
                <c:pt idx="223">
                  <c:v>-0.10578216175085231</c:v>
                </c:pt>
                <c:pt idx="224">
                  <c:v>-3.2074425559102338E-2</c:v>
                </c:pt>
                <c:pt idx="225">
                  <c:v>7.6599348063538741E-2</c:v>
                </c:pt>
                <c:pt idx="226">
                  <c:v>-0.22755658217376151</c:v>
                </c:pt>
                <c:pt idx="227">
                  <c:v>-0.2062066806013263</c:v>
                </c:pt>
                <c:pt idx="228">
                  <c:v>-7.6937847050103869E-2</c:v>
                </c:pt>
                <c:pt idx="229">
                  <c:v>-0.1431761583292257</c:v>
                </c:pt>
                <c:pt idx="230">
                  <c:v>3.6049841670774185E-2</c:v>
                </c:pt>
                <c:pt idx="231">
                  <c:v>0.26156622707904376</c:v>
                </c:pt>
                <c:pt idx="232">
                  <c:v>-2.9714086196150902E-2</c:v>
                </c:pt>
                <c:pt idx="233">
                  <c:v>0.24874691380384917</c:v>
                </c:pt>
                <c:pt idx="234">
                  <c:v>-0.14462162121234456</c:v>
                </c:pt>
                <c:pt idx="235">
                  <c:v>0.34816337878765324</c:v>
                </c:pt>
                <c:pt idx="236">
                  <c:v>7.2054792317899796E-2</c:v>
                </c:pt>
                <c:pt idx="237">
                  <c:v>6.4664476523574876E-3</c:v>
                </c:pt>
                <c:pt idx="238">
                  <c:v>-1.9116274582650306E-2</c:v>
                </c:pt>
                <c:pt idx="239">
                  <c:v>-2.3988847491054344E-2</c:v>
                </c:pt>
                <c:pt idx="240">
                  <c:v>8.0299363803952417E-2</c:v>
                </c:pt>
                <c:pt idx="241">
                  <c:v>0.14276636380395757</c:v>
                </c:pt>
                <c:pt idx="242">
                  <c:v>5.7630405588888323E-2</c:v>
                </c:pt>
                <c:pt idx="243">
                  <c:v>6.0265079523524889E-2</c:v>
                </c:pt>
                <c:pt idx="244">
                  <c:v>4.7744298853352518E-2</c:v>
                </c:pt>
                <c:pt idx="245">
                  <c:v>0.21066597751486427</c:v>
                </c:pt>
                <c:pt idx="246">
                  <c:v>0.18455137198979799</c:v>
                </c:pt>
                <c:pt idx="247">
                  <c:v>-0.24681216259146765</c:v>
                </c:pt>
                <c:pt idx="248">
                  <c:v>-0.40864870927438801</c:v>
                </c:pt>
                <c:pt idx="249">
                  <c:v>0.11466720422790644</c:v>
                </c:pt>
                <c:pt idx="250">
                  <c:v>2.574481341426349E-2</c:v>
                </c:pt>
                <c:pt idx="251">
                  <c:v>0.2185570837869335</c:v>
                </c:pt>
                <c:pt idx="252">
                  <c:v>0.34229104973069724</c:v>
                </c:pt>
                <c:pt idx="253">
                  <c:v>3.8058005390560368E-2</c:v>
                </c:pt>
                <c:pt idx="254">
                  <c:v>3.2507124231031526E-2</c:v>
                </c:pt>
                <c:pt idx="255">
                  <c:v>-0.14011514241246203</c:v>
                </c:pt>
                <c:pt idx="256">
                  <c:v>0.22732338134592567</c:v>
                </c:pt>
                <c:pt idx="257">
                  <c:v>-0.23719302034123046</c:v>
                </c:pt>
                <c:pt idx="258">
                  <c:v>0.17908577261670189</c:v>
                </c:pt>
                <c:pt idx="259">
                  <c:v>-4.2379830714601496E-2</c:v>
                </c:pt>
                <c:pt idx="260">
                  <c:v>-9.5397247944234209E-2</c:v>
                </c:pt>
                <c:pt idx="261">
                  <c:v>0.16613978103718097</c:v>
                </c:pt>
                <c:pt idx="262">
                  <c:v>-8.5619218962811772E-2</c:v>
                </c:pt>
                <c:pt idx="263">
                  <c:v>6.8348424906467642E-2</c:v>
                </c:pt>
                <c:pt idx="264">
                  <c:v>-6.989026573549495E-3</c:v>
                </c:pt>
                <c:pt idx="265">
                  <c:v>-0.21463508366271355</c:v>
                </c:pt>
                <c:pt idx="266">
                  <c:v>-0.23979550645032788</c:v>
                </c:pt>
                <c:pt idx="267">
                  <c:v>0.20912949354966059</c:v>
                </c:pt>
                <c:pt idx="268">
                  <c:v>0.4667683651905179</c:v>
                </c:pt>
                <c:pt idx="269">
                  <c:v>0.3235089345342459</c:v>
                </c:pt>
                <c:pt idx="270">
                  <c:v>-0.12630506546575759</c:v>
                </c:pt>
                <c:pt idx="271">
                  <c:v>0.27844393453424487</c:v>
                </c:pt>
                <c:pt idx="272">
                  <c:v>0.31807442056143742</c:v>
                </c:pt>
                <c:pt idx="273">
                  <c:v>0.12386848213530044</c:v>
                </c:pt>
                <c:pt idx="274">
                  <c:v>-0.18563867156278491</c:v>
                </c:pt>
                <c:pt idx="275">
                  <c:v>6.0874771933740135E-2</c:v>
                </c:pt>
                <c:pt idx="276">
                  <c:v>1.7829124930131002E-2</c:v>
                </c:pt>
                <c:pt idx="277">
                  <c:v>0.16957768661410455</c:v>
                </c:pt>
                <c:pt idx="278">
                  <c:v>0.12986651992928699</c:v>
                </c:pt>
                <c:pt idx="279">
                  <c:v>0.14796451992928183</c:v>
                </c:pt>
                <c:pt idx="280">
                  <c:v>-6.5905109158407527E-2</c:v>
                </c:pt>
                <c:pt idx="281">
                  <c:v>-7.6230672333309712E-2</c:v>
                </c:pt>
                <c:pt idx="282">
                  <c:v>0.16657212210503758</c:v>
                </c:pt>
                <c:pt idx="283">
                  <c:v>0.18197510894324864</c:v>
                </c:pt>
                <c:pt idx="284">
                  <c:v>0.11303076921753785</c:v>
                </c:pt>
                <c:pt idx="285">
                  <c:v>-1.0421230782469593E-2</c:v>
                </c:pt>
                <c:pt idx="286">
                  <c:v>-6.9542199094691171E-2</c:v>
                </c:pt>
                <c:pt idx="287">
                  <c:v>6.4321310589726011E-2</c:v>
                </c:pt>
                <c:pt idx="288">
                  <c:v>9.9426765656609462E-2</c:v>
                </c:pt>
                <c:pt idx="289">
                  <c:v>-4.5748701451998386E-2</c:v>
                </c:pt>
                <c:pt idx="290">
                  <c:v>3.0506504238019261E-3</c:v>
                </c:pt>
                <c:pt idx="291">
                  <c:v>-5.2122898815099461E-2</c:v>
                </c:pt>
                <c:pt idx="292">
                  <c:v>-0.1385046492374542</c:v>
                </c:pt>
                <c:pt idx="293">
                  <c:v>8.6267701767532401E-2</c:v>
                </c:pt>
                <c:pt idx="294">
                  <c:v>-0.31883990449751565</c:v>
                </c:pt>
                <c:pt idx="295">
                  <c:v>-7.6399491355836346E-2</c:v>
                </c:pt>
                <c:pt idx="296">
                  <c:v>0.19124550864415824</c:v>
                </c:pt>
                <c:pt idx="297">
                  <c:v>6.3681508644158669E-2</c:v>
                </c:pt>
                <c:pt idx="298">
                  <c:v>0.17654894571498403</c:v>
                </c:pt>
                <c:pt idx="299">
                  <c:v>-3.1393168588678577E-2</c:v>
                </c:pt>
                <c:pt idx="300">
                  <c:v>0.34672783141131447</c:v>
                </c:pt>
                <c:pt idx="301">
                  <c:v>0.1906492982239314</c:v>
                </c:pt>
                <c:pt idx="302">
                  <c:v>-5.1748552701049277E-2</c:v>
                </c:pt>
                <c:pt idx="303">
                  <c:v>-0.12624895155942539</c:v>
                </c:pt>
                <c:pt idx="304">
                  <c:v>0.15252374239211974</c:v>
                </c:pt>
                <c:pt idx="305">
                  <c:v>0.23885894221051274</c:v>
                </c:pt>
                <c:pt idx="306">
                  <c:v>-0.15154362633359142</c:v>
                </c:pt>
                <c:pt idx="307">
                  <c:v>0.29014125888473075</c:v>
                </c:pt>
                <c:pt idx="308">
                  <c:v>-7.3275741115267579E-2</c:v>
                </c:pt>
                <c:pt idx="309">
                  <c:v>8.0352588847318884E-3</c:v>
                </c:pt>
                <c:pt idx="310">
                  <c:v>0.19479600224966021</c:v>
                </c:pt>
                <c:pt idx="311">
                  <c:v>0.11439455644124052</c:v>
                </c:pt>
                <c:pt idx="312">
                  <c:v>9.9521205625428877E-2</c:v>
                </c:pt>
                <c:pt idx="313">
                  <c:v>0.27516120562543023</c:v>
                </c:pt>
                <c:pt idx="314">
                  <c:v>0.33726320562544032</c:v>
                </c:pt>
                <c:pt idx="315">
                  <c:v>0.21366513522578856</c:v>
                </c:pt>
                <c:pt idx="316">
                  <c:v>0.14477342385733039</c:v>
                </c:pt>
                <c:pt idx="317">
                  <c:v>-0.13572972775133962</c:v>
                </c:pt>
                <c:pt idx="318">
                  <c:v>0.10534927224865953</c:v>
                </c:pt>
                <c:pt idx="319">
                  <c:v>-0.15933673297468687</c:v>
                </c:pt>
                <c:pt idx="320">
                  <c:v>8.0356706311626169E-2</c:v>
                </c:pt>
                <c:pt idx="321">
                  <c:v>0.48062571286629918</c:v>
                </c:pt>
                <c:pt idx="322">
                  <c:v>0.22195394852894879</c:v>
                </c:pt>
                <c:pt idx="323">
                  <c:v>-4.2720886866298713E-2</c:v>
                </c:pt>
                <c:pt idx="324">
                  <c:v>0.34960211313369882</c:v>
                </c:pt>
                <c:pt idx="325">
                  <c:v>-4.9254303402605615E-2</c:v>
                </c:pt>
                <c:pt idx="326">
                  <c:v>0.43644797075512543</c:v>
                </c:pt>
                <c:pt idx="327">
                  <c:v>0.1820278251565739</c:v>
                </c:pt>
                <c:pt idx="328">
                  <c:v>9.7506068049682426E-2</c:v>
                </c:pt>
                <c:pt idx="329">
                  <c:v>0.13048106804967574</c:v>
                </c:pt>
                <c:pt idx="330">
                  <c:v>-3.5628973252144647E-2</c:v>
                </c:pt>
                <c:pt idx="331">
                  <c:v>-0.10691458658169495</c:v>
                </c:pt>
                <c:pt idx="332">
                  <c:v>-0.14087889518352625</c:v>
                </c:pt>
                <c:pt idx="333">
                  <c:v>0.10790839286383402</c:v>
                </c:pt>
                <c:pt idx="334">
                  <c:v>0.14759143439356137</c:v>
                </c:pt>
                <c:pt idx="335">
                  <c:v>7.3885024111135067E-2</c:v>
                </c:pt>
                <c:pt idx="336">
                  <c:v>0.23159465584661376</c:v>
                </c:pt>
                <c:pt idx="337">
                  <c:v>5.3531655846612125E-2</c:v>
                </c:pt>
                <c:pt idx="338">
                  <c:v>8.8486265517516927E-2</c:v>
                </c:pt>
                <c:pt idx="339">
                  <c:v>0.18282526551751488</c:v>
                </c:pt>
                <c:pt idx="340">
                  <c:v>0.12849643896985441</c:v>
                </c:pt>
                <c:pt idx="341">
                  <c:v>2.8177969335239084E-2</c:v>
                </c:pt>
                <c:pt idx="342">
                  <c:v>2.4329075728630301E-2</c:v>
                </c:pt>
                <c:pt idx="343">
                  <c:v>0.22039522753308205</c:v>
                </c:pt>
                <c:pt idx="344">
                  <c:v>0.20144406923620295</c:v>
                </c:pt>
                <c:pt idx="345">
                  <c:v>0.37546534760367933</c:v>
                </c:pt>
                <c:pt idx="346">
                  <c:v>9.6508129638827711E-2</c:v>
                </c:pt>
                <c:pt idx="347">
                  <c:v>0.26123939672828556</c:v>
                </c:pt>
                <c:pt idx="348">
                  <c:v>0.32396536557784117</c:v>
                </c:pt>
                <c:pt idx="349">
                  <c:v>8.6980554912777563E-2</c:v>
                </c:pt>
                <c:pt idx="350">
                  <c:v>3.2623554912774466E-2</c:v>
                </c:pt>
                <c:pt idx="351">
                  <c:v>0.39788344362310113</c:v>
                </c:pt>
                <c:pt idx="352">
                  <c:v>0.62833131567932554</c:v>
                </c:pt>
                <c:pt idx="353">
                  <c:v>4.3984781364329706E-2</c:v>
                </c:pt>
                <c:pt idx="354">
                  <c:v>0.29122214548766578</c:v>
                </c:pt>
                <c:pt idx="355">
                  <c:v>0.16355514548766337</c:v>
                </c:pt>
                <c:pt idx="356">
                  <c:v>0.14596814548765735</c:v>
                </c:pt>
                <c:pt idx="357">
                  <c:v>5.8756394696494851E-2</c:v>
                </c:pt>
                <c:pt idx="358">
                  <c:v>5.5991394696498276E-2</c:v>
                </c:pt>
                <c:pt idx="359">
                  <c:v>7.8375156935663881E-3</c:v>
                </c:pt>
                <c:pt idx="360">
                  <c:v>0.29364149523688354</c:v>
                </c:pt>
                <c:pt idx="361">
                  <c:v>0.20889147038036526</c:v>
                </c:pt>
                <c:pt idx="362">
                  <c:v>0.11864437495014357</c:v>
                </c:pt>
                <c:pt idx="363">
                  <c:v>6.565393513227491E-2</c:v>
                </c:pt>
                <c:pt idx="364">
                  <c:v>-1.3621834680776601E-2</c:v>
                </c:pt>
                <c:pt idx="365">
                  <c:v>0.34950701255558414</c:v>
                </c:pt>
                <c:pt idx="366">
                  <c:v>0.10141513481725184</c:v>
                </c:pt>
                <c:pt idx="367">
                  <c:v>0.17076907923104301</c:v>
                </c:pt>
                <c:pt idx="368">
                  <c:v>0.50912776300425833</c:v>
                </c:pt>
                <c:pt idx="369">
                  <c:v>-7.4453236995751126E-2</c:v>
                </c:pt>
                <c:pt idx="370">
                  <c:v>0.13670960334345494</c:v>
                </c:pt>
                <c:pt idx="371">
                  <c:v>0.1207369175330868</c:v>
                </c:pt>
                <c:pt idx="372">
                  <c:v>0.19571369394719085</c:v>
                </c:pt>
                <c:pt idx="373">
                  <c:v>-9.8470789940918735E-3</c:v>
                </c:pt>
                <c:pt idx="374">
                  <c:v>0.42390158717525139</c:v>
                </c:pt>
                <c:pt idx="375">
                  <c:v>0.54514410568944527</c:v>
                </c:pt>
                <c:pt idx="376">
                  <c:v>0.19689510416948508</c:v>
                </c:pt>
                <c:pt idx="377">
                  <c:v>-7.7311413883187186E-2</c:v>
                </c:pt>
                <c:pt idx="378">
                  <c:v>1.5583355368477214E-2</c:v>
                </c:pt>
                <c:pt idx="379">
                  <c:v>-7.3521959583274565E-2</c:v>
                </c:pt>
                <c:pt idx="380">
                  <c:v>-0.29762533183427564</c:v>
                </c:pt>
                <c:pt idx="381">
                  <c:v>0.49695666247686887</c:v>
                </c:pt>
                <c:pt idx="382">
                  <c:v>8.3943757207407543E-2</c:v>
                </c:pt>
                <c:pt idx="383">
                  <c:v>4.0119241506758385E-2</c:v>
                </c:pt>
                <c:pt idx="384">
                  <c:v>0.10319124150675663</c:v>
                </c:pt>
                <c:pt idx="385">
                  <c:v>-5.2266950330732698E-3</c:v>
                </c:pt>
                <c:pt idx="386">
                  <c:v>9.4749304966924797E-2</c:v>
                </c:pt>
                <c:pt idx="387">
                  <c:v>0.1864996661510645</c:v>
                </c:pt>
                <c:pt idx="388">
                  <c:v>0.10174136008141943</c:v>
                </c:pt>
                <c:pt idx="389">
                  <c:v>0.31311615703614848</c:v>
                </c:pt>
                <c:pt idx="390">
                  <c:v>0.43960804682748744</c:v>
                </c:pt>
                <c:pt idx="391">
                  <c:v>0.23934501930617813</c:v>
                </c:pt>
                <c:pt idx="392">
                  <c:v>0.24382676946173376</c:v>
                </c:pt>
                <c:pt idx="393">
                  <c:v>0.14133057054394982</c:v>
                </c:pt>
                <c:pt idx="394">
                  <c:v>1.3781536671693573E-2</c:v>
                </c:pt>
                <c:pt idx="395">
                  <c:v>0.15052896736499122</c:v>
                </c:pt>
                <c:pt idx="396">
                  <c:v>-0.27060521130527349</c:v>
                </c:pt>
                <c:pt idx="397">
                  <c:v>-0.23545317210977856</c:v>
                </c:pt>
                <c:pt idx="398">
                  <c:v>0.43810382789022384</c:v>
                </c:pt>
                <c:pt idx="399">
                  <c:v>5.3482026568559604E-2</c:v>
                </c:pt>
                <c:pt idx="400">
                  <c:v>-0.10913097343144784</c:v>
                </c:pt>
                <c:pt idx="401">
                  <c:v>0.11688771437457035</c:v>
                </c:pt>
                <c:pt idx="402">
                  <c:v>0.64342176244160498</c:v>
                </c:pt>
                <c:pt idx="403">
                  <c:v>4.1977624416063009E-3</c:v>
                </c:pt>
                <c:pt idx="404">
                  <c:v>0.10347083706651716</c:v>
                </c:pt>
                <c:pt idx="405">
                  <c:v>0.37655104403350492</c:v>
                </c:pt>
                <c:pt idx="406">
                  <c:v>0.13372844738199774</c:v>
                </c:pt>
                <c:pt idx="407">
                  <c:v>-6.6941528591769384E-2</c:v>
                </c:pt>
                <c:pt idx="408">
                  <c:v>0.36628822786187953</c:v>
                </c:pt>
                <c:pt idx="409">
                  <c:v>0.15658639874431657</c:v>
                </c:pt>
                <c:pt idx="410">
                  <c:v>0.39327539874431494</c:v>
                </c:pt>
                <c:pt idx="411">
                  <c:v>0.12787349268931791</c:v>
                </c:pt>
                <c:pt idx="412">
                  <c:v>7.9289643950779976E-2</c:v>
                </c:pt>
                <c:pt idx="413">
                  <c:v>0.20228264395078099</c:v>
                </c:pt>
                <c:pt idx="414">
                  <c:v>4.9428653348115859E-4</c:v>
                </c:pt>
                <c:pt idx="415">
                  <c:v>-9.0404087189753568E-2</c:v>
                </c:pt>
                <c:pt idx="416">
                  <c:v>-0.26080808718975845</c:v>
                </c:pt>
                <c:pt idx="417">
                  <c:v>5.620716111139501E-2</c:v>
                </c:pt>
                <c:pt idx="418">
                  <c:v>6.6023161111395723E-2</c:v>
                </c:pt>
                <c:pt idx="419">
                  <c:v>6.6574161111397245E-2</c:v>
                </c:pt>
                <c:pt idx="420">
                  <c:v>5.6588551168523793E-2</c:v>
                </c:pt>
                <c:pt idx="421">
                  <c:v>-0.26706068000683558</c:v>
                </c:pt>
                <c:pt idx="422">
                  <c:v>0.28478431999316456</c:v>
                </c:pt>
                <c:pt idx="423">
                  <c:v>5.2273319993169309E-2</c:v>
                </c:pt>
                <c:pt idx="424">
                  <c:v>0.47789054512481499</c:v>
                </c:pt>
                <c:pt idx="425">
                  <c:v>0.20311840482286669</c:v>
                </c:pt>
                <c:pt idx="426">
                  <c:v>-9.4195595177133384E-2</c:v>
                </c:pt>
                <c:pt idx="427">
                  <c:v>7.5770881281371771E-2</c:v>
                </c:pt>
                <c:pt idx="428">
                  <c:v>0.43031431954975119</c:v>
                </c:pt>
                <c:pt idx="429">
                  <c:v>0.108682963382293</c:v>
                </c:pt>
                <c:pt idx="430">
                  <c:v>0.22236629134732766</c:v>
                </c:pt>
                <c:pt idx="431">
                  <c:v>0.14522442559909621</c:v>
                </c:pt>
                <c:pt idx="432">
                  <c:v>-1.9744073920861638E-2</c:v>
                </c:pt>
                <c:pt idx="433">
                  <c:v>0.23628623644617619</c:v>
                </c:pt>
                <c:pt idx="434">
                  <c:v>0.48095727874081717</c:v>
                </c:pt>
                <c:pt idx="435">
                  <c:v>0.22033756527508785</c:v>
                </c:pt>
                <c:pt idx="436">
                  <c:v>0.19516910865195314</c:v>
                </c:pt>
                <c:pt idx="437">
                  <c:v>7.753610865195526E-2</c:v>
                </c:pt>
                <c:pt idx="438">
                  <c:v>0.17473877847498898</c:v>
                </c:pt>
                <c:pt idx="439">
                  <c:v>0.25299349982459063</c:v>
                </c:pt>
                <c:pt idx="440">
                  <c:v>0.16529494561737579</c:v>
                </c:pt>
                <c:pt idx="441">
                  <c:v>0.43063694561737975</c:v>
                </c:pt>
                <c:pt idx="442">
                  <c:v>0.36765994930632218</c:v>
                </c:pt>
                <c:pt idx="443">
                  <c:v>-2.3104241563693506E-2</c:v>
                </c:pt>
                <c:pt idx="444">
                  <c:v>0.14352737932314596</c:v>
                </c:pt>
                <c:pt idx="445">
                  <c:v>0.15719937932314565</c:v>
                </c:pt>
                <c:pt idx="446">
                  <c:v>-0.2298912633102006</c:v>
                </c:pt>
                <c:pt idx="447">
                  <c:v>4.157812828937324E-2</c:v>
                </c:pt>
                <c:pt idx="448">
                  <c:v>0.18891412828936893</c:v>
                </c:pt>
                <c:pt idx="449">
                  <c:v>-8.5911835030145767E-2</c:v>
                </c:pt>
                <c:pt idx="450">
                  <c:v>0.50543216496984655</c:v>
                </c:pt>
                <c:pt idx="451">
                  <c:v>0.71518726192022797</c:v>
                </c:pt>
                <c:pt idx="452">
                  <c:v>0.74216257610225256</c:v>
                </c:pt>
                <c:pt idx="453">
                  <c:v>0.17019840367314032</c:v>
                </c:pt>
                <c:pt idx="454">
                  <c:v>7.7918597226059205E-2</c:v>
                </c:pt>
                <c:pt idx="455">
                  <c:v>0.41794323827850377</c:v>
                </c:pt>
                <c:pt idx="456">
                  <c:v>0.255091100998591</c:v>
                </c:pt>
                <c:pt idx="457">
                  <c:v>0.12387814833000732</c:v>
                </c:pt>
                <c:pt idx="458">
                  <c:v>4.1402426933785819E-2</c:v>
                </c:pt>
                <c:pt idx="459">
                  <c:v>0.53632459781901076</c:v>
                </c:pt>
                <c:pt idx="460">
                  <c:v>0.47530645360893686</c:v>
                </c:pt>
                <c:pt idx="461">
                  <c:v>0.35209214039842607</c:v>
                </c:pt>
                <c:pt idx="462">
                  <c:v>3.9134140398431327E-2</c:v>
                </c:pt>
                <c:pt idx="463">
                  <c:v>-2.1458129948129567E-2</c:v>
                </c:pt>
                <c:pt idx="464">
                  <c:v>0.26332383589366515</c:v>
                </c:pt>
                <c:pt idx="465">
                  <c:v>0.19725568375292823</c:v>
                </c:pt>
                <c:pt idx="466">
                  <c:v>-0.1791787514068659</c:v>
                </c:pt>
                <c:pt idx="467">
                  <c:v>0.53630187087309622</c:v>
                </c:pt>
                <c:pt idx="468">
                  <c:v>0.31924840040741742</c:v>
                </c:pt>
                <c:pt idx="469">
                  <c:v>0.23343588942266535</c:v>
                </c:pt>
                <c:pt idx="470">
                  <c:v>0.11403918683845404</c:v>
                </c:pt>
                <c:pt idx="471">
                  <c:v>3.8132116659625126E-2</c:v>
                </c:pt>
                <c:pt idx="472">
                  <c:v>0.37967943634969714</c:v>
                </c:pt>
                <c:pt idx="473">
                  <c:v>-0.13645994748819135</c:v>
                </c:pt>
                <c:pt idx="474">
                  <c:v>-0.20693716610868762</c:v>
                </c:pt>
                <c:pt idx="475">
                  <c:v>-0.13667422454425093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52F-97AE-2FE788B51A0E}"/>
            </c:ext>
          </c:extLst>
        </c:ser>
        <c:ser>
          <c:idx val="1"/>
          <c:order val="1"/>
          <c:tx>
            <c:v>LCDMError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Data'!$U$7:$U$482</c:f>
              <c:numCache>
                <c:formatCode>0.00</c:formatCode>
                <c:ptCount val="476"/>
                <c:pt idx="0">
                  <c:v>0.34007855775928419</c:v>
                </c:pt>
                <c:pt idx="1">
                  <c:v>0.22340655775928298</c:v>
                </c:pt>
                <c:pt idx="2">
                  <c:v>0.20119509633283883</c:v>
                </c:pt>
                <c:pt idx="3">
                  <c:v>0.52248209633284404</c:v>
                </c:pt>
                <c:pt idx="4">
                  <c:v>0.30131509633284281</c:v>
                </c:pt>
                <c:pt idx="5">
                  <c:v>0.92390069648488549</c:v>
                </c:pt>
                <c:pt idx="6">
                  <c:v>0.31020900527171591</c:v>
                </c:pt>
                <c:pt idx="7">
                  <c:v>0.51204485924292698</c:v>
                </c:pt>
                <c:pt idx="8">
                  <c:v>8.4444439202677302E-2</c:v>
                </c:pt>
                <c:pt idx="9">
                  <c:v>0.42110085924292662</c:v>
                </c:pt>
                <c:pt idx="10">
                  <c:v>0.39206085924292466</c:v>
                </c:pt>
                <c:pt idx="11">
                  <c:v>0.51254443920267079</c:v>
                </c:pt>
                <c:pt idx="12">
                  <c:v>-0.27727714075707155</c:v>
                </c:pt>
                <c:pt idx="13">
                  <c:v>0.14847393935251318</c:v>
                </c:pt>
                <c:pt idx="14">
                  <c:v>0.29861485924292452</c:v>
                </c:pt>
                <c:pt idx="15">
                  <c:v>0.27208485924292347</c:v>
                </c:pt>
                <c:pt idx="16">
                  <c:v>0.4504514392026735</c:v>
                </c:pt>
                <c:pt idx="17">
                  <c:v>0.1438288592429231</c:v>
                </c:pt>
                <c:pt idx="18">
                  <c:v>-0.22585906064749395</c:v>
                </c:pt>
                <c:pt idx="19">
                  <c:v>0.32313643920267765</c:v>
                </c:pt>
                <c:pt idx="20">
                  <c:v>0.30323243920267373</c:v>
                </c:pt>
                <c:pt idx="21">
                  <c:v>0.10187293935251063</c:v>
                </c:pt>
                <c:pt idx="22">
                  <c:v>0.22416643920267632</c:v>
                </c:pt>
                <c:pt idx="23">
                  <c:v>0.11556543920267615</c:v>
                </c:pt>
                <c:pt idx="24">
                  <c:v>0.28668543920267098</c:v>
                </c:pt>
                <c:pt idx="25">
                  <c:v>0.25113093935250674</c:v>
                </c:pt>
                <c:pt idx="26">
                  <c:v>0.33984443920267182</c:v>
                </c:pt>
                <c:pt idx="27">
                  <c:v>0.56671093935251093</c:v>
                </c:pt>
                <c:pt idx="28">
                  <c:v>-3.786821950689756E-2</c:v>
                </c:pt>
                <c:pt idx="29">
                  <c:v>0.37576078049309558</c:v>
                </c:pt>
                <c:pt idx="30">
                  <c:v>0.29400978049309856</c:v>
                </c:pt>
                <c:pt idx="31">
                  <c:v>0.31104880853056471</c:v>
                </c:pt>
                <c:pt idx="32">
                  <c:v>0.19676478049309765</c:v>
                </c:pt>
                <c:pt idx="33">
                  <c:v>9.9868085305629961E-3</c:v>
                </c:pt>
                <c:pt idx="34">
                  <c:v>0.52455968317666191</c:v>
                </c:pt>
                <c:pt idx="35">
                  <c:v>0.71221368317665679</c:v>
                </c:pt>
                <c:pt idx="36">
                  <c:v>0.49283046607821035</c:v>
                </c:pt>
                <c:pt idx="37">
                  <c:v>0.47173446607820324</c:v>
                </c:pt>
                <c:pt idx="38">
                  <c:v>0.11092512509363672</c:v>
                </c:pt>
                <c:pt idx="39">
                  <c:v>6.7461125093636554E-2</c:v>
                </c:pt>
                <c:pt idx="40">
                  <c:v>0.42496746607820768</c:v>
                </c:pt>
                <c:pt idx="41">
                  <c:v>0.39453774228097416</c:v>
                </c:pt>
                <c:pt idx="42">
                  <c:v>0.33778674228097572</c:v>
                </c:pt>
                <c:pt idx="43">
                  <c:v>0.24203174228097879</c:v>
                </c:pt>
                <c:pt idx="44">
                  <c:v>0.46010974228097723</c:v>
                </c:pt>
                <c:pt idx="45">
                  <c:v>3.8313742280976726E-2</c:v>
                </c:pt>
                <c:pt idx="46">
                  <c:v>0.15334090256392585</c:v>
                </c:pt>
                <c:pt idx="47">
                  <c:v>0.51166790256392858</c:v>
                </c:pt>
                <c:pt idx="48">
                  <c:v>0.46424374228097065</c:v>
                </c:pt>
                <c:pt idx="49">
                  <c:v>0.35041090256392948</c:v>
                </c:pt>
                <c:pt idx="50">
                  <c:v>0.10510905923237601</c:v>
                </c:pt>
                <c:pt idx="51">
                  <c:v>0.36773190256392496</c:v>
                </c:pt>
                <c:pt idx="52">
                  <c:v>0.37467105923238364</c:v>
                </c:pt>
                <c:pt idx="53">
                  <c:v>0.50455619436387167</c:v>
                </c:pt>
                <c:pt idx="54">
                  <c:v>0.33179419436386581</c:v>
                </c:pt>
                <c:pt idx="55">
                  <c:v>0.28417090256392896</c:v>
                </c:pt>
                <c:pt idx="56">
                  <c:v>0.21948419436387212</c:v>
                </c:pt>
                <c:pt idx="57">
                  <c:v>0.44733519436387326</c:v>
                </c:pt>
                <c:pt idx="58">
                  <c:v>0.51197319436386834</c:v>
                </c:pt>
                <c:pt idx="59">
                  <c:v>7.5873059232378637E-2</c:v>
                </c:pt>
                <c:pt idx="60">
                  <c:v>0.53835105923238302</c:v>
                </c:pt>
                <c:pt idx="61">
                  <c:v>4.0501059232383341E-2</c:v>
                </c:pt>
                <c:pt idx="62">
                  <c:v>0.30380180096042864</c:v>
                </c:pt>
                <c:pt idx="63">
                  <c:v>0.31109927537467996</c:v>
                </c:pt>
                <c:pt idx="64">
                  <c:v>8.7747059232377467E-2</c:v>
                </c:pt>
                <c:pt idx="65">
                  <c:v>0.25667680096042744</c:v>
                </c:pt>
                <c:pt idx="66">
                  <c:v>0.67507280096042876</c:v>
                </c:pt>
                <c:pt idx="67">
                  <c:v>6.5870800960432518E-2</c:v>
                </c:pt>
                <c:pt idx="68">
                  <c:v>0.26485480096042835</c:v>
                </c:pt>
                <c:pt idx="69">
                  <c:v>-0.11492972462531981</c:v>
                </c:pt>
                <c:pt idx="70">
                  <c:v>0.27834027537468131</c:v>
                </c:pt>
                <c:pt idx="71">
                  <c:v>0.40836661399854535</c:v>
                </c:pt>
                <c:pt idx="72">
                  <c:v>0.19147261399854898</c:v>
                </c:pt>
                <c:pt idx="73">
                  <c:v>0.39477485782721544</c:v>
                </c:pt>
                <c:pt idx="74">
                  <c:v>0.17185554216979426</c:v>
                </c:pt>
                <c:pt idx="75">
                  <c:v>0.12334485782721316</c:v>
                </c:pt>
                <c:pt idx="76">
                  <c:v>0.55715285782721935</c:v>
                </c:pt>
                <c:pt idx="77">
                  <c:v>0.18249785782721517</c:v>
                </c:pt>
                <c:pt idx="78">
                  <c:v>0.68588154216978836</c:v>
                </c:pt>
                <c:pt idx="79">
                  <c:v>0.47588054216979003</c:v>
                </c:pt>
                <c:pt idx="80">
                  <c:v>0.41764910962442059</c:v>
                </c:pt>
                <c:pt idx="81">
                  <c:v>0.36568134711066591</c:v>
                </c:pt>
                <c:pt idx="82">
                  <c:v>0.41729734711066868</c:v>
                </c:pt>
                <c:pt idx="83">
                  <c:v>0.32330010962441946</c:v>
                </c:pt>
                <c:pt idx="84">
                  <c:v>0.34515154216978772</c:v>
                </c:pt>
                <c:pt idx="85">
                  <c:v>0.41347110962442457</c:v>
                </c:pt>
                <c:pt idx="86">
                  <c:v>0.58214213253320679</c:v>
                </c:pt>
                <c:pt idx="87">
                  <c:v>0.62660473865413024</c:v>
                </c:pt>
                <c:pt idx="88">
                  <c:v>0.28516713253320347</c:v>
                </c:pt>
                <c:pt idx="89">
                  <c:v>0.12983473865413231</c:v>
                </c:pt>
                <c:pt idx="90">
                  <c:v>3.9301028675041039E-2</c:v>
                </c:pt>
                <c:pt idx="91">
                  <c:v>0.36781973865412709</c:v>
                </c:pt>
                <c:pt idx="92">
                  <c:v>0.16461073865412601</c:v>
                </c:pt>
                <c:pt idx="93">
                  <c:v>0.49525280925293913</c:v>
                </c:pt>
                <c:pt idx="94">
                  <c:v>0.63273380925294731</c:v>
                </c:pt>
                <c:pt idx="95">
                  <c:v>9.2325809252940871E-2</c:v>
                </c:pt>
                <c:pt idx="96">
                  <c:v>0.19366514567688142</c:v>
                </c:pt>
                <c:pt idx="97">
                  <c:v>0.20426066408732879</c:v>
                </c:pt>
                <c:pt idx="98">
                  <c:v>8.47511456768828E-2</c:v>
                </c:pt>
                <c:pt idx="99">
                  <c:v>0.36678506942048728</c:v>
                </c:pt>
                <c:pt idx="100">
                  <c:v>0.51630889489476317</c:v>
                </c:pt>
                <c:pt idx="101">
                  <c:v>0.52977218169939277</c:v>
                </c:pt>
                <c:pt idx="102">
                  <c:v>0.54649718169940087</c:v>
                </c:pt>
                <c:pt idx="103">
                  <c:v>-6.1269925195688302E-3</c:v>
                </c:pt>
                <c:pt idx="104">
                  <c:v>0.28010120293547658</c:v>
                </c:pt>
                <c:pt idx="105">
                  <c:v>0.3385395282476793</c:v>
                </c:pt>
                <c:pt idx="106">
                  <c:v>-0.10230347175232168</c:v>
                </c:pt>
                <c:pt idx="107">
                  <c:v>0.48791062617625158</c:v>
                </c:pt>
                <c:pt idx="108">
                  <c:v>0.45065502179525652</c:v>
                </c:pt>
                <c:pt idx="109">
                  <c:v>0.44829266357109532</c:v>
                </c:pt>
                <c:pt idx="110">
                  <c:v>0.33634231816954241</c:v>
                </c:pt>
                <c:pt idx="111">
                  <c:v>0.53284740530267527</c:v>
                </c:pt>
                <c:pt idx="112">
                  <c:v>0.27871555946823889</c:v>
                </c:pt>
                <c:pt idx="113">
                  <c:v>6.1736669153752644E-2</c:v>
                </c:pt>
                <c:pt idx="114">
                  <c:v>0.55750966915375244</c:v>
                </c:pt>
                <c:pt idx="115">
                  <c:v>0.27211887560542891</c:v>
                </c:pt>
                <c:pt idx="116">
                  <c:v>4.4013669153748936E-2</c:v>
                </c:pt>
                <c:pt idx="117">
                  <c:v>0.30618887560542873</c:v>
                </c:pt>
                <c:pt idx="118">
                  <c:v>0.27835968708026826</c:v>
                </c:pt>
                <c:pt idx="119">
                  <c:v>0.63654905478149715</c:v>
                </c:pt>
                <c:pt idx="120">
                  <c:v>0.25561548928588707</c:v>
                </c:pt>
                <c:pt idx="121">
                  <c:v>0.18972894730189438</c:v>
                </c:pt>
                <c:pt idx="122">
                  <c:v>0.31654288175326428</c:v>
                </c:pt>
                <c:pt idx="123">
                  <c:v>0.15476588175326356</c:v>
                </c:pt>
                <c:pt idx="124">
                  <c:v>0.24993722764700266</c:v>
                </c:pt>
                <c:pt idx="125">
                  <c:v>0.22507443052480625</c:v>
                </c:pt>
                <c:pt idx="126">
                  <c:v>0.13267174036985097</c:v>
                </c:pt>
                <c:pt idx="127">
                  <c:v>0.31918958306176393</c:v>
                </c:pt>
                <c:pt idx="128">
                  <c:v>0.32451158306175643</c:v>
                </c:pt>
                <c:pt idx="129">
                  <c:v>6.8263966860207859E-2</c:v>
                </c:pt>
                <c:pt idx="130">
                  <c:v>0.19691285623662935</c:v>
                </c:pt>
                <c:pt idx="131">
                  <c:v>0.39181131513420553</c:v>
                </c:pt>
                <c:pt idx="132">
                  <c:v>0.52895572827996773</c:v>
                </c:pt>
                <c:pt idx="133">
                  <c:v>0.50141751887507979</c:v>
                </c:pt>
                <c:pt idx="134">
                  <c:v>0.36055672253847604</c:v>
                </c:pt>
                <c:pt idx="135">
                  <c:v>0.2339076675171512</c:v>
                </c:pt>
                <c:pt idx="136">
                  <c:v>0.28788424319235872</c:v>
                </c:pt>
                <c:pt idx="137">
                  <c:v>4.6810768448352746E-2</c:v>
                </c:pt>
                <c:pt idx="138">
                  <c:v>0.2399672771369552</c:v>
                </c:pt>
                <c:pt idx="139">
                  <c:v>0.34093938276841129</c:v>
                </c:pt>
                <c:pt idx="140">
                  <c:v>0.40812238276839707</c:v>
                </c:pt>
                <c:pt idx="141">
                  <c:v>0.14466291554148114</c:v>
                </c:pt>
                <c:pt idx="142">
                  <c:v>0.19293361609202009</c:v>
                </c:pt>
                <c:pt idx="143">
                  <c:v>0.11882843368645268</c:v>
                </c:pt>
                <c:pt idx="144">
                  <c:v>6.6022506293883509E-2</c:v>
                </c:pt>
                <c:pt idx="145">
                  <c:v>0.52681550629388596</c:v>
                </c:pt>
                <c:pt idx="146">
                  <c:v>0.18334270653176077</c:v>
                </c:pt>
                <c:pt idx="147">
                  <c:v>0.31452070653175923</c:v>
                </c:pt>
                <c:pt idx="148">
                  <c:v>0.21434263526800379</c:v>
                </c:pt>
                <c:pt idx="149">
                  <c:v>0.44308208915325764</c:v>
                </c:pt>
                <c:pt idx="150">
                  <c:v>0.1718953082408845</c:v>
                </c:pt>
                <c:pt idx="151">
                  <c:v>0.54801130824088062</c:v>
                </c:pt>
                <c:pt idx="152">
                  <c:v>0.32185690773213338</c:v>
                </c:pt>
                <c:pt idx="153">
                  <c:v>0.1274790561388599</c:v>
                </c:pt>
                <c:pt idx="154">
                  <c:v>0.13206710013624701</c:v>
                </c:pt>
                <c:pt idx="155">
                  <c:v>-2.2888140570749727E-2</c:v>
                </c:pt>
                <c:pt idx="156">
                  <c:v>0.14833698813246343</c:v>
                </c:pt>
                <c:pt idx="157">
                  <c:v>0.57805679766514828</c:v>
                </c:pt>
                <c:pt idx="158">
                  <c:v>0.23656011084300133</c:v>
                </c:pt>
                <c:pt idx="159">
                  <c:v>0.17989815023064182</c:v>
                </c:pt>
                <c:pt idx="160">
                  <c:v>0.29996637050338393</c:v>
                </c:pt>
                <c:pt idx="161">
                  <c:v>0.6753822668696543</c:v>
                </c:pt>
                <c:pt idx="162">
                  <c:v>0.17413965732571768</c:v>
                </c:pt>
                <c:pt idx="163">
                  <c:v>0.32763665732571212</c:v>
                </c:pt>
                <c:pt idx="164">
                  <c:v>5.3191295962619733E-2</c:v>
                </c:pt>
                <c:pt idx="165">
                  <c:v>0.39489189168284611</c:v>
                </c:pt>
                <c:pt idx="166">
                  <c:v>0.2800548916828447</c:v>
                </c:pt>
                <c:pt idx="167">
                  <c:v>0.23902839300991729</c:v>
                </c:pt>
                <c:pt idx="168">
                  <c:v>0.26688534475653825</c:v>
                </c:pt>
                <c:pt idx="169">
                  <c:v>0.25716355337169716</c:v>
                </c:pt>
                <c:pt idx="170">
                  <c:v>0.24438228073410073</c:v>
                </c:pt>
                <c:pt idx="171">
                  <c:v>0.42992591867248819</c:v>
                </c:pt>
                <c:pt idx="172">
                  <c:v>0.53653273644093957</c:v>
                </c:pt>
                <c:pt idx="173">
                  <c:v>0.39342383956021365</c:v>
                </c:pt>
                <c:pt idx="174">
                  <c:v>0.23534812135598315</c:v>
                </c:pt>
                <c:pt idx="175">
                  <c:v>0.2610549438148837</c:v>
                </c:pt>
                <c:pt idx="176">
                  <c:v>0.34976814535504985</c:v>
                </c:pt>
                <c:pt idx="177">
                  <c:v>8.9756652531981729E-2</c:v>
                </c:pt>
                <c:pt idx="178">
                  <c:v>0.16094415499544823</c:v>
                </c:pt>
                <c:pt idx="179">
                  <c:v>0.15305619714304441</c:v>
                </c:pt>
                <c:pt idx="180">
                  <c:v>0.4345721000125593</c:v>
                </c:pt>
                <c:pt idx="181">
                  <c:v>0.68068086985731213</c:v>
                </c:pt>
                <c:pt idx="182">
                  <c:v>0.19537599411253836</c:v>
                </c:pt>
                <c:pt idx="183">
                  <c:v>0.29572799411253925</c:v>
                </c:pt>
                <c:pt idx="184">
                  <c:v>0.2825140534856061</c:v>
                </c:pt>
                <c:pt idx="185">
                  <c:v>0.17356976104711919</c:v>
                </c:pt>
                <c:pt idx="186">
                  <c:v>-0.10808525596474539</c:v>
                </c:pt>
                <c:pt idx="187">
                  <c:v>-1.0677128589470897E-2</c:v>
                </c:pt>
                <c:pt idx="188">
                  <c:v>0.38448575933253437</c:v>
                </c:pt>
                <c:pt idx="189">
                  <c:v>2.8074043276198779E-2</c:v>
                </c:pt>
                <c:pt idx="190">
                  <c:v>0.32675204327620122</c:v>
                </c:pt>
                <c:pt idx="191">
                  <c:v>0.40240035960977139</c:v>
                </c:pt>
                <c:pt idx="192">
                  <c:v>0.34165671091926697</c:v>
                </c:pt>
                <c:pt idx="193">
                  <c:v>0.2926598214337659</c:v>
                </c:pt>
                <c:pt idx="194">
                  <c:v>0.13153241861901677</c:v>
                </c:pt>
                <c:pt idx="195">
                  <c:v>0.25570545234626962</c:v>
                </c:pt>
                <c:pt idx="196">
                  <c:v>0.34727533384737796</c:v>
                </c:pt>
                <c:pt idx="197">
                  <c:v>0.25480638615389495</c:v>
                </c:pt>
                <c:pt idx="198">
                  <c:v>0.20497838615388986</c:v>
                </c:pt>
                <c:pt idx="199">
                  <c:v>0.39983238615389638</c:v>
                </c:pt>
                <c:pt idx="200">
                  <c:v>0.31982504089559427</c:v>
                </c:pt>
                <c:pt idx="201">
                  <c:v>0.40089404089559366</c:v>
                </c:pt>
                <c:pt idx="202">
                  <c:v>0.22005326374279832</c:v>
                </c:pt>
                <c:pt idx="203">
                  <c:v>4.5122263742797486E-2</c:v>
                </c:pt>
                <c:pt idx="204">
                  <c:v>0.44760525528753448</c:v>
                </c:pt>
                <c:pt idx="205">
                  <c:v>0.15703625528754372</c:v>
                </c:pt>
                <c:pt idx="206">
                  <c:v>0.21452305419071394</c:v>
                </c:pt>
                <c:pt idx="207">
                  <c:v>0.19325954616519425</c:v>
                </c:pt>
                <c:pt idx="208">
                  <c:v>1.9880567305150976E-2</c:v>
                </c:pt>
                <c:pt idx="209">
                  <c:v>0.46288580358483244</c:v>
                </c:pt>
                <c:pt idx="210">
                  <c:v>0.39105712550509963</c:v>
                </c:pt>
                <c:pt idx="211">
                  <c:v>0.44397967924743398</c:v>
                </c:pt>
                <c:pt idx="212">
                  <c:v>4.5762455887199849E-2</c:v>
                </c:pt>
                <c:pt idx="213">
                  <c:v>0.50545814281490919</c:v>
                </c:pt>
                <c:pt idx="214">
                  <c:v>0.37688715864553757</c:v>
                </c:pt>
                <c:pt idx="215">
                  <c:v>0.10519568362564513</c:v>
                </c:pt>
                <c:pt idx="216">
                  <c:v>0.17350417579125121</c:v>
                </c:pt>
                <c:pt idx="217">
                  <c:v>0.20476813636130231</c:v>
                </c:pt>
                <c:pt idx="218">
                  <c:v>0.31568651452535335</c:v>
                </c:pt>
                <c:pt idx="219">
                  <c:v>0.54676751452535655</c:v>
                </c:pt>
                <c:pt idx="220">
                  <c:v>0.20201607455243931</c:v>
                </c:pt>
                <c:pt idx="221">
                  <c:v>0.57080782927037177</c:v>
                </c:pt>
                <c:pt idx="222">
                  <c:v>0.28231882927037333</c:v>
                </c:pt>
                <c:pt idx="223">
                  <c:v>0.16474968532502032</c:v>
                </c:pt>
                <c:pt idx="224">
                  <c:v>0.23543757789411757</c:v>
                </c:pt>
                <c:pt idx="225">
                  <c:v>0.34373633338839227</c:v>
                </c:pt>
                <c:pt idx="226">
                  <c:v>3.7713460259617193E-2</c:v>
                </c:pt>
                <c:pt idx="227">
                  <c:v>5.7579533660238269E-2</c:v>
                </c:pt>
                <c:pt idx="228">
                  <c:v>0.18500565053646767</c:v>
                </c:pt>
                <c:pt idx="229">
                  <c:v>0.1176681052618278</c:v>
                </c:pt>
                <c:pt idx="230">
                  <c:v>0.29689410526182769</c:v>
                </c:pt>
                <c:pt idx="231">
                  <c:v>0.51986411938470667</c:v>
                </c:pt>
                <c:pt idx="232">
                  <c:v>0.22822214172687438</c:v>
                </c:pt>
                <c:pt idx="233">
                  <c:v>0.50668314172687445</c:v>
                </c:pt>
                <c:pt idx="234">
                  <c:v>0.11259284682647319</c:v>
                </c:pt>
                <c:pt idx="235">
                  <c:v>0.605377846826471</c:v>
                </c:pt>
                <c:pt idx="236">
                  <c:v>0.32783199289603715</c:v>
                </c:pt>
                <c:pt idx="237">
                  <c:v>0.26188562910438407</c:v>
                </c:pt>
                <c:pt idx="238">
                  <c:v>0.23558842012978687</c:v>
                </c:pt>
                <c:pt idx="239">
                  <c:v>0.23035937796215933</c:v>
                </c:pt>
                <c:pt idx="240">
                  <c:v>0.33076023599146964</c:v>
                </c:pt>
                <c:pt idx="241">
                  <c:v>0.3932272359914748</c:v>
                </c:pt>
                <c:pt idx="242">
                  <c:v>0.30774093433490179</c:v>
                </c:pt>
                <c:pt idx="243">
                  <c:v>0.3100257700287159</c:v>
                </c:pt>
                <c:pt idx="244">
                  <c:v>0.2971556555101742</c:v>
                </c:pt>
                <c:pt idx="245">
                  <c:v>0.45972850390855768</c:v>
                </c:pt>
                <c:pt idx="246">
                  <c:v>0.43291774538921857</c:v>
                </c:pt>
                <c:pt idx="247">
                  <c:v>-5.2224576458570482E-4</c:v>
                </c:pt>
                <c:pt idx="248">
                  <c:v>-0.16645826936509422</c:v>
                </c:pt>
                <c:pt idx="249">
                  <c:v>0.35618125093630226</c:v>
                </c:pt>
                <c:pt idx="250">
                  <c:v>0.26490672982898644</c:v>
                </c:pt>
                <c:pt idx="251">
                  <c:v>0.45705129321603977</c:v>
                </c:pt>
                <c:pt idx="252">
                  <c:v>0.57978728392891554</c:v>
                </c:pt>
                <c:pt idx="253">
                  <c:v>0.2742302659791207</c:v>
                </c:pt>
                <c:pt idx="254">
                  <c:v>0.26736297756883687</c:v>
                </c:pt>
                <c:pt idx="255">
                  <c:v>9.4085329373790216E-2</c:v>
                </c:pt>
                <c:pt idx="256">
                  <c:v>0.46087034482995648</c:v>
                </c:pt>
                <c:pt idx="257">
                  <c:v>-5.2716720037437881E-3</c:v>
                </c:pt>
                <c:pt idx="258">
                  <c:v>0.41003731403878163</c:v>
                </c:pt>
                <c:pt idx="259">
                  <c:v>0.18600577720174982</c:v>
                </c:pt>
                <c:pt idx="260">
                  <c:v>0.13235143928777404</c:v>
                </c:pt>
                <c:pt idx="261">
                  <c:v>0.39230408630908897</c:v>
                </c:pt>
                <c:pt idx="262">
                  <c:v>0.14054508630909623</c:v>
                </c:pt>
                <c:pt idx="263">
                  <c:v>0.29231345841888157</c:v>
                </c:pt>
                <c:pt idx="264">
                  <c:v>0.21666360902799653</c:v>
                </c:pt>
                <c:pt idx="265">
                  <c:v>8.7055977818124575E-3</c:v>
                </c:pt>
                <c:pt idx="266">
                  <c:v>-1.9550119540390654E-2</c:v>
                </c:pt>
                <c:pt idx="267">
                  <c:v>0.42937488045959782</c:v>
                </c:pt>
                <c:pt idx="268">
                  <c:v>0.68487301981914328</c:v>
                </c:pt>
                <c:pt idx="269">
                  <c:v>0.54100583944787672</c:v>
                </c:pt>
                <c:pt idx="270">
                  <c:v>9.1191839447873235E-2</c:v>
                </c:pt>
                <c:pt idx="271">
                  <c:v>0.4959408394478757</c:v>
                </c:pt>
                <c:pt idx="272">
                  <c:v>0.53496529338914911</c:v>
                </c:pt>
                <c:pt idx="273">
                  <c:v>0.34015503485617415</c:v>
                </c:pt>
                <c:pt idx="274">
                  <c:v>2.9144533866315214E-2</c:v>
                </c:pt>
                <c:pt idx="275">
                  <c:v>0.27535857994959656</c:v>
                </c:pt>
                <c:pt idx="276">
                  <c:v>0.229342075344249</c:v>
                </c:pt>
                <c:pt idx="277">
                  <c:v>0.37932810895264879</c:v>
                </c:pt>
                <c:pt idx="278">
                  <c:v>0.33874124077872381</c:v>
                </c:pt>
                <c:pt idx="279">
                  <c:v>0.35683924077871865</c:v>
                </c:pt>
                <c:pt idx="280">
                  <c:v>0.14151828655604959</c:v>
                </c:pt>
                <c:pt idx="281">
                  <c:v>0.12975154677491219</c:v>
                </c:pt>
                <c:pt idx="282">
                  <c:v>0.37226731632559051</c:v>
                </c:pt>
                <c:pt idx="283">
                  <c:v>0.38681163733776458</c:v>
                </c:pt>
                <c:pt idx="284">
                  <c:v>0.31729685443586675</c:v>
                </c:pt>
                <c:pt idx="285">
                  <c:v>0.1938448544358593</c:v>
                </c:pt>
                <c:pt idx="286">
                  <c:v>0.13443926275618878</c:v>
                </c:pt>
                <c:pt idx="287">
                  <c:v>0.26745128728061474</c:v>
                </c:pt>
                <c:pt idx="288">
                  <c:v>0.30170882075208993</c:v>
                </c:pt>
                <c:pt idx="289">
                  <c:v>0.15401079324690414</c:v>
                </c:pt>
                <c:pt idx="290">
                  <c:v>0.20253180988495956</c:v>
                </c:pt>
                <c:pt idx="291">
                  <c:v>0.146802751945458</c:v>
                </c:pt>
                <c:pt idx="292">
                  <c:v>5.9867037558632319E-2</c:v>
                </c:pt>
                <c:pt idx="293">
                  <c:v>0.28436298424972506</c:v>
                </c:pt>
                <c:pt idx="294">
                  <c:v>-0.12430314287949074</c:v>
                </c:pt>
                <c:pt idx="295">
                  <c:v>0.1175954803493795</c:v>
                </c:pt>
                <c:pt idx="296">
                  <c:v>0.38524048034937408</c:v>
                </c:pt>
                <c:pt idx="297">
                  <c:v>0.25767648034937451</c:v>
                </c:pt>
                <c:pt idx="298">
                  <c:v>0.36865942462135592</c:v>
                </c:pt>
                <c:pt idx="299">
                  <c:v>0.1604495835939872</c:v>
                </c:pt>
                <c:pt idx="300">
                  <c:v>0.53857058359398025</c:v>
                </c:pt>
                <c:pt idx="301">
                  <c:v>0.38169108639125682</c:v>
                </c:pt>
                <c:pt idx="302">
                  <c:v>0.13849558273079765</c:v>
                </c:pt>
                <c:pt idx="303">
                  <c:v>6.2673076020374197E-2</c:v>
                </c:pt>
                <c:pt idx="304">
                  <c:v>0.3406568664156282</c:v>
                </c:pt>
                <c:pt idx="305">
                  <c:v>0.42646793755123724</c:v>
                </c:pt>
                <c:pt idx="306">
                  <c:v>3.5281874424775594E-2</c:v>
                </c:pt>
                <c:pt idx="307">
                  <c:v>0.47670631195719437</c:v>
                </c:pt>
                <c:pt idx="308">
                  <c:v>0.11328931195719605</c:v>
                </c:pt>
                <c:pt idx="309">
                  <c:v>0.19460031195719552</c:v>
                </c:pt>
                <c:pt idx="310">
                  <c:v>0.38084123210958154</c:v>
                </c:pt>
                <c:pt idx="311">
                  <c:v>0.29992138864337647</c:v>
                </c:pt>
                <c:pt idx="312">
                  <c:v>0.28478937208863186</c:v>
                </c:pt>
                <c:pt idx="313">
                  <c:v>0.46042937208863322</c:v>
                </c:pt>
                <c:pt idx="314">
                  <c:v>0.52253137208864331</c:v>
                </c:pt>
                <c:pt idx="315">
                  <c:v>0.39841703341308232</c:v>
                </c:pt>
                <c:pt idx="316">
                  <c:v>0.32901046741164919</c:v>
                </c:pt>
                <c:pt idx="317">
                  <c:v>4.8250417121181499E-2</c:v>
                </c:pt>
                <c:pt idx="318">
                  <c:v>0.28932941712118065</c:v>
                </c:pt>
                <c:pt idx="319">
                  <c:v>2.413066884906101E-2</c:v>
                </c:pt>
                <c:pt idx="320">
                  <c:v>0.26178710724555998</c:v>
                </c:pt>
                <c:pt idx="321">
                  <c:v>0.66079424499815786</c:v>
                </c:pt>
                <c:pt idx="322">
                  <c:v>0.40136947859714667</c:v>
                </c:pt>
                <c:pt idx="323">
                  <c:v>0.13619434856848045</c:v>
                </c:pt>
                <c:pt idx="324">
                  <c:v>0.52851734856847798</c:v>
                </c:pt>
                <c:pt idx="325">
                  <c:v>0.12916199744329049</c:v>
                </c:pt>
                <c:pt idx="326">
                  <c:v>0.61461531289497628</c:v>
                </c:pt>
                <c:pt idx="327">
                  <c:v>0.35920270977874935</c:v>
                </c:pt>
                <c:pt idx="328">
                  <c:v>0.27394013982968346</c:v>
                </c:pt>
                <c:pt idx="329">
                  <c:v>0.30691513982967678</c:v>
                </c:pt>
                <c:pt idx="330">
                  <c:v>0.13908821083023781</c:v>
                </c:pt>
                <c:pt idx="331">
                  <c:v>6.7315040296847428E-2</c:v>
                </c:pt>
                <c:pt idx="332">
                  <c:v>3.3107447330927187E-2</c:v>
                </c:pt>
                <c:pt idx="333">
                  <c:v>0.28140915235402986</c:v>
                </c:pt>
                <c:pt idx="334">
                  <c:v>0.32060792144616812</c:v>
                </c:pt>
                <c:pt idx="335">
                  <c:v>0.24569653498261346</c:v>
                </c:pt>
                <c:pt idx="336">
                  <c:v>0.40316614508036253</c:v>
                </c:pt>
                <c:pt idx="337">
                  <c:v>0.22510314508036089</c:v>
                </c:pt>
                <c:pt idx="338">
                  <c:v>0.25933962720928605</c:v>
                </c:pt>
                <c:pt idx="339">
                  <c:v>0.353678627209284</c:v>
                </c:pt>
                <c:pt idx="340">
                  <c:v>0.29839679753326465</c:v>
                </c:pt>
                <c:pt idx="341">
                  <c:v>0.19784087712786658</c:v>
                </c:pt>
                <c:pt idx="342">
                  <c:v>0.19046819373771484</c:v>
                </c:pt>
                <c:pt idx="343">
                  <c:v>0.38630193358658715</c:v>
                </c:pt>
                <c:pt idx="344">
                  <c:v>0.36596280432421224</c:v>
                </c:pt>
                <c:pt idx="345">
                  <c:v>0.53792283448377276</c:v>
                </c:pt>
                <c:pt idx="346">
                  <c:v>0.25873810912289485</c:v>
                </c:pt>
                <c:pt idx="347">
                  <c:v>0.42278866493163747</c:v>
                </c:pt>
                <c:pt idx="348">
                  <c:v>0.48461122521094069</c:v>
                </c:pt>
                <c:pt idx="349">
                  <c:v>0.24695199525888967</c:v>
                </c:pt>
                <c:pt idx="350">
                  <c:v>0.19259499525888657</c:v>
                </c:pt>
                <c:pt idx="351">
                  <c:v>0.55673678709720775</c:v>
                </c:pt>
                <c:pt idx="352">
                  <c:v>0.78651734020393604</c:v>
                </c:pt>
                <c:pt idx="353">
                  <c:v>0.20194895311774985</c:v>
                </c:pt>
                <c:pt idx="354">
                  <c:v>0.44896475708389261</c:v>
                </c:pt>
                <c:pt idx="355">
                  <c:v>0.32129775708389019</c:v>
                </c:pt>
                <c:pt idx="356">
                  <c:v>0.30371075708388418</c:v>
                </c:pt>
                <c:pt idx="357">
                  <c:v>0.21627773825557739</c:v>
                </c:pt>
                <c:pt idx="358">
                  <c:v>0.21351273825558081</c:v>
                </c:pt>
                <c:pt idx="359">
                  <c:v>0.16513788284242992</c:v>
                </c:pt>
                <c:pt idx="360">
                  <c:v>0.45072117711013959</c:v>
                </c:pt>
                <c:pt idx="361">
                  <c:v>0.36334545937496898</c:v>
                </c:pt>
                <c:pt idx="362">
                  <c:v>0.2724483816000145</c:v>
                </c:pt>
                <c:pt idx="363">
                  <c:v>0.21902603786629982</c:v>
                </c:pt>
                <c:pt idx="364">
                  <c:v>0.13953473995429988</c:v>
                </c:pt>
                <c:pt idx="365">
                  <c:v>0.50244834102839775</c:v>
                </c:pt>
                <c:pt idx="366">
                  <c:v>0.25371241166749314</c:v>
                </c:pt>
                <c:pt idx="367">
                  <c:v>0.32263838931141464</c:v>
                </c:pt>
                <c:pt idx="368">
                  <c:v>0.65993203205324846</c:v>
                </c:pt>
                <c:pt idx="369">
                  <c:v>7.635103205323901E-2</c:v>
                </c:pt>
                <c:pt idx="370">
                  <c:v>0.28730169629545088</c:v>
                </c:pt>
                <c:pt idx="371">
                  <c:v>0.27111711066587674</c:v>
                </c:pt>
                <c:pt idx="372">
                  <c:v>0.34588226307220538</c:v>
                </c:pt>
                <c:pt idx="373">
                  <c:v>0.14011014146896628</c:v>
                </c:pt>
                <c:pt idx="374">
                  <c:v>0.57364773385737067</c:v>
                </c:pt>
                <c:pt idx="375">
                  <c:v>0.69425867567866817</c:v>
                </c:pt>
                <c:pt idx="376">
                  <c:v>0.34558998894932103</c:v>
                </c:pt>
                <c:pt idx="377">
                  <c:v>7.0964874123049526E-2</c:v>
                </c:pt>
                <c:pt idx="378">
                  <c:v>0.16365075200359769</c:v>
                </c:pt>
                <c:pt idx="379">
                  <c:v>7.3505032067352261E-2</c:v>
                </c:pt>
                <c:pt idx="380">
                  <c:v>-0.15080561399404502</c:v>
                </c:pt>
                <c:pt idx="381">
                  <c:v>0.64274402227938054</c:v>
                </c:pt>
                <c:pt idx="382">
                  <c:v>0.22952544445007561</c:v>
                </c:pt>
                <c:pt idx="383">
                  <c:v>0.18508550108671074</c:v>
                </c:pt>
                <c:pt idx="384">
                  <c:v>0.24815750108670898</c:v>
                </c:pt>
                <c:pt idx="385">
                  <c:v>0.13912651253279051</c:v>
                </c:pt>
                <c:pt idx="386">
                  <c:v>0.23910251253278858</c:v>
                </c:pt>
                <c:pt idx="387">
                  <c:v>0.33024218534747263</c:v>
                </c:pt>
                <c:pt idx="388">
                  <c:v>0.24528083967648939</c:v>
                </c:pt>
                <c:pt idx="389">
                  <c:v>0.4564528578888627</c:v>
                </c:pt>
                <c:pt idx="390">
                  <c:v>0.58274222935676789</c:v>
                </c:pt>
                <c:pt idx="391">
                  <c:v>0.38227694349172481</c:v>
                </c:pt>
                <c:pt idx="392">
                  <c:v>0.38575128630196787</c:v>
                </c:pt>
                <c:pt idx="393">
                  <c:v>0.28265373478411959</c:v>
                </c:pt>
                <c:pt idx="394">
                  <c:v>0.15272221989445711</c:v>
                </c:pt>
                <c:pt idx="395">
                  <c:v>0.28927275167498578</c:v>
                </c:pt>
                <c:pt idx="396">
                  <c:v>-0.13323272883105375</c:v>
                </c:pt>
                <c:pt idx="397">
                  <c:v>-9.8470255789727901E-2</c:v>
                </c:pt>
                <c:pt idx="398">
                  <c:v>0.5750867442102745</c:v>
                </c:pt>
                <c:pt idx="399">
                  <c:v>0.18949533805292162</c:v>
                </c:pt>
                <c:pt idx="400">
                  <c:v>2.6882338052914179E-2</c:v>
                </c:pt>
                <c:pt idx="401">
                  <c:v>0.2523222022038567</c:v>
                </c:pt>
                <c:pt idx="402">
                  <c:v>0.77847158565644747</c:v>
                </c:pt>
                <c:pt idx="403">
                  <c:v>0.13924758565644879</c:v>
                </c:pt>
                <c:pt idx="404">
                  <c:v>0.23832869209125107</c:v>
                </c:pt>
                <c:pt idx="405">
                  <c:v>0.51102568887013433</c:v>
                </c:pt>
                <c:pt idx="406">
                  <c:v>0.26743956521971057</c:v>
                </c:pt>
                <c:pt idx="407">
                  <c:v>6.6199462942670095E-2</c:v>
                </c:pt>
                <c:pt idx="408">
                  <c:v>0.49905032864548104</c:v>
                </c:pt>
                <c:pt idx="409">
                  <c:v>0.28784241477953287</c:v>
                </c:pt>
                <c:pt idx="410">
                  <c:v>0.52453141477953125</c:v>
                </c:pt>
                <c:pt idx="411">
                  <c:v>0.25800980844374521</c:v>
                </c:pt>
                <c:pt idx="412">
                  <c:v>0.20886924980008104</c:v>
                </c:pt>
                <c:pt idx="413">
                  <c:v>0.33186224980008205</c:v>
                </c:pt>
                <c:pt idx="414">
                  <c:v>0.1298887850315964</c:v>
                </c:pt>
                <c:pt idx="415">
                  <c:v>3.8620888201478465E-2</c:v>
                </c:pt>
                <c:pt idx="416">
                  <c:v>-0.13178311179852642</c:v>
                </c:pt>
                <c:pt idx="417">
                  <c:v>0.18376320873583296</c:v>
                </c:pt>
                <c:pt idx="418">
                  <c:v>0.19357920873583367</c:v>
                </c:pt>
                <c:pt idx="419">
                  <c:v>0.1941302087358352</c:v>
                </c:pt>
                <c:pt idx="420">
                  <c:v>0.1832339029408061</c:v>
                </c:pt>
                <c:pt idx="421">
                  <c:v>-0.14132040107473642</c:v>
                </c:pt>
                <c:pt idx="422">
                  <c:v>0.41052459892526372</c:v>
                </c:pt>
                <c:pt idx="423">
                  <c:v>0.17801359892526847</c:v>
                </c:pt>
                <c:pt idx="424">
                  <c:v>0.60273132721655287</c:v>
                </c:pt>
                <c:pt idx="425">
                  <c:v>0.32777995255857206</c:v>
                </c:pt>
                <c:pt idx="426">
                  <c:v>3.0465952558571985E-2</c:v>
                </c:pt>
                <c:pt idx="427">
                  <c:v>0.20007462234655549</c:v>
                </c:pt>
                <c:pt idx="428">
                  <c:v>0.55426113420201517</c:v>
                </c:pt>
                <c:pt idx="429">
                  <c:v>0.23085824700891777</c:v>
                </c:pt>
                <c:pt idx="430">
                  <c:v>0.34279161255241775</c:v>
                </c:pt>
                <c:pt idx="431">
                  <c:v>0.26547592298793887</c:v>
                </c:pt>
                <c:pt idx="432">
                  <c:v>9.9124426042465075E-2</c:v>
                </c:pt>
                <c:pt idx="433">
                  <c:v>0.35481108335054046</c:v>
                </c:pt>
                <c:pt idx="434">
                  <c:v>0.59794595424743591</c:v>
                </c:pt>
                <c:pt idx="435">
                  <c:v>0.33648000759063024</c:v>
                </c:pt>
                <c:pt idx="436">
                  <c:v>0.31047040321206509</c:v>
                </c:pt>
                <c:pt idx="437">
                  <c:v>0.19283740321206722</c:v>
                </c:pt>
                <c:pt idx="438">
                  <c:v>0.28937078793095594</c:v>
                </c:pt>
                <c:pt idx="439">
                  <c:v>0.3671256506615137</c:v>
                </c:pt>
                <c:pt idx="440">
                  <c:v>0.27892903229643196</c:v>
                </c:pt>
                <c:pt idx="441">
                  <c:v>0.54427103229643592</c:v>
                </c:pt>
                <c:pt idx="442">
                  <c:v>0.48063272636121468</c:v>
                </c:pt>
                <c:pt idx="443">
                  <c:v>8.9703701586735463E-2</c:v>
                </c:pt>
                <c:pt idx="444">
                  <c:v>0.25617068531288112</c:v>
                </c:pt>
                <c:pt idx="445">
                  <c:v>0.2698426853128808</c:v>
                </c:pt>
                <c:pt idx="446">
                  <c:v>-0.1193704848988304</c:v>
                </c:pt>
                <c:pt idx="447">
                  <c:v>0.15193698984045056</c:v>
                </c:pt>
                <c:pt idx="448">
                  <c:v>0.29927298984044626</c:v>
                </c:pt>
                <c:pt idx="449">
                  <c:v>2.2838359671055741E-2</c:v>
                </c:pt>
                <c:pt idx="450">
                  <c:v>0.61418235967104806</c:v>
                </c:pt>
                <c:pt idx="451">
                  <c:v>0.82377763315603403</c:v>
                </c:pt>
                <c:pt idx="452">
                  <c:v>0.84932297762036768</c:v>
                </c:pt>
                <c:pt idx="453">
                  <c:v>0.2765708889591707</c:v>
                </c:pt>
                <c:pt idx="454">
                  <c:v>0.18335165484559468</c:v>
                </c:pt>
                <c:pt idx="455">
                  <c:v>0.5230646147656941</c:v>
                </c:pt>
                <c:pt idx="456">
                  <c:v>0.35990152304175638</c:v>
                </c:pt>
                <c:pt idx="457">
                  <c:v>0.22668491451476314</c:v>
                </c:pt>
                <c:pt idx="458">
                  <c:v>0.14390361289903097</c:v>
                </c:pt>
                <c:pt idx="459">
                  <c:v>0.63852091011773382</c:v>
                </c:pt>
                <c:pt idx="460">
                  <c:v>0.57629029032489854</c:v>
                </c:pt>
                <c:pt idx="461">
                  <c:v>0.4515760031144751</c:v>
                </c:pt>
                <c:pt idx="462">
                  <c:v>0.13861800311448036</c:v>
                </c:pt>
                <c:pt idx="463">
                  <c:v>7.6395491178530506E-2</c:v>
                </c:pt>
                <c:pt idx="464">
                  <c:v>0.3569759540346169</c:v>
                </c:pt>
                <c:pt idx="465">
                  <c:v>0.28263544523727546</c:v>
                </c:pt>
                <c:pt idx="466">
                  <c:v>-9.6437715376481492E-2</c:v>
                </c:pt>
                <c:pt idx="467">
                  <c:v>0.60783938903906432</c:v>
                </c:pt>
                <c:pt idx="468">
                  <c:v>0.3867034655266437</c:v>
                </c:pt>
                <c:pt idx="469">
                  <c:v>0.29694970273257582</c:v>
                </c:pt>
                <c:pt idx="470">
                  <c:v>0.1732119991216905</c:v>
                </c:pt>
                <c:pt idx="471">
                  <c:v>9.2108354651273316E-2</c:v>
                </c:pt>
                <c:pt idx="472">
                  <c:v>0.4185475605517297</c:v>
                </c:pt>
                <c:pt idx="473">
                  <c:v>-0.11750994427784178</c:v>
                </c:pt>
                <c:pt idx="474">
                  <c:v>-0.19589534413968579</c:v>
                </c:pt>
                <c:pt idx="475">
                  <c:v>-0.14579664346196353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52F-97AE-2FE788B5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72080"/>
        <c:axId val="909967648"/>
      </c:scatterChart>
      <c:valAx>
        <c:axId val="10983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9967648"/>
        <c:crossesAt val="-1"/>
        <c:crossBetween val="midCat"/>
      </c:valAx>
      <c:valAx>
        <c:axId val="909967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5.5555555555555566E-3"/>
              <c:y val="0.261840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837208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04119939553"/>
          <c:y val="3.0513998250218721E-2"/>
          <c:w val="0.84306867891513559"/>
          <c:h val="0.80797200349956244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7-455E-818E-E92B7E7189F5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(Gpc)</a:t>
                </a:r>
              </a:p>
            </c:rich>
          </c:tx>
          <c:layout>
            <c:manualLayout>
              <c:xMode val="edge"/>
              <c:yMode val="edge"/>
              <c:x val="6.5594925634295696E-3"/>
              <c:y val="0.2101679790026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322993716694506"/>
          <c:y val="0.59958836395450565"/>
          <c:w val="0.24247534399109202"/>
          <c:h val="0.200298200206609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1959755030622"/>
          <c:y val="2.2814204299228952E-2"/>
          <c:w val="0.79061373578302707"/>
          <c:h val="0.794898161094349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Tau!$D$5:$D$101</c:f>
              <c:numCache>
                <c:formatCode>0.0</c:formatCode>
                <c:ptCount val="97"/>
                <c:pt idx="0">
                  <c:v>0</c:v>
                </c:pt>
                <c:pt idx="1">
                  <c:v>1.3</c:v>
                </c:pt>
                <c:pt idx="2">
                  <c:v>2.6999999999999997</c:v>
                </c:pt>
                <c:pt idx="3">
                  <c:v>4.1999999999999993</c:v>
                </c:pt>
                <c:pt idx="4">
                  <c:v>5.7999999999999989</c:v>
                </c:pt>
                <c:pt idx="5">
                  <c:v>7.4999999999999991</c:v>
                </c:pt>
                <c:pt idx="6">
                  <c:v>9.3000000000000007</c:v>
                </c:pt>
                <c:pt idx="7">
                  <c:v>11.200000000000001</c:v>
                </c:pt>
                <c:pt idx="8">
                  <c:v>13.200000000000001</c:v>
                </c:pt>
                <c:pt idx="9">
                  <c:v>15.3</c:v>
                </c:pt>
                <c:pt idx="10">
                  <c:v>17.5</c:v>
                </c:pt>
                <c:pt idx="11">
                  <c:v>19.8</c:v>
                </c:pt>
                <c:pt idx="12">
                  <c:v>22.2</c:v>
                </c:pt>
                <c:pt idx="13">
                  <c:v>24.7</c:v>
                </c:pt>
                <c:pt idx="14">
                  <c:v>27.3</c:v>
                </c:pt>
                <c:pt idx="15">
                  <c:v>30</c:v>
                </c:pt>
                <c:pt idx="16">
                  <c:v>32.799999999999997</c:v>
                </c:pt>
                <c:pt idx="17">
                  <c:v>35.699999999999996</c:v>
                </c:pt>
                <c:pt idx="18">
                  <c:v>38.699999999999996</c:v>
                </c:pt>
                <c:pt idx="19">
                  <c:v>41.8</c:v>
                </c:pt>
                <c:pt idx="20">
                  <c:v>45</c:v>
                </c:pt>
                <c:pt idx="21">
                  <c:v>48.3</c:v>
                </c:pt>
                <c:pt idx="22">
                  <c:v>51.699999999999996</c:v>
                </c:pt>
                <c:pt idx="23">
                  <c:v>55.199999999999996</c:v>
                </c:pt>
                <c:pt idx="24">
                  <c:v>58.8</c:v>
                </c:pt>
                <c:pt idx="25">
                  <c:v>62.5</c:v>
                </c:pt>
                <c:pt idx="26">
                  <c:v>66.3</c:v>
                </c:pt>
                <c:pt idx="27">
                  <c:v>70.2</c:v>
                </c:pt>
                <c:pt idx="28">
                  <c:v>74.2</c:v>
                </c:pt>
                <c:pt idx="29">
                  <c:v>78.3</c:v>
                </c:pt>
                <c:pt idx="30">
                  <c:v>82.5</c:v>
                </c:pt>
                <c:pt idx="31">
                  <c:v>86.8</c:v>
                </c:pt>
                <c:pt idx="32">
                  <c:v>91.2</c:v>
                </c:pt>
                <c:pt idx="33">
                  <c:v>95.7</c:v>
                </c:pt>
                <c:pt idx="34">
                  <c:v>100.3</c:v>
                </c:pt>
                <c:pt idx="35">
                  <c:v>105</c:v>
                </c:pt>
                <c:pt idx="36">
                  <c:v>109.8</c:v>
                </c:pt>
                <c:pt idx="37">
                  <c:v>114.7</c:v>
                </c:pt>
                <c:pt idx="38">
                  <c:v>119.7</c:v>
                </c:pt>
                <c:pt idx="39">
                  <c:v>124.8</c:v>
                </c:pt>
                <c:pt idx="40">
                  <c:v>130</c:v>
                </c:pt>
                <c:pt idx="41">
                  <c:v>135.30000000000001</c:v>
                </c:pt>
                <c:pt idx="42">
                  <c:v>140.70000000000002</c:v>
                </c:pt>
                <c:pt idx="43">
                  <c:v>146.20000000000002</c:v>
                </c:pt>
                <c:pt idx="44">
                  <c:v>151.80000000000001</c:v>
                </c:pt>
                <c:pt idx="45">
                  <c:v>157.5</c:v>
                </c:pt>
                <c:pt idx="46">
                  <c:v>163.30000000000001</c:v>
                </c:pt>
                <c:pt idx="47">
                  <c:v>169.20000000000002</c:v>
                </c:pt>
                <c:pt idx="48">
                  <c:v>175.20000000000002</c:v>
                </c:pt>
                <c:pt idx="49">
                  <c:v>181.3</c:v>
                </c:pt>
                <c:pt idx="50">
                  <c:v>187.5</c:v>
                </c:pt>
                <c:pt idx="51">
                  <c:v>193.8</c:v>
                </c:pt>
                <c:pt idx="52">
                  <c:v>200.20000000000002</c:v>
                </c:pt>
                <c:pt idx="53">
                  <c:v>206.70000000000002</c:v>
                </c:pt>
                <c:pt idx="54">
                  <c:v>213.3</c:v>
                </c:pt>
                <c:pt idx="55">
                  <c:v>220</c:v>
                </c:pt>
                <c:pt idx="56">
                  <c:v>226.8</c:v>
                </c:pt>
                <c:pt idx="57">
                  <c:v>233.70000000000002</c:v>
                </c:pt>
                <c:pt idx="58">
                  <c:v>240.70000000000002</c:v>
                </c:pt>
                <c:pt idx="59">
                  <c:v>247.8</c:v>
                </c:pt>
                <c:pt idx="60">
                  <c:v>255</c:v>
                </c:pt>
                <c:pt idx="61">
                  <c:v>262.3</c:v>
                </c:pt>
                <c:pt idx="62">
                  <c:v>269.7</c:v>
                </c:pt>
                <c:pt idx="63">
                  <c:v>277.2</c:v>
                </c:pt>
                <c:pt idx="64">
                  <c:v>284.8</c:v>
                </c:pt>
                <c:pt idx="65">
                  <c:v>292.5</c:v>
                </c:pt>
                <c:pt idx="66">
                  <c:v>300.3</c:v>
                </c:pt>
                <c:pt idx="67">
                  <c:v>308.2</c:v>
                </c:pt>
                <c:pt idx="68">
                  <c:v>316.2</c:v>
                </c:pt>
                <c:pt idx="69">
                  <c:v>324.3</c:v>
                </c:pt>
                <c:pt idx="70">
                  <c:v>332.5</c:v>
                </c:pt>
                <c:pt idx="71">
                  <c:v>340.8</c:v>
                </c:pt>
                <c:pt idx="72">
                  <c:v>349.2</c:v>
                </c:pt>
                <c:pt idx="73">
                  <c:v>357.7</c:v>
                </c:pt>
                <c:pt idx="74">
                  <c:v>366.3</c:v>
                </c:pt>
                <c:pt idx="75">
                  <c:v>375</c:v>
                </c:pt>
                <c:pt idx="76">
                  <c:v>383.8</c:v>
                </c:pt>
                <c:pt idx="77">
                  <c:v>392.7</c:v>
                </c:pt>
                <c:pt idx="78">
                  <c:v>401.7</c:v>
                </c:pt>
                <c:pt idx="79">
                  <c:v>410.8</c:v>
                </c:pt>
                <c:pt idx="80">
                  <c:v>420</c:v>
                </c:pt>
                <c:pt idx="81">
                  <c:v>429.3</c:v>
                </c:pt>
                <c:pt idx="82">
                  <c:v>438.7</c:v>
                </c:pt>
                <c:pt idx="83">
                  <c:v>448.2</c:v>
                </c:pt>
                <c:pt idx="84">
                  <c:v>457.8</c:v>
                </c:pt>
                <c:pt idx="85">
                  <c:v>467.5</c:v>
                </c:pt>
                <c:pt idx="86">
                  <c:v>477.3</c:v>
                </c:pt>
                <c:pt idx="87">
                  <c:v>487.2</c:v>
                </c:pt>
                <c:pt idx="88">
                  <c:v>497.2</c:v>
                </c:pt>
                <c:pt idx="89">
                  <c:v>507.3</c:v>
                </c:pt>
                <c:pt idx="90">
                  <c:v>517.5</c:v>
                </c:pt>
                <c:pt idx="91">
                  <c:v>527.79999999999995</c:v>
                </c:pt>
                <c:pt idx="92">
                  <c:v>538.19999999999993</c:v>
                </c:pt>
                <c:pt idx="93">
                  <c:v>548.69999999999993</c:v>
                </c:pt>
                <c:pt idx="94">
                  <c:v>559.29999999999995</c:v>
                </c:pt>
                <c:pt idx="95">
                  <c:v>570</c:v>
                </c:pt>
                <c:pt idx="96">
                  <c:v>580.79999999999995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6-4314-BBCA-2B1FFB4164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Tau!$E$5:$E$101</c:f>
              <c:numCache>
                <c:formatCode>0.0</c:formatCode>
                <c:ptCount val="97"/>
                <c:pt idx="0">
                  <c:v>0</c:v>
                </c:pt>
                <c:pt idx="1">
                  <c:v>1.25</c:v>
                </c:pt>
                <c:pt idx="2">
                  <c:v>2.6</c:v>
                </c:pt>
                <c:pt idx="3">
                  <c:v>4.05</c:v>
                </c:pt>
                <c:pt idx="4">
                  <c:v>5.6</c:v>
                </c:pt>
                <c:pt idx="5">
                  <c:v>7.25</c:v>
                </c:pt>
                <c:pt idx="6">
                  <c:v>9</c:v>
                </c:pt>
                <c:pt idx="7">
                  <c:v>10.850000000000001</c:v>
                </c:pt>
                <c:pt idx="8">
                  <c:v>12.8</c:v>
                </c:pt>
                <c:pt idx="9">
                  <c:v>14.850000000000001</c:v>
                </c:pt>
                <c:pt idx="10">
                  <c:v>17</c:v>
                </c:pt>
                <c:pt idx="11">
                  <c:v>19.25</c:v>
                </c:pt>
                <c:pt idx="12">
                  <c:v>21.6</c:v>
                </c:pt>
                <c:pt idx="13">
                  <c:v>24.05</c:v>
                </c:pt>
                <c:pt idx="14">
                  <c:v>26.6</c:v>
                </c:pt>
                <c:pt idx="15">
                  <c:v>29.25</c:v>
                </c:pt>
                <c:pt idx="16">
                  <c:v>32</c:v>
                </c:pt>
                <c:pt idx="17">
                  <c:v>34.85</c:v>
                </c:pt>
                <c:pt idx="18">
                  <c:v>37.799999999999997</c:v>
                </c:pt>
                <c:pt idx="19">
                  <c:v>40.85</c:v>
                </c:pt>
                <c:pt idx="20">
                  <c:v>44</c:v>
                </c:pt>
                <c:pt idx="21">
                  <c:v>47.25</c:v>
                </c:pt>
                <c:pt idx="22">
                  <c:v>50.6</c:v>
                </c:pt>
                <c:pt idx="23">
                  <c:v>54.050000000000004</c:v>
                </c:pt>
                <c:pt idx="24">
                  <c:v>57.6</c:v>
                </c:pt>
                <c:pt idx="25">
                  <c:v>61.25</c:v>
                </c:pt>
                <c:pt idx="26">
                  <c:v>65</c:v>
                </c:pt>
                <c:pt idx="27">
                  <c:v>68.849999999999994</c:v>
                </c:pt>
                <c:pt idx="28">
                  <c:v>72.800000000000011</c:v>
                </c:pt>
                <c:pt idx="29">
                  <c:v>76.849999999999994</c:v>
                </c:pt>
                <c:pt idx="30">
                  <c:v>81</c:v>
                </c:pt>
                <c:pt idx="31">
                  <c:v>85.25</c:v>
                </c:pt>
                <c:pt idx="32">
                  <c:v>89.6</c:v>
                </c:pt>
                <c:pt idx="33">
                  <c:v>94.050000000000011</c:v>
                </c:pt>
                <c:pt idx="34">
                  <c:v>98.6</c:v>
                </c:pt>
                <c:pt idx="35">
                  <c:v>103.25</c:v>
                </c:pt>
                <c:pt idx="36">
                  <c:v>108</c:v>
                </c:pt>
                <c:pt idx="37">
                  <c:v>112.85</c:v>
                </c:pt>
                <c:pt idx="38">
                  <c:v>117.80000000000001</c:v>
                </c:pt>
                <c:pt idx="39">
                  <c:v>122.85</c:v>
                </c:pt>
                <c:pt idx="40">
                  <c:v>128</c:v>
                </c:pt>
                <c:pt idx="41">
                  <c:v>133.25</c:v>
                </c:pt>
                <c:pt idx="42">
                  <c:v>138.6</c:v>
                </c:pt>
                <c:pt idx="43">
                  <c:v>144.05000000000001</c:v>
                </c:pt>
                <c:pt idx="44">
                  <c:v>149.60000000000002</c:v>
                </c:pt>
                <c:pt idx="45">
                  <c:v>155.25</c:v>
                </c:pt>
                <c:pt idx="46">
                  <c:v>161</c:v>
                </c:pt>
                <c:pt idx="47">
                  <c:v>166.85</c:v>
                </c:pt>
                <c:pt idx="48">
                  <c:v>172.8</c:v>
                </c:pt>
                <c:pt idx="49">
                  <c:v>178.85000000000002</c:v>
                </c:pt>
                <c:pt idx="50">
                  <c:v>185</c:v>
                </c:pt>
                <c:pt idx="51">
                  <c:v>191.25</c:v>
                </c:pt>
                <c:pt idx="52">
                  <c:v>197.60000000000002</c:v>
                </c:pt>
                <c:pt idx="53">
                  <c:v>204.05</c:v>
                </c:pt>
                <c:pt idx="54">
                  <c:v>210.60000000000002</c:v>
                </c:pt>
                <c:pt idx="55">
                  <c:v>217.25</c:v>
                </c:pt>
                <c:pt idx="56">
                  <c:v>224</c:v>
                </c:pt>
                <c:pt idx="57">
                  <c:v>230.85000000000002</c:v>
                </c:pt>
                <c:pt idx="58">
                  <c:v>237.8</c:v>
                </c:pt>
                <c:pt idx="59">
                  <c:v>244.85000000000002</c:v>
                </c:pt>
                <c:pt idx="60">
                  <c:v>252</c:v>
                </c:pt>
                <c:pt idx="61">
                  <c:v>259.25</c:v>
                </c:pt>
                <c:pt idx="62">
                  <c:v>266.60000000000002</c:v>
                </c:pt>
                <c:pt idx="63">
                  <c:v>274.05</c:v>
                </c:pt>
                <c:pt idx="64">
                  <c:v>281.60000000000002</c:v>
                </c:pt>
                <c:pt idx="65">
                  <c:v>289.25</c:v>
                </c:pt>
                <c:pt idx="66">
                  <c:v>297</c:v>
                </c:pt>
                <c:pt idx="67">
                  <c:v>304.85000000000002</c:v>
                </c:pt>
                <c:pt idx="68">
                  <c:v>312.8</c:v>
                </c:pt>
                <c:pt idx="69">
                  <c:v>320.85000000000002</c:v>
                </c:pt>
                <c:pt idx="70">
                  <c:v>329</c:v>
                </c:pt>
                <c:pt idx="71">
                  <c:v>337.25</c:v>
                </c:pt>
                <c:pt idx="72">
                  <c:v>345.6</c:v>
                </c:pt>
                <c:pt idx="73">
                  <c:v>354.04999999999995</c:v>
                </c:pt>
                <c:pt idx="74">
                  <c:v>362.6</c:v>
                </c:pt>
                <c:pt idx="75">
                  <c:v>371.25</c:v>
                </c:pt>
                <c:pt idx="76">
                  <c:v>380</c:v>
                </c:pt>
                <c:pt idx="77">
                  <c:v>388.85</c:v>
                </c:pt>
                <c:pt idx="78">
                  <c:v>397.79999999999995</c:v>
                </c:pt>
                <c:pt idx="79">
                  <c:v>406.85</c:v>
                </c:pt>
                <c:pt idx="80">
                  <c:v>416</c:v>
                </c:pt>
                <c:pt idx="81">
                  <c:v>425.25</c:v>
                </c:pt>
                <c:pt idx="82">
                  <c:v>434.6</c:v>
                </c:pt>
                <c:pt idx="83">
                  <c:v>444.05000000000007</c:v>
                </c:pt>
                <c:pt idx="84">
                  <c:v>453.6</c:v>
                </c:pt>
                <c:pt idx="85">
                  <c:v>463.25</c:v>
                </c:pt>
                <c:pt idx="86">
                  <c:v>473</c:v>
                </c:pt>
                <c:pt idx="87">
                  <c:v>482.85</c:v>
                </c:pt>
                <c:pt idx="88">
                  <c:v>492.80000000000007</c:v>
                </c:pt>
                <c:pt idx="89">
                  <c:v>502.85</c:v>
                </c:pt>
                <c:pt idx="90">
                  <c:v>513</c:v>
                </c:pt>
                <c:pt idx="91">
                  <c:v>523.25</c:v>
                </c:pt>
                <c:pt idx="92">
                  <c:v>533.6</c:v>
                </c:pt>
                <c:pt idx="93">
                  <c:v>544.05000000000007</c:v>
                </c:pt>
                <c:pt idx="94">
                  <c:v>554.6</c:v>
                </c:pt>
                <c:pt idx="95">
                  <c:v>565.25</c:v>
                </c:pt>
                <c:pt idx="96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7-4517-9493-3A9A9703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83983"/>
        <c:axId val="2074184399"/>
      </c:scatterChart>
      <c:valAx>
        <c:axId val="207418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baseline="0">
                    <a:effectLst/>
                  </a:rPr>
                  <a:t>τ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54980424321959753"/>
              <c:y val="0.84556593977154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4399"/>
        <c:crosses val="autoZero"/>
        <c:crossBetween val="midCat"/>
      </c:valAx>
      <c:valAx>
        <c:axId val="207418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</a:t>
                </a:r>
              </a:p>
            </c:rich>
          </c:tx>
          <c:layout>
            <c:manualLayout>
              <c:xMode val="edge"/>
              <c:yMode val="edge"/>
              <c:x val="0"/>
              <c:y val="0.37999329523061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6745406824148"/>
          <c:y val="3.8142497812773402E-2"/>
          <c:w val="0.77074365704286962"/>
          <c:h val="0.759091754155730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'Rotation Curve'!$A$8:$A$105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Curve'!$D$8:$D$105</c:f>
              <c:numCache>
                <c:formatCode>0</c:formatCode>
                <c:ptCount val="98"/>
                <c:pt idx="0">
                  <c:v>8.1989597282565327</c:v>
                </c:pt>
                <c:pt idx="1">
                  <c:v>40.994798641282657</c:v>
                </c:pt>
                <c:pt idx="2">
                  <c:v>73.790637554308788</c:v>
                </c:pt>
                <c:pt idx="3">
                  <c:v>106.58647646733492</c:v>
                </c:pt>
                <c:pt idx="4">
                  <c:v>139.38231538036104</c:v>
                </c:pt>
                <c:pt idx="5">
                  <c:v>172.17815429338717</c:v>
                </c:pt>
                <c:pt idx="6">
                  <c:v>204.97399320641333</c:v>
                </c:pt>
                <c:pt idx="7">
                  <c:v>237.76983211943937</c:v>
                </c:pt>
                <c:pt idx="8">
                  <c:v>270.5656710324655</c:v>
                </c:pt>
                <c:pt idx="9">
                  <c:v>303.36150994549166</c:v>
                </c:pt>
                <c:pt idx="10">
                  <c:v>323.93420741348211</c:v>
                </c:pt>
                <c:pt idx="11">
                  <c:v>309.20213453469904</c:v>
                </c:pt>
                <c:pt idx="12">
                  <c:v>296.31299640326665</c:v>
                </c:pt>
                <c:pt idx="13">
                  <c:v>284.91204203895001</c:v>
                </c:pt>
                <c:pt idx="14">
                  <c:v>274.73330608851722</c:v>
                </c:pt>
                <c:pt idx="15">
                  <c:v>265.57294080129185</c:v>
                </c:pt>
                <c:pt idx="16">
                  <c:v>257.27172704948583</c:v>
                </c:pt>
                <c:pt idx="17">
                  <c:v>249.70324996685403</c:v>
                </c:pt>
                <c:pt idx="18">
                  <c:v>242.76569119712866</c:v>
                </c:pt>
                <c:pt idx="19">
                  <c:v>236.37599917819225</c:v>
                </c:pt>
                <c:pt idx="20">
                  <c:v>230.46566386920739</c:v>
                </c:pt>
                <c:pt idx="21">
                  <c:v>224.97759888582459</c:v>
                </c:pt>
                <c:pt idx="22">
                  <c:v>219.86380360405636</c:v>
                </c:pt>
                <c:pt idx="23">
                  <c:v>215.08358465371242</c:v>
                </c:pt>
                <c:pt idx="24">
                  <c:v>210.60218520411601</c:v>
                </c:pt>
                <c:pt idx="25">
                  <c:v>206.38971595466631</c:v>
                </c:pt>
                <c:pt idx="26">
                  <c:v>202.42031236388243</c:v>
                </c:pt>
                <c:pt idx="27">
                  <c:v>198.6714636253825</c:v>
                </c:pt>
                <c:pt idx="28">
                  <c:v>195.12347350287871</c:v>
                </c:pt>
                <c:pt idx="29">
                  <c:v>191.75902345714056</c:v>
                </c:pt>
                <c:pt idx="30">
                  <c:v>188.56281589298786</c:v>
                </c:pt>
                <c:pt idx="31">
                  <c:v>185.52128072081936</c:v>
                </c:pt>
                <c:pt idx="32">
                  <c:v>182.62233236752218</c:v>
                </c:pt>
                <c:pt idx="33">
                  <c:v>179.85516729658605</c:v>
                </c:pt>
                <c:pt idx="34">
                  <c:v>177.2100942906909</c:v>
                </c:pt>
                <c:pt idx="35">
                  <c:v>174.67839141059125</c:v>
                </c:pt>
                <c:pt idx="36">
                  <c:v>172.25218481246162</c:v>
                </c:pt>
                <c:pt idx="37">
                  <c:v>169.92434558273973</c:v>
                </c:pt>
                <c:pt idx="38">
                  <c:v>167.68840150779488</c:v>
                </c:pt>
                <c:pt idx="39">
                  <c:v>165.53846128872416</c:v>
                </c:pt>
                <c:pt idx="40">
                  <c:v>163.46914917851254</c:v>
                </c:pt>
                <c:pt idx="41">
                  <c:v>161.47554838889616</c:v>
                </c:pt>
                <c:pt idx="42">
                  <c:v>159.55315190945126</c:v>
                </c:pt>
                <c:pt idx="43">
                  <c:v>157.69781961825117</c:v>
                </c:pt>
                <c:pt idx="44">
                  <c:v>155.90574075449234</c:v>
                </c:pt>
                <c:pt idx="45">
                  <c:v>154.17340097845403</c:v>
                </c:pt>
                <c:pt idx="46">
                  <c:v>152.49755337047807</c:v>
                </c:pt>
                <c:pt idx="47">
                  <c:v>150.87519282412748</c:v>
                </c:pt>
                <c:pt idx="48">
                  <c:v>149.30353337382886</c:v>
                </c:pt>
                <c:pt idx="49">
                  <c:v>147.77998806767584</c:v>
                </c:pt>
                <c:pt idx="50">
                  <c:v>146.30215105447817</c:v>
                </c:pt>
                <c:pt idx="51">
                  <c:v>144.8677816028125</c:v>
                </c:pt>
                <c:pt idx="52">
                  <c:v>143.47478981054505</c:v>
                </c:pt>
                <c:pt idx="53">
                  <c:v>142.12122379747908</c:v>
                </c:pt>
                <c:pt idx="54">
                  <c:v>140.80525820258282</c:v>
                </c:pt>
                <c:pt idx="55">
                  <c:v>139.52518383160333</c:v>
                </c:pt>
                <c:pt idx="56">
                  <c:v>138.2793983215245</c:v>
                </c:pt>
                <c:pt idx="57">
                  <c:v>137.06639770590257</c:v>
                </c:pt>
                <c:pt idx="58">
                  <c:v>135.88476878010772</c:v>
                </c:pt>
                <c:pt idx="59">
                  <c:v>134.73318217833878</c:v>
                </c:pt>
                <c:pt idx="60">
                  <c:v>133.61038608529492</c:v>
                </c:pt>
                <c:pt idx="61">
                  <c:v>132.51520051487105</c:v>
                </c:pt>
                <c:pt idx="62">
                  <c:v>131.44651209642581</c:v>
                </c:pt>
                <c:pt idx="63">
                  <c:v>130.40326931624898</c:v>
                </c:pt>
                <c:pt idx="64">
                  <c:v>129.38447816799371</c:v>
                </c:pt>
                <c:pt idx="65">
                  <c:v>128.3891981711738</c:v>
                </c:pt>
                <c:pt idx="66">
                  <c:v>127.41653872147408</c:v>
                </c:pt>
                <c:pt idx="67">
                  <c:v>126.4656557406816</c:v>
                </c:pt>
                <c:pt idx="68">
                  <c:v>125.53574859759425</c:v>
                </c:pt>
                <c:pt idx="69">
                  <c:v>124.62605727437911</c:v>
                </c:pt>
                <c:pt idx="70">
                  <c:v>123.73585975558676</c:v>
                </c:pt>
                <c:pt idx="71">
                  <c:v>122.86446961943638</c:v>
                </c:pt>
                <c:pt idx="72">
                  <c:v>122.0112338131099</c:v>
                </c:pt>
                <c:pt idx="73">
                  <c:v>121.17553059566984</c:v>
                </c:pt>
                <c:pt idx="74">
                  <c:v>120.35676763387626</c:v>
                </c:pt>
                <c:pt idx="75">
                  <c:v>119.55438023765073</c:v>
                </c:pt>
                <c:pt idx="76">
                  <c:v>118.7678297232433</c:v>
                </c:pt>
                <c:pt idx="77">
                  <c:v>117.99660189332151</c:v>
                </c:pt>
                <c:pt idx="78">
                  <c:v>117.24020562423776</c:v>
                </c:pt>
                <c:pt idx="79">
                  <c:v>116.49817155165567</c:v>
                </c:pt>
                <c:pt idx="80">
                  <c:v>115.77005084654384</c:v>
                </c:pt>
                <c:pt idx="81">
                  <c:v>115.05541407428444</c:v>
                </c:pt>
                <c:pt idx="82">
                  <c:v>114.35385013030846</c:v>
                </c:pt>
                <c:pt idx="83">
                  <c:v>113.66496524626382</c:v>
                </c:pt>
                <c:pt idx="84">
                  <c:v>112.98838206125838</c:v>
                </c:pt>
                <c:pt idx="85">
                  <c:v>112.3237387532016</c:v>
                </c:pt>
                <c:pt idx="86">
                  <c:v>111.67068822570165</c:v>
                </c:pt>
                <c:pt idx="87">
                  <c:v>111.02889734636774</c:v>
                </c:pt>
                <c:pt idx="88">
                  <c:v>110.39804623272016</c:v>
                </c:pt>
                <c:pt idx="89">
                  <c:v>109.77782758223114</c:v>
                </c:pt>
                <c:pt idx="90">
                  <c:v>109.16794604330889</c:v>
                </c:pt>
                <c:pt idx="91">
                  <c:v>108.56811762430051</c:v>
                </c:pt>
                <c:pt idx="92">
                  <c:v>107.97806913782746</c:v>
                </c:pt>
                <c:pt idx="93">
                  <c:v>107.39753767798379</c:v>
                </c:pt>
                <c:pt idx="94">
                  <c:v>106.82627012812493</c:v>
                </c:pt>
                <c:pt idx="95">
                  <c:v>106.26402269715379</c:v>
                </c:pt>
                <c:pt idx="96">
                  <c:v>105.71056048237458</c:v>
                </c:pt>
                <c:pt idx="97">
                  <c:v>105.16565705713401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B-4412-914E-DCBE9993595C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'Rotation Curve'!$A$8:$A$105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Curve'!$E$8:$E$105</c:f>
              <c:numCache>
                <c:formatCode>0</c:formatCode>
                <c:ptCount val="98"/>
                <c:pt idx="0">
                  <c:v>13.406929442915786</c:v>
                </c:pt>
                <c:pt idx="1">
                  <c:v>47.362301442688143</c:v>
                </c:pt>
                <c:pt idx="2">
                  <c:v>80.360211167138644</c:v>
                </c:pt>
                <c:pt idx="3">
                  <c:v>113.24077701837129</c:v>
                </c:pt>
                <c:pt idx="4">
                  <c:v>146.08325612690928</c:v>
                </c:pt>
                <c:pt idx="5">
                  <c:v>178.90862461484127</c:v>
                </c:pt>
                <c:pt idx="6">
                  <c:v>211.72484101429035</c:v>
                </c:pt>
                <c:pt idx="7">
                  <c:v>244.53558993221648</c:v>
                </c:pt>
                <c:pt idx="8">
                  <c:v>277.34281184931785</c:v>
                </c:pt>
                <c:pt idx="9">
                  <c:v>310.14762601943835</c:v>
                </c:pt>
                <c:pt idx="10">
                  <c:v>330.97855853141391</c:v>
                </c:pt>
                <c:pt idx="11">
                  <c:v>317.2845516907384</c:v>
                </c:pt>
                <c:pt idx="12">
                  <c:v>305.4750560096652</c:v>
                </c:pt>
                <c:pt idx="13">
                  <c:v>295.19244734795836</c:v>
                </c:pt>
                <c:pt idx="14">
                  <c:v>286.16811494757178</c:v>
                </c:pt>
                <c:pt idx="15">
                  <c:v>278.19575606039206</c:v>
                </c:pt>
                <c:pt idx="16">
                  <c:v>271.11385912387232</c:v>
                </c:pt>
                <c:pt idx="17">
                  <c:v>264.79385827445077</c:v>
                </c:pt>
                <c:pt idx="18">
                  <c:v>259.13190931285817</c:v>
                </c:pt>
                <c:pt idx="19">
                  <c:v>254.04304724798803</c:v>
                </c:pt>
                <c:pt idx="20">
                  <c:v>249.45695090751875</c:v>
                </c:pt>
                <c:pt idx="21">
                  <c:v>245.3148169183421</c:v>
                </c:pt>
                <c:pt idx="22">
                  <c:v>241.56701513314849</c:v>
                </c:pt>
                <c:pt idx="23">
                  <c:v>238.17130456550262</c:v>
                </c:pt>
                <c:pt idx="24">
                  <c:v>235.09145796803955</c:v>
                </c:pt>
                <c:pt idx="25">
                  <c:v>232.2961887644405</c:v>
                </c:pt>
                <c:pt idx="26">
                  <c:v>229.75830471601122</c:v>
                </c:pt>
                <c:pt idx="27">
                  <c:v>227.45403371534741</c:v>
                </c:pt>
                <c:pt idx="28">
                  <c:v>225.36248173111318</c:v>
                </c:pt>
                <c:pt idx="29">
                  <c:v>223.46519327013971</c:v>
                </c:pt>
                <c:pt idx="30">
                  <c:v>221.7457921345173</c:v>
                </c:pt>
                <c:pt idx="31">
                  <c:v>220.18968563039411</c:v>
                </c:pt>
                <c:pt idx="32">
                  <c:v>218.78381933525037</c:v>
                </c:pt>
                <c:pt idx="33">
                  <c:v>217.51647246288195</c:v>
                </c:pt>
                <c:pt idx="34">
                  <c:v>216.37708606452597</c:v>
                </c:pt>
                <c:pt idx="35">
                  <c:v>215.35611796951216</c:v>
                </c:pt>
                <c:pt idx="36">
                  <c:v>214.44491964049919</c:v>
                </c:pt>
                <c:pt idx="37">
                  <c:v>213.63563109772463</c:v>
                </c:pt>
                <c:pt idx="38">
                  <c:v>212.9210908268299</c:v>
                </c:pt>
                <c:pt idx="39">
                  <c:v>212.29475817912495</c:v>
                </c:pt>
                <c:pt idx="40">
                  <c:v>211.75064624101745</c:v>
                </c:pt>
                <c:pt idx="41">
                  <c:v>211.28326352005135</c:v>
                </c:pt>
                <c:pt idx="42">
                  <c:v>210.88756309056291</c:v>
                </c:pt>
                <c:pt idx="43">
                  <c:v>210.55889807897739</c:v>
                </c:pt>
                <c:pt idx="44">
                  <c:v>210.2929825598959</c:v>
                </c:pt>
                <c:pt idx="45">
                  <c:v>210.08585708904792</c:v>
                </c:pt>
                <c:pt idx="46">
                  <c:v>209.93385822540753</c:v>
                </c:pt>
                <c:pt idx="47">
                  <c:v>209.83359149809246</c:v>
                </c:pt>
                <c:pt idx="48">
                  <c:v>209.78190735863694</c:v>
                </c:pt>
                <c:pt idx="49">
                  <c:v>209.77587972940813</c:v>
                </c:pt>
                <c:pt idx="50">
                  <c:v>209.81278681715048</c:v>
                </c:pt>
                <c:pt idx="51">
                  <c:v>209.89009390911917</c:v>
                </c:pt>
                <c:pt idx="52">
                  <c:v>210.00543790979739</c:v>
                </c:pt>
                <c:pt idx="53">
                  <c:v>210.15661341020368</c:v>
                </c:pt>
                <c:pt idx="54">
                  <c:v>210.34156011044442</c:v>
                </c:pt>
                <c:pt idx="55">
                  <c:v>210.55835144037718</c:v>
                </c:pt>
                <c:pt idx="56">
                  <c:v>210.80518424378587</c:v>
                </c:pt>
                <c:pt idx="57">
                  <c:v>211.08036940893706</c:v>
                </c:pt>
                <c:pt idx="58">
                  <c:v>211.38232334329902</c:v>
                </c:pt>
                <c:pt idx="59">
                  <c:v>211.70956020297263</c:v>
                </c:pt>
                <c:pt idx="60">
                  <c:v>212.06068479834551</c:v>
                </c:pt>
                <c:pt idx="61">
                  <c:v>212.43438610692277</c:v>
                </c:pt>
                <c:pt idx="62">
                  <c:v>212.82943133244396</c:v>
                </c:pt>
                <c:pt idx="63">
                  <c:v>213.24466045645508</c:v>
                </c:pt>
                <c:pt idx="64">
                  <c:v>213.67898123464013</c:v>
                </c:pt>
                <c:pt idx="65">
                  <c:v>214.13136459555284</c:v>
                </c:pt>
                <c:pt idx="66">
                  <c:v>214.60084040405002</c:v>
                </c:pt>
                <c:pt idx="67">
                  <c:v>215.08649355580474</c:v>
                </c:pt>
                <c:pt idx="68">
                  <c:v>215.58746037285198</c:v>
                </c:pt>
                <c:pt idx="69">
                  <c:v>216.10292527326291</c:v>
                </c:pt>
                <c:pt idx="70">
                  <c:v>216.63211769081212</c:v>
                </c:pt>
                <c:pt idx="71">
                  <c:v>217.17430922294665</c:v>
                </c:pt>
                <c:pt idx="72">
                  <c:v>217.7288109875287</c:v>
                </c:pt>
                <c:pt idx="73">
                  <c:v>218.29497117074123</c:v>
                </c:pt>
                <c:pt idx="74">
                  <c:v>218.87217275024824</c:v>
                </c:pt>
                <c:pt idx="75">
                  <c:v>219.45983137921937</c:v>
                </c:pt>
                <c:pt idx="76">
                  <c:v>220.05739341817838</c:v>
                </c:pt>
                <c:pt idx="77">
                  <c:v>220.66433410284412</c:v>
                </c:pt>
                <c:pt idx="78">
                  <c:v>221.28015583721279</c:v>
                </c:pt>
                <c:pt idx="79">
                  <c:v>221.90438660209853</c:v>
                </c:pt>
                <c:pt idx="80">
                  <c:v>222.53657847022129</c:v>
                </c:pt>
                <c:pt idx="81">
                  <c:v>223.17630621970974</c:v>
                </c:pt>
                <c:pt idx="82">
                  <c:v>223.82316603859539</c:v>
                </c:pt>
                <c:pt idx="83">
                  <c:v>224.47677431350655</c:v>
                </c:pt>
                <c:pt idx="84">
                  <c:v>225.13676649634658</c:v>
                </c:pt>
                <c:pt idx="85">
                  <c:v>225.80279604326003</c:v>
                </c:pt>
                <c:pt idx="86">
                  <c:v>226.47453342065958</c:v>
                </c:pt>
                <c:pt idx="87">
                  <c:v>227.15166517351543</c:v>
                </c:pt>
                <c:pt idx="88">
                  <c:v>227.83389305149356</c:v>
                </c:pt>
                <c:pt idx="89">
                  <c:v>228.52093318888461</c:v>
                </c:pt>
                <c:pt idx="90">
                  <c:v>229.21251533458286</c:v>
                </c:pt>
                <c:pt idx="91">
                  <c:v>229.90838212866996</c:v>
                </c:pt>
                <c:pt idx="92">
                  <c:v>230.60828842242213</c:v>
                </c:pt>
                <c:pt idx="93">
                  <c:v>231.31200063880499</c:v>
                </c:pt>
                <c:pt idx="94">
                  <c:v>232.01929617074242</c:v>
                </c:pt>
                <c:pt idx="95">
                  <c:v>232.72996281464873</c:v>
                </c:pt>
                <c:pt idx="96">
                  <c:v>233.44379823690184</c:v>
                </c:pt>
                <c:pt idx="97">
                  <c:v>234.16060947110486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B-4412-914E-DCBE9993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7824"/>
        <c:axId val="755188656"/>
      </c:scatterChart>
      <c:valAx>
        <c:axId val="75518782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(kpc)</a:t>
                </a:r>
              </a:p>
            </c:rich>
          </c:tx>
          <c:layout>
            <c:manualLayout>
              <c:xMode val="edge"/>
              <c:yMode val="edge"/>
              <c:x val="0.43734601924759403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8656"/>
        <c:crosses val="autoZero"/>
        <c:crossBetween val="midCat"/>
        <c:majorUnit val="10"/>
      </c:valAx>
      <c:valAx>
        <c:axId val="755188656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0560549722951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7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5910511186102"/>
          <c:y val="1.7300415573053368E-2"/>
          <c:w val="0.82171009873765777"/>
          <c:h val="0.828261154855643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ED2-4CBA-974C-69A9188E934B}"/>
              </c:ext>
            </c:extLst>
          </c:dPt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Data'!$R$3:$R$49</c:f>
              <c:numCache>
                <c:formatCode>0.00</c:formatCode>
                <c:ptCount val="47"/>
                <c:pt idx="0">
                  <c:v>36.933454237021891</c:v>
                </c:pt>
                <c:pt idx="1">
                  <c:v>37.21577853416472</c:v>
                </c:pt>
                <c:pt idx="2">
                  <c:v>37.21577853416472</c:v>
                </c:pt>
                <c:pt idx="3">
                  <c:v>37.603418586196945</c:v>
                </c:pt>
                <c:pt idx="4">
                  <c:v>37.737113608144746</c:v>
                </c:pt>
                <c:pt idx="5">
                  <c:v>37.861250543104617</c:v>
                </c:pt>
                <c:pt idx="6">
                  <c:v>37.920143570387445</c:v>
                </c:pt>
                <c:pt idx="7">
                  <c:v>37.977105326845887</c:v>
                </c:pt>
                <c:pt idx="8">
                  <c:v>38.187930728909897</c:v>
                </c:pt>
                <c:pt idx="9">
                  <c:v>38.284465447776775</c:v>
                </c:pt>
                <c:pt idx="10">
                  <c:v>38.284465447776775</c:v>
                </c:pt>
                <c:pt idx="11">
                  <c:v>38.330792937976035</c:v>
                </c:pt>
                <c:pt idx="12">
                  <c:v>38.330792937976035</c:v>
                </c:pt>
                <c:pt idx="13">
                  <c:v>38.419898516820645</c:v>
                </c:pt>
                <c:pt idx="14">
                  <c:v>38.462793978387737</c:v>
                </c:pt>
                <c:pt idx="15">
                  <c:v>38.585469257453546</c:v>
                </c:pt>
                <c:pt idx="16">
                  <c:v>38.624508606610171</c:v>
                </c:pt>
                <c:pt idx="17">
                  <c:v>38.908762029911955</c:v>
                </c:pt>
                <c:pt idx="18">
                  <c:v>38.941233590800671</c:v>
                </c:pt>
                <c:pt idx="19">
                  <c:v>39.004410659533598</c:v>
                </c:pt>
                <c:pt idx="20">
                  <c:v>39.065370525760542</c:v>
                </c:pt>
                <c:pt idx="21">
                  <c:v>39.095066598077373</c:v>
                </c:pt>
                <c:pt idx="22">
                  <c:v>39.095066598077373</c:v>
                </c:pt>
                <c:pt idx="23">
                  <c:v>39.12426355304337</c:v>
                </c:pt>
                <c:pt idx="24">
                  <c:v>39.236378447444345</c:v>
                </c:pt>
                <c:pt idx="25">
                  <c:v>39.289834293676272</c:v>
                </c:pt>
                <c:pt idx="26">
                  <c:v>39.289834293676272</c:v>
                </c:pt>
                <c:pt idx="27">
                  <c:v>39.341694202333741</c:v>
                </c:pt>
                <c:pt idx="28">
                  <c:v>39.341694202333741</c:v>
                </c:pt>
                <c:pt idx="29">
                  <c:v>39.440988537233871</c:v>
                </c:pt>
                <c:pt idx="30">
                  <c:v>39.4885854304327</c:v>
                </c:pt>
                <c:pt idx="31">
                  <c:v>39.557621452198724</c:v>
                </c:pt>
                <c:pt idx="32">
                  <c:v>39.580036962270718</c:v>
                </c:pt>
                <c:pt idx="33">
                  <c:v>39.602166916670562</c:v>
                </c:pt>
                <c:pt idx="34">
                  <c:v>39.68797092101309</c:v>
                </c:pt>
                <c:pt idx="35">
                  <c:v>39.68797092101309</c:v>
                </c:pt>
                <c:pt idx="36">
                  <c:v>39.708775695756323</c:v>
                </c:pt>
                <c:pt idx="37">
                  <c:v>39.708775695756323</c:v>
                </c:pt>
                <c:pt idx="38">
                  <c:v>39.828628589266096</c:v>
                </c:pt>
                <c:pt idx="39">
                  <c:v>39.922552972664185</c:v>
                </c:pt>
                <c:pt idx="40">
                  <c:v>40.145353573456596</c:v>
                </c:pt>
                <c:pt idx="41">
                  <c:v>40.192950466655425</c:v>
                </c:pt>
                <c:pt idx="42">
                  <c:v>40.299186580733299</c:v>
                </c:pt>
                <c:pt idx="43">
                  <c:v>40.328383535699295</c:v>
                </c:pt>
                <c:pt idx="44">
                  <c:v>40.385345292157737</c:v>
                </c:pt>
                <c:pt idx="45">
                  <c:v>40.520077744968027</c:v>
                </c:pt>
                <c:pt idx="46">
                  <c:v>40.704403625157894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Data'!$Q$3:$Q$49</c:f>
              <c:numCache>
                <c:formatCode>0.00</c:formatCode>
                <c:ptCount val="47"/>
                <c:pt idx="0">
                  <c:v>37.008243353365344</c:v>
                </c:pt>
                <c:pt idx="1">
                  <c:v>37.792142455437066</c:v>
                </c:pt>
                <c:pt idx="2">
                  <c:v>37.838239159635499</c:v>
                </c:pt>
                <c:pt idx="3">
                  <c:v>38.015091479827632</c:v>
                </c:pt>
                <c:pt idx="4">
                  <c:v>37.755967034225655</c:v>
                </c:pt>
                <c:pt idx="5">
                  <c:v>37.724310817693883</c:v>
                </c:pt>
                <c:pt idx="6">
                  <c:v>38.035091479827635</c:v>
                </c:pt>
                <c:pt idx="7">
                  <c:v>38.176442072630309</c:v>
                </c:pt>
                <c:pt idx="8">
                  <c:v>38.437257849117486</c:v>
                </c:pt>
                <c:pt idx="9">
                  <c:v>38.728708395446382</c:v>
                </c:pt>
                <c:pt idx="10">
                  <c:v>38.409986433303608</c:v>
                </c:pt>
                <c:pt idx="11">
                  <c:v>38.191372978249923</c:v>
                </c:pt>
                <c:pt idx="12">
                  <c:v>38.401057633273851</c:v>
                </c:pt>
                <c:pt idx="13">
                  <c:v>38.287257849117481</c:v>
                </c:pt>
                <c:pt idx="14">
                  <c:v>38.015967034225653</c:v>
                </c:pt>
                <c:pt idx="15">
                  <c:v>38.774641867750908</c:v>
                </c:pt>
                <c:pt idx="16">
                  <c:v>38.282863839047302</c:v>
                </c:pt>
                <c:pt idx="17">
                  <c:v>38.605232250865896</c:v>
                </c:pt>
                <c:pt idx="18">
                  <c:v>39.12280239411573</c:v>
                </c:pt>
                <c:pt idx="19">
                  <c:v>38.252170762462278</c:v>
                </c:pt>
                <c:pt idx="20">
                  <c:v>38.96725784911748</c:v>
                </c:pt>
                <c:pt idx="21">
                  <c:v>38.960967968235749</c:v>
                </c:pt>
                <c:pt idx="22">
                  <c:v>38.941194102726989</c:v>
                </c:pt>
                <c:pt idx="23">
                  <c:v>39.4782391596355</c:v>
                </c:pt>
                <c:pt idx="24">
                  <c:v>39.542596013161351</c:v>
                </c:pt>
                <c:pt idx="25">
                  <c:v>39.106393835993103</c:v>
                </c:pt>
                <c:pt idx="26">
                  <c:v>39.366900167850297</c:v>
                </c:pt>
                <c:pt idx="27">
                  <c:v>39.368272025831288</c:v>
                </c:pt>
                <c:pt idx="28">
                  <c:v>39.68885965395657</c:v>
                </c:pt>
                <c:pt idx="29">
                  <c:v>39.850721953349186</c:v>
                </c:pt>
                <c:pt idx="30">
                  <c:v>39.722170762462277</c:v>
                </c:pt>
                <c:pt idx="31">
                  <c:v>39.640966936847128</c:v>
                </c:pt>
                <c:pt idx="32">
                  <c:v>39.355979411099845</c:v>
                </c:pt>
                <c:pt idx="33">
                  <c:v>39.402436158454826</c:v>
                </c:pt>
                <c:pt idx="34">
                  <c:v>39.411263102642053</c:v>
                </c:pt>
                <c:pt idx="35">
                  <c:v>39.79530430985448</c:v>
                </c:pt>
                <c:pt idx="36">
                  <c:v>39.775967034225658</c:v>
                </c:pt>
                <c:pt idx="37">
                  <c:v>39.143930392095442</c:v>
                </c:pt>
                <c:pt idx="38">
                  <c:v>39.748455754981094</c:v>
                </c:pt>
                <c:pt idx="39">
                  <c:v>39.567013820639801</c:v>
                </c:pt>
                <c:pt idx="40">
                  <c:v>40.247257849117481</c:v>
                </c:pt>
                <c:pt idx="41">
                  <c:v>40.133470803739378</c:v>
                </c:pt>
                <c:pt idx="42">
                  <c:v>40.32295260201672</c:v>
                </c:pt>
                <c:pt idx="43">
                  <c:v>40.267013820639797</c:v>
                </c:pt>
                <c:pt idx="44">
                  <c:v>40.135339469175413</c:v>
                </c:pt>
                <c:pt idx="45">
                  <c:v>40.297013588349387</c:v>
                </c:pt>
                <c:pt idx="46">
                  <c:v>40.812952132200245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valAx>
        <c:axId val="-173799800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Log(km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7278215223097111"/>
              <c:y val="0.9451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8006160"/>
        <c:crosses val="autoZero"/>
        <c:crossBetween val="midCat"/>
        <c:majorUnit val="0.5"/>
      </c:valAx>
      <c:valAx>
        <c:axId val="-173800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Mass Log(kg)</a:t>
                </a:r>
              </a:p>
            </c:rich>
          </c:tx>
          <c:layout>
            <c:manualLayout>
              <c:xMode val="edge"/>
              <c:yMode val="edge"/>
              <c:x val="4.811898512685914E-4"/>
              <c:y val="0.3413507686539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799800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6811648543931"/>
          <c:y val="2.3067220764071156E-2"/>
          <c:w val="0.80790807399075115"/>
          <c:h val="0.83505103528725577"/>
        </c:manualLayout>
      </c:layout>
      <c:scatterChart>
        <c:scatterStyle val="smoothMarker"/>
        <c:varyColors val="0"/>
        <c:ser>
          <c:idx val="0"/>
          <c:order val="0"/>
          <c:tx>
            <c:v>QEH Redshift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Recombination!$A$1:$A$1000</c:f>
              <c:numCache>
                <c:formatCode>0</c:formatCode>
                <c:ptCount val="1000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Recombination!$C$1:$C$1000</c:f>
              <c:numCache>
                <c:formatCode>General</c:formatCode>
                <c:ptCount val="1000"/>
                <c:pt idx="0">
                  <c:v>3.4590118319625177E-2</c:v>
                </c:pt>
                <c:pt idx="1">
                  <c:v>3.4586589100453709E-2</c:v>
                </c:pt>
                <c:pt idx="2">
                  <c:v>3.4586067736099284E-2</c:v>
                </c:pt>
                <c:pt idx="3">
                  <c:v>3.4585466161066496E-2</c:v>
                </c:pt>
                <c:pt idx="4">
                  <c:v>3.4584784375022021E-2</c:v>
                </c:pt>
                <c:pt idx="5">
                  <c:v>3.4584022377588008E-2</c:v>
                </c:pt>
                <c:pt idx="6">
                  <c:v>3.4583099957852761E-2</c:v>
                </c:pt>
                <c:pt idx="7">
                  <c:v>3.4582017114794097E-2</c:v>
                </c:pt>
                <c:pt idx="8">
                  <c:v>3.4580773847212039E-2</c:v>
                </c:pt>
                <c:pt idx="9">
                  <c:v>3.4579330048134065E-2</c:v>
                </c:pt>
                <c:pt idx="10">
                  <c:v>3.457764560980995E-2</c:v>
                </c:pt>
                <c:pt idx="11">
                  <c:v>3.4575680423507893E-2</c:v>
                </c:pt>
                <c:pt idx="12">
                  <c:v>3.4573394379273821E-2</c:v>
                </c:pt>
                <c:pt idx="13">
                  <c:v>3.4570707259262597E-2</c:v>
                </c:pt>
                <c:pt idx="14">
                  <c:v>3.4567578949349448E-2</c:v>
                </c:pt>
                <c:pt idx="15">
                  <c:v>3.4563889118949691E-2</c:v>
                </c:pt>
                <c:pt idx="16">
                  <c:v>3.4559557538913176E-2</c:v>
                </c:pt>
                <c:pt idx="17">
                  <c:v>3.4554503974266897E-2</c:v>
                </c:pt>
                <c:pt idx="18">
                  <c:v>3.454852785764783E-2</c:v>
                </c:pt>
                <c:pt idx="19">
                  <c:v>3.4541468714629125E-2</c:v>
                </c:pt>
                <c:pt idx="20">
                  <c:v>3.4533206162847718E-2</c:v>
                </c:pt>
                <c:pt idx="21">
                  <c:v>3.4523419247656929E-2</c:v>
                </c:pt>
                <c:pt idx="22">
                  <c:v>3.4511827083278004E-2</c:v>
                </c:pt>
                <c:pt idx="23">
                  <c:v>3.4498188846680419E-2</c:v>
                </c:pt>
                <c:pt idx="24">
                  <c:v>3.4482022970372249E-2</c:v>
                </c:pt>
                <c:pt idx="25">
                  <c:v>3.4462968125155008E-2</c:v>
                </c:pt>
                <c:pt idx="26">
                  <c:v>3.4440422154797153E-2</c:v>
                </c:pt>
                <c:pt idx="27">
                  <c:v>3.4413862944475244E-2</c:v>
                </c:pt>
                <c:pt idx="28">
                  <c:v>3.4382567530651928E-2</c:v>
                </c:pt>
                <c:pt idx="29">
                  <c:v>3.4345812601091756E-2</c:v>
                </c:pt>
                <c:pt idx="30">
                  <c:v>3.43028342787789E-2</c:v>
                </c:pt>
                <c:pt idx="31">
                  <c:v>3.425278786601766E-2</c:v>
                </c:pt>
                <c:pt idx="32">
                  <c:v>3.4194827956835497E-2</c:v>
                </c:pt>
                <c:pt idx="33">
                  <c:v>3.4128188585609662E-2</c:v>
                </c:pt>
                <c:pt idx="34">
                  <c:v>3.4052142980566441E-2</c:v>
                </c:pt>
                <c:pt idx="35">
                  <c:v>3.3966083767951252E-2</c:v>
                </c:pt>
                <c:pt idx="36">
                  <c:v>3.3869563113539766E-2</c:v>
                </c:pt>
                <c:pt idx="37">
                  <c:v>3.3762252595762071E-2</c:v>
                </c:pt>
                <c:pt idx="38">
                  <c:v>3.3644023643684948E-2</c:v>
                </c:pt>
                <c:pt idx="39">
                  <c:v>3.3514867345270712E-2</c:v>
                </c:pt>
                <c:pt idx="40">
                  <c:v>3.3374894609259666E-2</c:v>
                </c:pt>
                <c:pt idx="41">
                  <c:v>3.3224416834053236E-2</c:v>
                </c:pt>
                <c:pt idx="42">
                  <c:v>3.306382557042406E-2</c:v>
                </c:pt>
                <c:pt idx="43">
                  <c:v>3.2893471969232375E-2</c:v>
                </c:pt>
                <c:pt idx="44">
                  <c:v>3.2713868179260738E-2</c:v>
                </c:pt>
                <c:pt idx="45">
                  <c:v>3.2525486296474289E-2</c:v>
                </c:pt>
                <c:pt idx="46">
                  <c:v>3.2328879321663305E-2</c:v>
                </c:pt>
                <c:pt idx="47">
                  <c:v>3.2124520112300846E-2</c:v>
                </c:pt>
                <c:pt idx="48">
                  <c:v>3.1912881993663593E-2</c:v>
                </c:pt>
                <c:pt idx="49">
                  <c:v>3.1694398468909452E-2</c:v>
                </c:pt>
                <c:pt idx="50">
                  <c:v>3.1469463192512648E-2</c:v>
                </c:pt>
                <c:pt idx="51">
                  <c:v>3.1238510760797381E-2</c:v>
                </c:pt>
                <c:pt idx="52">
                  <c:v>3.1001814693273361E-2</c:v>
                </c:pt>
                <c:pt idx="53">
                  <c:v>3.0759689340681517E-2</c:v>
                </c:pt>
                <c:pt idx="54">
                  <c:v>3.05122876217599E-2</c:v>
                </c:pt>
                <c:pt idx="55">
                  <c:v>3.0259924643712317E-2</c:v>
                </c:pt>
                <c:pt idx="56">
                  <c:v>3.000263236593757E-2</c:v>
                </c:pt>
                <c:pt idx="57">
                  <c:v>2.9740523774921875E-2</c:v>
                </c:pt>
                <c:pt idx="58">
                  <c:v>2.9473752557422513E-2</c:v>
                </c:pt>
                <c:pt idx="59">
                  <c:v>2.9202229003508138E-2</c:v>
                </c:pt>
                <c:pt idx="60">
                  <c:v>2.8925984928509112E-2</c:v>
                </c:pt>
                <c:pt idx="61">
                  <c:v>2.8644970770453668E-2</c:v>
                </c:pt>
                <c:pt idx="62">
                  <c:v>2.8359136694352794E-2</c:v>
                </c:pt>
                <c:pt idx="63">
                  <c:v>2.8068310452342444E-2</c:v>
                </c:pt>
                <c:pt idx="64">
                  <c:v>2.7772441396649524E-2</c:v>
                </c:pt>
                <c:pt idx="65">
                  <c:v>2.747131551073486E-2</c:v>
                </c:pt>
                <c:pt idx="66">
                  <c:v>2.716475880861037E-2</c:v>
                </c:pt>
                <c:pt idx="67">
                  <c:v>2.6852637454000034E-2</c:v>
                </c:pt>
                <c:pt idx="68">
                  <c:v>2.6534694465144604E-2</c:v>
                </c:pt>
                <c:pt idx="69">
                  <c:v>2.6210712783136997E-2</c:v>
                </c:pt>
                <c:pt idx="70">
                  <c:v>2.5880474473763883E-2</c:v>
                </c:pt>
                <c:pt idx="71">
                  <c:v>2.5543719746747871E-2</c:v>
                </c:pt>
                <c:pt idx="72">
                  <c:v>2.5200187741607878E-2</c:v>
                </c:pt>
                <c:pt idx="73">
                  <c:v>2.4849616486223174E-2</c:v>
                </c:pt>
                <c:pt idx="74">
                  <c:v>2.4491783901638406E-2</c:v>
                </c:pt>
                <c:pt idx="75">
                  <c:v>2.4126384681923622E-2</c:v>
                </c:pt>
                <c:pt idx="76">
                  <c:v>2.3753153255464659E-2</c:v>
                </c:pt>
                <c:pt idx="77">
                  <c:v>2.3371822754936312E-2</c:v>
                </c:pt>
                <c:pt idx="78">
                  <c:v>2.2982083775491418E-2</c:v>
                </c:pt>
                <c:pt idx="79">
                  <c:v>2.2583749048105034E-2</c:v>
                </c:pt>
                <c:pt idx="80">
                  <c:v>2.2176465083855249E-2</c:v>
                </c:pt>
                <c:pt idx="81">
                  <c:v>2.1760041799593739E-2</c:v>
                </c:pt>
                <c:pt idx="82">
                  <c:v>2.1334163817900664E-2</c:v>
                </c:pt>
                <c:pt idx="83">
                  <c:v>2.0898720915139873E-2</c:v>
                </c:pt>
                <c:pt idx="84">
                  <c:v>2.0453394694878588E-2</c:v>
                </c:pt>
                <c:pt idx="85">
                  <c:v>1.9997989275880573E-2</c:v>
                </c:pt>
                <c:pt idx="86">
                  <c:v>1.9532390363013796E-2</c:v>
                </c:pt>
                <c:pt idx="87">
                  <c:v>1.9056440959363569E-2</c:v>
                </c:pt>
                <c:pt idx="88">
                  <c:v>1.857002432819212E-2</c:v>
                </c:pt>
                <c:pt idx="89">
                  <c:v>1.8073064191533494E-2</c:v>
                </c:pt>
                <c:pt idx="90">
                  <c:v>1.756552494402706E-2</c:v>
                </c:pt>
                <c:pt idx="91">
                  <c:v>1.7047411882355704E-2</c:v>
                </c:pt>
                <c:pt idx="92">
                  <c:v>1.6518855067701441E-2</c:v>
                </c:pt>
                <c:pt idx="93">
                  <c:v>1.5979942664145864E-2</c:v>
                </c:pt>
                <c:pt idx="94">
                  <c:v>1.5430930274509707E-2</c:v>
                </c:pt>
                <c:pt idx="95">
                  <c:v>1.4872116140474076E-2</c:v>
                </c:pt>
                <c:pt idx="96">
                  <c:v>1.4303883503068968E-2</c:v>
                </c:pt>
                <c:pt idx="97">
                  <c:v>1.3726659155296786E-2</c:v>
                </c:pt>
                <c:pt idx="98">
                  <c:v>1.314116662500097E-2</c:v>
                </c:pt>
                <c:pt idx="99">
                  <c:v>1.2548006359777509E-2</c:v>
                </c:pt>
                <c:pt idx="100">
                  <c:v>1.1948119758145501E-2</c:v>
                </c:pt>
                <c:pt idx="101">
                  <c:v>1.13424108545335E-2</c:v>
                </c:pt>
                <c:pt idx="102">
                  <c:v>1.0732127500887048E-2</c:v>
                </c:pt>
                <c:pt idx="103">
                  <c:v>1.0118439601645938E-2</c:v>
                </c:pt>
                <c:pt idx="104">
                  <c:v>9.5029060351146857E-3</c:v>
                </c:pt>
                <c:pt idx="105">
                  <c:v>8.8870519705609771E-3</c:v>
                </c:pt>
                <c:pt idx="106">
                  <c:v>8.2727095168264233E-3</c:v>
                </c:pt>
                <c:pt idx="107">
                  <c:v>7.6617211479696667E-3</c:v>
                </c:pt>
                <c:pt idx="108">
                  <c:v>7.0561532842782363E-3</c:v>
                </c:pt>
                <c:pt idx="109">
                  <c:v>6.4581264648608397E-3</c:v>
                </c:pt>
                <c:pt idx="110">
                  <c:v>5.8698153684430248E-3</c:v>
                </c:pt>
                <c:pt idx="111">
                  <c:v>5.2933200051521407E-3</c:v>
                </c:pt>
                <c:pt idx="112">
                  <c:v>4.7307935326165156E-3</c:v>
                </c:pt>
                <c:pt idx="113">
                  <c:v>4.1839687939569199E-3</c:v>
                </c:pt>
                <c:pt idx="114">
                  <c:v>3.6543703104049245E-3</c:v>
                </c:pt>
                <c:pt idx="115">
                  <c:v>3.1429243311693108E-3</c:v>
                </c:pt>
                <c:pt idx="116">
                  <c:v>2.6496958106238589E-3</c:v>
                </c:pt>
                <c:pt idx="117">
                  <c:v>2.1736240323917957E-3</c:v>
                </c:pt>
                <c:pt idx="118">
                  <c:v>1.71199754201917E-3</c:v>
                </c:pt>
                <c:pt idx="119">
                  <c:v>1.2600563220112691E-3</c:v>
                </c:pt>
                <c:pt idx="120">
                  <c:v>8.0989843664421371E-4</c:v>
                </c:pt>
                <c:pt idx="121">
                  <c:v>3.4994375597307133E-4</c:v>
                </c:pt>
                <c:pt idx="122">
                  <c:v>-1.3683734570035439E-4</c:v>
                </c:pt>
                <c:pt idx="123">
                  <c:v>-6.7446597694052551E-4</c:v>
                </c:pt>
                <c:pt idx="124">
                  <c:v>-1.296408529330297E-3</c:v>
                </c:pt>
                <c:pt idx="125">
                  <c:v>-2.0487623686407264E-3</c:v>
                </c:pt>
                <c:pt idx="126">
                  <c:v>-2.9943318753731609E-3</c:v>
                </c:pt>
                <c:pt idx="127">
                  <c:v>-4.2177404673618872E-3</c:v>
                </c:pt>
                <c:pt idx="128">
                  <c:v>-5.8312764404749671E-3</c:v>
                </c:pt>
                <c:pt idx="129">
                  <c:v>-7.9808250796170321E-3</c:v>
                </c:pt>
                <c:pt idx="130">
                  <c:v>-1.0850643596272998E-2</c:v>
                </c:pt>
                <c:pt idx="131">
                  <c:v>-1.4665276387611217E-2</c:v>
                </c:pt>
                <c:pt idx="132">
                  <c:v>-1.9687402621305292E-2</c:v>
                </c:pt>
                <c:pt idx="133">
                  <c:v>-2.6211200620353696E-2</c:v>
                </c:pt>
                <c:pt idx="134">
                  <c:v>-3.4551964369399238E-2</c:v>
                </c:pt>
                <c:pt idx="135">
                  <c:v>-4.5032895966186093E-2</c:v>
                </c:pt>
                <c:pt idx="136">
                  <c:v>-5.7969855599686655E-2</c:v>
                </c:pt>
                <c:pt idx="137">
                  <c:v>-7.3654620352795491E-2</c:v>
                </c:pt>
                <c:pt idx="138">
                  <c:v>-9.2337987131656696E-2</c:v>
                </c:pt>
                <c:pt idx="139">
                  <c:v>-0.11421430628098289</c:v>
                </c:pt>
                <c:pt idx="140">
                  <c:v>-0.1394097745344294</c:v>
                </c:pt>
                <c:pt idx="141">
                  <c:v>-0.16797597303991546</c:v>
                </c:pt>
                <c:pt idx="142">
                  <c:v>-0.19988957772422597</c:v>
                </c:pt>
                <c:pt idx="143">
                  <c:v>-0.23505795755337353</c:v>
                </c:pt>
                <c:pt idx="144">
                  <c:v>-0.27332950555063357</c:v>
                </c:pt>
                <c:pt idx="145">
                  <c:v>-0.31450704458415335</c:v>
                </c:pt>
                <c:pt idx="146">
                  <c:v>-0.35836250454003427</c:v>
                </c:pt>
                <c:pt idx="147">
                  <c:v>-0.40465136416813247</c:v>
                </c:pt>
                <c:pt idx="148">
                  <c:v>-0.45312568441243783</c:v>
                </c:pt>
                <c:pt idx="149">
                  <c:v>-0.50354496032227747</c:v>
                </c:pt>
                <c:pt idx="150">
                  <c:v>-0.55568465104892206</c:v>
                </c:pt>
                <c:pt idx="151">
                  <c:v>-0.60934220605943967</c:v>
                </c:pt>
                <c:pt idx="152">
                  <c:v>-0.66434098629621863</c:v>
                </c:pt>
                <c:pt idx="153">
                  <c:v>-0.72053220646579774</c:v>
                </c:pt>
                <c:pt idx="154">
                  <c:v>-0.77779536162625729</c:v>
                </c:pt>
                <c:pt idx="155">
                  <c:v>-0.83603741114701557</c:v>
                </c:pt>
                <c:pt idx="156">
                  <c:v>-0.89519100868594048</c:v>
                </c:pt>
                <c:pt idx="157">
                  <c:v>-0.95521215899923817</c:v>
                </c:pt>
                <c:pt idx="158">
                  <c:v>-1.0160772896924142</c:v>
                </c:pt>
                <c:pt idx="159">
                  <c:v>-1.0777800549676551</c:v>
                </c:pt>
                <c:pt idx="160">
                  <c:v>-1.1403280707257248</c:v>
                </c:pt>
                <c:pt idx="161">
                  <c:v>-1.2037393809226227</c:v>
                </c:pt>
                <c:pt idx="162">
                  <c:v>-1.2680389164315922</c:v>
                </c:pt>
                <c:pt idx="163">
                  <c:v>-1.3332548137088183</c:v>
                </c:pt>
                <c:pt idx="164">
                  <c:v>-1.3994147027318982</c:v>
                </c:pt>
                <c:pt idx="165">
                  <c:v>-1.4665416159897238</c:v>
                </c:pt>
                <c:pt idx="166">
                  <c:v>-1.5346497367334533</c:v>
                </c:pt>
                <c:pt idx="167">
                  <c:v>-1.6037396466632885</c:v>
                </c:pt>
                <c:pt idx="168">
                  <c:v>-1.6737929305771426</c:v>
                </c:pt>
                <c:pt idx="169">
                  <c:v>-1.7447663418627015</c:v>
                </c:pt>
                <c:pt idx="170">
                  <c:v>-1.8165850550068854</c:v>
                </c:pt>
                <c:pt idx="171">
                  <c:v>-1.889135424527095</c:v>
                </c:pt>
                <c:pt idx="172">
                  <c:v>-1.9622574984827474</c:v>
                </c:pt>
                <c:pt idx="173">
                  <c:v>-2.0357380733769457</c:v>
                </c:pt>
                <c:pt idx="174">
                  <c:v>-2.1093045513313937</c:v>
                </c:pt>
                <c:pt idx="175">
                  <c:v>-2.1826232424515952</c:v>
                </c:pt>
                <c:pt idx="176">
                  <c:v>-2.2553004884668857</c:v>
                </c:pt>
                <c:pt idx="177">
                  <c:v>-2.326894021900352</c:v>
                </c:pt>
                <c:pt idx="178">
                  <c:v>-2.3969276655885166</c:v>
                </c:pt>
                <c:pt idx="179">
                  <c:v>-2.4649222327492168</c:v>
                </c:pt>
                <c:pt idx="180">
                  <c:v>-2.5304196072869267</c:v>
                </c:pt>
                <c:pt idx="181">
                  <c:v>-2.5930272393338041</c:v>
                </c:pt>
                <c:pt idx="182">
                  <c:v>-2.6524322320668374</c:v>
                </c:pt>
                <c:pt idx="183">
                  <c:v>-2.7084358275703173</c:v>
                </c:pt>
                <c:pt idx="184">
                  <c:v>-2.7609426167732165</c:v>
                </c:pt>
                <c:pt idx="185">
                  <c:v>-2.8099685170673605</c:v>
                </c:pt>
                <c:pt idx="186">
                  <c:v>-2.8556096670745381</c:v>
                </c:pt>
                <c:pt idx="187">
                  <c:v>-2.8980350432260149</c:v>
                </c:pt>
                <c:pt idx="188">
                  <c:v>-2.9374465936649941</c:v>
                </c:pt>
                <c:pt idx="189">
                  <c:v>-2.9740826199558845</c:v>
                </c:pt>
                <c:pt idx="190">
                  <c:v>-3.0081689526525506</c:v>
                </c:pt>
                <c:pt idx="191">
                  <c:v>-3.0399521019369833</c:v>
                </c:pt>
                <c:pt idx="192">
                  <c:v>-3.0696373871844806</c:v>
                </c:pt>
                <c:pt idx="193">
                  <c:v>-3.0974399420226857</c:v>
                </c:pt>
                <c:pt idx="194">
                  <c:v>-3.1235269882000076</c:v>
                </c:pt>
                <c:pt idx="195">
                  <c:v>-3.1481017587684232</c:v>
                </c:pt>
                <c:pt idx="196">
                  <c:v>-3.1712645337790319</c:v>
                </c:pt>
                <c:pt idx="197">
                  <c:v>-3.1931851717190054</c:v>
                </c:pt>
                <c:pt idx="198">
                  <c:v>-3.2139371750822474</c:v>
                </c:pt>
                <c:pt idx="199">
                  <c:v>-3.2336687320589528</c:v>
                </c:pt>
                <c:pt idx="200">
                  <c:v>-3.2524396173418135</c:v>
                </c:pt>
                <c:pt idx="201">
                  <c:v>-3.27033504696124</c:v>
                </c:pt>
                <c:pt idx="202">
                  <c:v>-3.2874431345317836</c:v>
                </c:pt>
                <c:pt idx="203">
                  <c:v>-3.3037921881110854</c:v>
                </c:pt>
                <c:pt idx="204">
                  <c:v>-3.3194680195781645</c:v>
                </c:pt>
                <c:pt idx="205">
                  <c:v>-3.3344959881693779</c:v>
                </c:pt>
                <c:pt idx="206">
                  <c:v>-3.3489463163144255</c:v>
                </c:pt>
                <c:pt idx="207">
                  <c:v>-3.3628310062944076</c:v>
                </c:pt>
                <c:pt idx="208">
                  <c:v>-3.3762117331621528</c:v>
                </c:pt>
                <c:pt idx="209">
                  <c:v>-3.3890957319684283</c:v>
                </c:pt>
                <c:pt idx="210">
                  <c:v>-3.401524695350099</c:v>
                </c:pt>
                <c:pt idx="211">
                  <c:v>-3.4135241410394248</c:v>
                </c:pt>
                <c:pt idx="212">
                  <c:v>-3.4251155741534882</c:v>
                </c:pt>
                <c:pt idx="213">
                  <c:v>-3.4363187936814112</c:v>
                </c:pt>
                <c:pt idx="214">
                  <c:v>-3.4471584899574341</c:v>
                </c:pt>
                <c:pt idx="215">
                  <c:v>-3.457650155587991</c:v>
                </c:pt>
                <c:pt idx="216">
                  <c:v>-3.4678082884420354</c:v>
                </c:pt>
                <c:pt idx="217">
                  <c:v>-3.4776535394036792</c:v>
                </c:pt>
                <c:pt idx="218">
                  <c:v>-3.4871928155744212</c:v>
                </c:pt>
                <c:pt idx="219">
                  <c:v>-3.4964468279604519</c:v>
                </c:pt>
                <c:pt idx="220">
                  <c:v>-3.5054204090774808</c:v>
                </c:pt>
                <c:pt idx="221">
                  <c:v>-3.5141298460313966</c:v>
                </c:pt>
                <c:pt idx="222">
                  <c:v>-3.5225820353341111</c:v>
                </c:pt>
                <c:pt idx="223">
                  <c:v>-3.5307870267451062</c:v>
                </c:pt>
                <c:pt idx="224">
                  <c:v>-3.5387536142751745</c:v>
                </c:pt>
                <c:pt idx="225">
                  <c:v>-3.5464895118656732</c:v>
                </c:pt>
                <c:pt idx="226">
                  <c:v>-3.5540024636252348</c:v>
                </c:pt>
                <c:pt idx="227">
                  <c:v>-3.5612998941188114</c:v>
                </c:pt>
                <c:pt idx="228">
                  <c:v>-3.5683869740985812</c:v>
                </c:pt>
                <c:pt idx="229">
                  <c:v>-3.5752707196959999</c:v>
                </c:pt>
                <c:pt idx="230">
                  <c:v>-3.5819565771217046</c:v>
                </c:pt>
                <c:pt idx="231">
                  <c:v>-3.5884496688627605</c:v>
                </c:pt>
                <c:pt idx="232">
                  <c:v>-3.594755300198234</c:v>
                </c:pt>
                <c:pt idx="233">
                  <c:v>-3.6008786508082551</c:v>
                </c:pt>
                <c:pt idx="234">
                  <c:v>-3.6068247598843843</c:v>
                </c:pt>
                <c:pt idx="235">
                  <c:v>-3.612598657890596</c:v>
                </c:pt>
                <c:pt idx="236">
                  <c:v>-3.6182059645193245</c:v>
                </c:pt>
                <c:pt idx="237">
                  <c:v>-3.6236528236037651</c:v>
                </c:pt>
                <c:pt idx="238">
                  <c:v>-3.6289462941110324</c:v>
                </c:pt>
                <c:pt idx="239">
                  <c:v>-3.6340948809655833</c:v>
                </c:pt>
                <c:pt idx="240">
                  <c:v>-3.6391091189919962</c:v>
                </c:pt>
                <c:pt idx="241">
                  <c:v>-3.6440024972312401</c:v>
                </c:pt>
                <c:pt idx="242">
                  <c:v>-3.6487927662351241</c:v>
                </c:pt>
                <c:pt idx="243">
                  <c:v>-3.6535038297942823</c:v>
                </c:pt>
                <c:pt idx="244">
                  <c:v>-3.6581689744674786</c:v>
                </c:pt>
                <c:pt idx="245">
                  <c:v>-3.6628362593172237</c:v>
                </c:pt>
                <c:pt idx="246">
                  <c:v>-3.6675795990304052</c:v>
                </c:pt>
                <c:pt idx="247">
                  <c:v>-3.6725251397884056</c:v>
                </c:pt>
                <c:pt idx="248">
                  <c:v>-3.67794069986773</c:v>
                </c:pt>
                <c:pt idx="249">
                  <c:v>-3.6850625936060992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1-4339-8E09-7CF4954F079E}"/>
            </c:ext>
          </c:extLst>
        </c:ser>
        <c:ser>
          <c:idx val="2"/>
          <c:order val="1"/>
          <c:tx>
            <c:v>LCDM Redshift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Recombination!$E:$E</c:f>
              <c:numCache>
                <c:formatCode>0.00</c:formatCode>
                <c:ptCount val="1048576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Recombination!$G:$G</c:f>
              <c:numCache>
                <c:formatCode>General</c:formatCode>
                <c:ptCount val="1048576"/>
                <c:pt idx="0">
                  <c:v>3.4590118319625177E-2</c:v>
                </c:pt>
                <c:pt idx="1">
                  <c:v>3.4548608074522834E-2</c:v>
                </c:pt>
                <c:pt idx="2">
                  <c:v>3.4542631876772027E-2</c:v>
                </c:pt>
                <c:pt idx="3">
                  <c:v>3.453573307643789E-2</c:v>
                </c:pt>
                <c:pt idx="4">
                  <c:v>3.4527751188143795E-2</c:v>
                </c:pt>
                <c:pt idx="5">
                  <c:v>3.4518525707353989E-2</c:v>
                </c:pt>
                <c:pt idx="6">
                  <c:v>3.4507896106073375E-2</c:v>
                </c:pt>
                <c:pt idx="7">
                  <c:v>3.4495621601305849E-2</c:v>
                </c:pt>
                <c:pt idx="8">
                  <c:v>3.4481421251201599E-2</c:v>
                </c:pt>
                <c:pt idx="9">
                  <c:v>3.4465054170015823E-2</c:v>
                </c:pt>
                <c:pt idx="10">
                  <c:v>3.4446199169764463E-2</c:v>
                </c:pt>
                <c:pt idx="11">
                  <c:v>3.4424494847491292E-2</c:v>
                </c:pt>
                <c:pt idx="12">
                  <c:v>3.4399539554178231E-2</c:v>
                </c:pt>
                <c:pt idx="13">
                  <c:v>3.437093148116252E-2</c:v>
                </c:pt>
                <c:pt idx="14">
                  <c:v>3.433826862818623E-2</c:v>
                </c:pt>
                <c:pt idx="15">
                  <c:v>3.4301148767705111E-2</c:v>
                </c:pt>
                <c:pt idx="16">
                  <c:v>3.4259169405447709E-2</c:v>
                </c:pt>
                <c:pt idx="17">
                  <c:v>3.4211927737212947E-2</c:v>
                </c:pt>
                <c:pt idx="18">
                  <c:v>3.4159100890742547E-2</c:v>
                </c:pt>
                <c:pt idx="19">
                  <c:v>3.4100445929319337E-2</c:v>
                </c:pt>
                <c:pt idx="20">
                  <c:v>3.4035840024682178E-2</c:v>
                </c:pt>
                <c:pt idx="21">
                  <c:v>3.396511987245468E-2</c:v>
                </c:pt>
                <c:pt idx="22">
                  <c:v>3.3888282486844869E-2</c:v>
                </c:pt>
                <c:pt idx="23">
                  <c:v>3.3805445153900902E-2</c:v>
                </c:pt>
                <c:pt idx="24">
                  <c:v>3.3716724998360856E-2</c:v>
                </c:pt>
                <c:pt idx="25">
                  <c:v>3.3622359581938238E-2</c:v>
                </c:pt>
                <c:pt idx="26">
                  <c:v>3.3522586447863933E-2</c:v>
                </c:pt>
                <c:pt idx="27">
                  <c:v>3.3417763790265828E-2</c:v>
                </c:pt>
                <c:pt idx="28">
                  <c:v>3.3308169519783701E-2</c:v>
                </c:pt>
                <c:pt idx="29">
                  <c:v>3.3194121899539901E-2</c:v>
                </c:pt>
                <c:pt idx="30">
                  <c:v>3.3076019874408016E-2</c:v>
                </c:pt>
                <c:pt idx="31">
                  <c:v>3.2954182191852116E-2</c:v>
                </c:pt>
                <c:pt idx="32">
                  <c:v>3.2828887589188512E-2</c:v>
                </c:pt>
                <c:pt idx="33">
                  <c:v>3.2700455319523709E-2</c:v>
                </c:pt>
                <c:pt idx="34">
                  <c:v>3.2569204942537684E-2</c:v>
                </c:pt>
                <c:pt idx="35">
                  <c:v>3.2435295130383707E-2</c:v>
                </c:pt>
                <c:pt idx="36">
                  <c:v>3.2299045968566469E-2</c:v>
                </c:pt>
                <c:pt idx="37">
                  <c:v>3.2160616586068877E-2</c:v>
                </c:pt>
                <c:pt idx="38">
                  <c:v>3.2020166281680557E-2</c:v>
                </c:pt>
                <c:pt idx="39">
                  <c:v>3.1877814176017136E-2</c:v>
                </c:pt>
                <c:pt idx="40">
                  <c:v>3.1733719890348136E-2</c:v>
                </c:pt>
                <c:pt idx="41">
                  <c:v>3.1587962471159858E-2</c:v>
                </c:pt>
                <c:pt idx="42">
                  <c:v>3.144062105249356E-2</c:v>
                </c:pt>
                <c:pt idx="43">
                  <c:v>3.1291694038301336E-2</c:v>
                </c:pt>
                <c:pt idx="44">
                  <c:v>3.1141260662787586E-2</c:v>
                </c:pt>
                <c:pt idx="45">
                  <c:v>3.0989278939351321E-2</c:v>
                </c:pt>
                <c:pt idx="46">
                  <c:v>3.0835747260221497E-2</c:v>
                </c:pt>
                <c:pt idx="47">
                  <c:v>3.0680663999901367E-2</c:v>
                </c:pt>
                <c:pt idx="48">
                  <c:v>3.0523987033264234E-2</c:v>
                </c:pt>
                <c:pt idx="49">
                  <c:v>3.0365633661715546E-2</c:v>
                </c:pt>
                <c:pt idx="50">
                  <c:v>3.0205561560012164E-2</c:v>
                </c:pt>
                <c:pt idx="51">
                  <c:v>3.0043647268469285E-2</c:v>
                </c:pt>
                <c:pt idx="52">
                  <c:v>2.9879888748024271E-2</c:v>
                </c:pt>
                <c:pt idx="53">
                  <c:v>2.9714081147579525E-2</c:v>
                </c:pt>
                <c:pt idx="54">
                  <c:v>2.954618156994392E-2</c:v>
                </c:pt>
                <c:pt idx="55">
                  <c:v>2.9376065845565881E-2</c:v>
                </c:pt>
                <c:pt idx="56">
                  <c:v>2.9203609579475483E-2</c:v>
                </c:pt>
                <c:pt idx="57">
                  <c:v>2.9028728766037511E-2</c:v>
                </c:pt>
                <c:pt idx="58">
                  <c:v>2.885117667452726E-2</c:v>
                </c:pt>
                <c:pt idx="59">
                  <c:v>2.8670909401387681E-2</c:v>
                </c:pt>
                <c:pt idx="60">
                  <c:v>2.8487760906169474E-2</c:v>
                </c:pt>
                <c:pt idx="61">
                  <c:v>2.8301564815865581E-2</c:v>
                </c:pt>
                <c:pt idx="62">
                  <c:v>2.8112195120548255E-2</c:v>
                </c:pt>
                <c:pt idx="63">
                  <c:v>2.7919403349982139E-2</c:v>
                </c:pt>
                <c:pt idx="64">
                  <c:v>2.7723144237990046E-2</c:v>
                </c:pt>
                <c:pt idx="65">
                  <c:v>2.7523127783112493E-2</c:v>
                </c:pt>
                <c:pt idx="66">
                  <c:v>2.7319267269466829E-2</c:v>
                </c:pt>
                <c:pt idx="67">
                  <c:v>2.7111312517725625E-2</c:v>
                </c:pt>
                <c:pt idx="68">
                  <c:v>2.6899094405412265E-2</c:v>
                </c:pt>
                <c:pt idx="69">
                  <c:v>2.6682443362708304E-2</c:v>
                </c:pt>
                <c:pt idx="70">
                  <c:v>2.6461148492749449E-2</c:v>
                </c:pt>
                <c:pt idx="71">
                  <c:v>2.6234957447123987E-2</c:v>
                </c:pt>
                <c:pt idx="72">
                  <c:v>2.6003699009516972E-2</c:v>
                </c:pt>
                <c:pt idx="73">
                  <c:v>2.576711957795022E-2</c:v>
                </c:pt>
                <c:pt idx="74">
                  <c:v>2.5525046717790351E-2</c:v>
                </c:pt>
                <c:pt idx="75">
                  <c:v>2.5277225467358055E-2</c:v>
                </c:pt>
                <c:pt idx="76">
                  <c:v>2.50234000713884E-2</c:v>
                </c:pt>
                <c:pt idx="77">
                  <c:v>2.4763313945611817E-2</c:v>
                </c:pt>
                <c:pt idx="78">
                  <c:v>2.4496750687249852E-2</c:v>
                </c:pt>
                <c:pt idx="79">
                  <c:v>2.4223410945182849E-2</c:v>
                </c:pt>
                <c:pt idx="80">
                  <c:v>2.3943076520818896E-2</c:v>
                </c:pt>
                <c:pt idx="81">
                  <c:v>2.3655446082651153E-2</c:v>
                </c:pt>
                <c:pt idx="82">
                  <c:v>2.3360217160237888E-2</c:v>
                </c:pt>
                <c:pt idx="83">
                  <c:v>2.3057127274921364E-2</c:v>
                </c:pt>
                <c:pt idx="84">
                  <c:v>2.2745830391717632E-2</c:v>
                </c:pt>
                <c:pt idx="85">
                  <c:v>2.2426102784832622E-2</c:v>
                </c:pt>
                <c:pt idx="86">
                  <c:v>2.2097595787299106E-2</c:v>
                </c:pt>
                <c:pt idx="87">
                  <c:v>2.1760000492533273E-2</c:v>
                </c:pt>
                <c:pt idx="88">
                  <c:v>2.1412965165136428E-2</c:v>
                </c:pt>
                <c:pt idx="89">
                  <c:v>2.1056177751280089E-2</c:v>
                </c:pt>
                <c:pt idx="90">
                  <c:v>2.0689283155070137E-2</c:v>
                </c:pt>
                <c:pt idx="91">
                  <c:v>2.0312007320062841E-2</c:v>
                </c:pt>
                <c:pt idx="92">
                  <c:v>1.9923867138336097E-2</c:v>
                </c:pt>
                <c:pt idx="93">
                  <c:v>1.9524626150577894E-2</c:v>
                </c:pt>
                <c:pt idx="94">
                  <c:v>1.911383844259756E-2</c:v>
                </c:pt>
                <c:pt idx="95">
                  <c:v>1.8691138770513441E-2</c:v>
                </c:pt>
                <c:pt idx="96">
                  <c:v>1.8256159568986928E-2</c:v>
                </c:pt>
                <c:pt idx="97">
                  <c:v>1.7808447476341357E-2</c:v>
                </c:pt>
                <c:pt idx="98">
                  <c:v>1.7347546240131507E-2</c:v>
                </c:pt>
                <c:pt idx="99">
                  <c:v>1.6872996576393698E-2</c:v>
                </c:pt>
                <c:pt idx="100">
                  <c:v>1.6384294201323847E-2</c:v>
                </c:pt>
                <c:pt idx="101">
                  <c:v>1.5880805695712926E-2</c:v>
                </c:pt>
                <c:pt idx="102">
                  <c:v>1.5361851419995609E-2</c:v>
                </c:pt>
                <c:pt idx="103">
                  <c:v>1.4826663054107406E-2</c:v>
                </c:pt>
                <c:pt idx="104">
                  <c:v>1.4274172679053397E-2</c:v>
                </c:pt>
                <c:pt idx="105">
                  <c:v>1.3703263019053214E-2</c:v>
                </c:pt>
                <c:pt idx="106">
                  <c:v>1.3112303181151527E-2</c:v>
                </c:pt>
                <c:pt idx="107">
                  <c:v>1.2499355565229979E-2</c:v>
                </c:pt>
                <c:pt idx="108">
                  <c:v>1.1861792544995673E-2</c:v>
                </c:pt>
                <c:pt idx="109">
                  <c:v>1.1196163251775465E-2</c:v>
                </c:pt>
                <c:pt idx="110">
                  <c:v>1.0497973524206432E-2</c:v>
                </c:pt>
                <c:pt idx="111">
                  <c:v>9.7610803346944199E-3</c:v>
                </c:pt>
                <c:pt idx="112">
                  <c:v>8.9773332068348276E-3</c:v>
                </c:pt>
                <c:pt idx="113">
                  <c:v>8.1358672289116151E-3</c:v>
                </c:pt>
                <c:pt idx="114">
                  <c:v>7.2219976662463003E-3</c:v>
                </c:pt>
                <c:pt idx="115">
                  <c:v>6.2162189911085276E-3</c:v>
                </c:pt>
                <c:pt idx="116">
                  <c:v>5.0925289193810312E-3</c:v>
                </c:pt>
                <c:pt idx="117">
                  <c:v>3.8168262205892176E-3</c:v>
                </c:pt>
                <c:pt idx="118">
                  <c:v>2.3449283163798984E-3</c:v>
                </c:pt>
                <c:pt idx="119">
                  <c:v>6.2085769211605169E-4</c:v>
                </c:pt>
                <c:pt idx="120">
                  <c:v>-1.4243130603007277E-3</c:v>
                </c:pt>
                <c:pt idx="121">
                  <c:v>-3.8718101414852162E-3</c:v>
                </c:pt>
                <c:pt idx="122">
                  <c:v>-6.8130114052640462E-3</c:v>
                </c:pt>
                <c:pt idx="123">
                  <c:v>-1.0344844301741809E-2</c:v>
                </c:pt>
                <c:pt idx="124">
                  <c:v>-1.4563928429377343E-2</c:v>
                </c:pt>
                <c:pt idx="125">
                  <c:v>-1.9560824583967396E-2</c:v>
                </c:pt>
                <c:pt idx="126">
                  <c:v>-2.5415671482852415E-2</c:v>
                </c:pt>
                <c:pt idx="127">
                  <c:v>-3.2196019941629989E-2</c:v>
                </c:pt>
                <c:pt idx="128">
                  <c:v>-3.995664911606546E-2</c:v>
                </c:pt>
                <c:pt idx="129">
                  <c:v>-4.874076328110033E-2</c:v>
                </c:pt>
                <c:pt idx="130">
                  <c:v>-5.8581841375804307E-2</c:v>
                </c:pt>
                <c:pt idx="131">
                  <c:v>-6.9505693691773229E-2</c:v>
                </c:pt>
                <c:pt idx="132">
                  <c:v>-8.1532373711920264E-2</c:v>
                </c:pt>
                <c:pt idx="133">
                  <c:v>-9.4677920823184269E-2</c:v>
                </c:pt>
                <c:pt idx="134">
                  <c:v>-0.10895584418456232</c:v>
                </c:pt>
                <c:pt idx="135">
                  <c:v>-0.12437842403615651</c:v>
                </c:pt>
                <c:pt idx="136">
                  <c:v>-0.14095780474596056</c:v>
                </c:pt>
                <c:pt idx="137">
                  <c:v>-0.15870697417403085</c:v>
                </c:pt>
                <c:pt idx="138">
                  <c:v>-0.17764050043841464</c:v>
                </c:pt>
                <c:pt idx="139">
                  <c:v>-0.19777517298077768</c:v>
                </c:pt>
                <c:pt idx="140">
                  <c:v>-0.21913046958315643</c:v>
                </c:pt>
                <c:pt idx="141">
                  <c:v>-0.24172890723134466</c:v>
                </c:pt>
                <c:pt idx="142">
                  <c:v>-0.26559619874628193</c:v>
                </c:pt>
                <c:pt idx="143">
                  <c:v>-0.29076133140821681</c:v>
                </c:pt>
                <c:pt idx="144">
                  <c:v>-0.31725649729017874</c:v>
                </c:pt>
                <c:pt idx="145">
                  <c:v>-0.34511685547336918</c:v>
                </c:pt>
                <c:pt idx="146">
                  <c:v>-0.37438027606884572</c:v>
                </c:pt>
                <c:pt idx="147">
                  <c:v>-0.40508688462610459</c:v>
                </c:pt>
                <c:pt idx="148">
                  <c:v>-0.43727858536482889</c:v>
                </c:pt>
                <c:pt idx="149">
                  <c:v>-0.47099847924346244</c:v>
                </c:pt>
                <c:pt idx="150">
                  <c:v>-0.5062902844989523</c:v>
                </c:pt>
                <c:pt idx="151">
                  <c:v>-0.54319767458432411</c:v>
                </c:pt>
                <c:pt idx="152">
                  <c:v>-0.58176359248112963</c:v>
                </c:pt>
                <c:pt idx="153">
                  <c:v>-0.6220297170575394</c:v>
                </c:pt>
                <c:pt idx="154">
                  <c:v>-0.66403564428005357</c:v>
                </c:pt>
                <c:pt idx="155">
                  <c:v>-0.70781849631675375</c:v>
                </c:pt>
                <c:pt idx="156">
                  <c:v>-0.75341210750496579</c:v>
                </c:pt>
                <c:pt idx="157">
                  <c:v>-0.80084650689919312</c:v>
                </c:pt>
                <c:pt idx="158">
                  <c:v>-0.85014737209044433</c:v>
                </c:pt>
                <c:pt idx="159">
                  <c:v>-0.90133516556175708</c:v>
                </c:pt>
                <c:pt idx="160">
                  <c:v>-0.95442453868430832</c:v>
                </c:pt>
                <c:pt idx="161">
                  <c:v>-1.0094234052026934</c:v>
                </c:pt>
                <c:pt idx="162">
                  <c:v>-1.0663317179118936</c:v>
                </c:pt>
                <c:pt idx="163">
                  <c:v>-1.1251402149073733</c:v>
                </c:pt>
                <c:pt idx="164">
                  <c:v>-1.1858285723443329</c:v>
                </c:pt>
                <c:pt idx="165">
                  <c:v>-1.2483631893367422</c:v>
                </c:pt>
                <c:pt idx="166">
                  <c:v>-1.3126942896332823</c:v>
                </c:pt>
                <c:pt idx="167">
                  <c:v>-1.3787524187423854</c:v>
                </c:pt>
                <c:pt idx="168">
                  <c:v>-1.4464440183090059</c:v>
                </c:pt>
                <c:pt idx="169">
                  <c:v>-1.5156463399508349</c:v>
                </c:pt>
                <c:pt idx="170">
                  <c:v>-1.5862013857014901</c:v>
                </c:pt>
                <c:pt idx="171">
                  <c:v>-1.6579095828224459</c:v>
                </c:pt>
                <c:pt idx="172">
                  <c:v>-1.7305233185503002</c:v>
                </c:pt>
                <c:pt idx="173">
                  <c:v>-1.8037414975570754</c:v>
                </c:pt>
                <c:pt idx="174">
                  <c:v>-1.8772064192036204</c:v>
                </c:pt>
                <c:pt idx="175">
                  <c:v>-1.9505046215366684</c:v>
                </c:pt>
                <c:pt idx="176">
                  <c:v>-2.0231736636359785</c:v>
                </c:pt>
                <c:pt idx="177">
                  <c:v>-2.0947166088452738</c:v>
                </c:pt>
                <c:pt idx="178">
                  <c:v>-2.1646242253772456</c:v>
                </c:pt>
                <c:pt idx="179">
                  <c:v>-2.2324039675996445</c:v>
                </c:pt>
                <c:pt idx="180">
                  <c:v>-2.2976119558333772</c:v>
                </c:pt>
                <c:pt idx="181">
                  <c:v>-2.3598826981452725</c:v>
                </c:pt>
                <c:pt idx="182">
                  <c:v>-2.4189511483781345</c:v>
                </c:pt>
                <c:pt idx="183">
                  <c:v>-2.4746630823391422</c:v>
                </c:pt>
                <c:pt idx="184">
                  <c:v>-2.5269730124736571</c:v>
                </c:pt>
                <c:pt idx="185">
                  <c:v>-2.5759309435488422</c:v>
                </c:pt>
                <c:pt idx="186">
                  <c:v>-2.6216630862744656</c:v>
                </c:pt>
                <c:pt idx="187">
                  <c:v>-2.6643490667245735</c:v>
                </c:pt>
                <c:pt idx="188">
                  <c:v>-2.7042016091187251</c:v>
                </c:pt>
                <c:pt idx="189">
                  <c:v>-2.7414480283688514</c:v>
                </c:pt>
                <c:pt idx="190">
                  <c:v>-2.7763175834854841</c:v>
                </c:pt>
                <c:pt idx="191">
                  <c:v>-2.8090311970523931</c:v>
                </c:pt>
                <c:pt idx="192">
                  <c:v>-2.8397967786755212</c:v>
                </c:pt>
                <c:pt idx="193">
                  <c:v>-2.8688044495781555</c:v>
                </c:pt>
                <c:pt idx="194">
                  <c:v>-2.8962279118807457</c:v>
                </c:pt>
                <c:pt idx="195">
                  <c:v>-2.9222207092844363</c:v>
                </c:pt>
                <c:pt idx="196">
                  <c:v>-2.9469226710790704</c:v>
                </c:pt>
                <c:pt idx="197">
                  <c:v>-2.9704536561377095</c:v>
                </c:pt>
                <c:pt idx="198">
                  <c:v>-2.9929248324892712</c:v>
                </c:pt>
                <c:pt idx="199">
                  <c:v>-3.0144294242400265</c:v>
                </c:pt>
                <c:pt idx="200">
                  <c:v>-3.0350533748358592</c:v>
                </c:pt>
                <c:pt idx="201">
                  <c:v>-3.0548713808663694</c:v>
                </c:pt>
                <c:pt idx="202">
                  <c:v>-3.0739499875677554</c:v>
                </c:pt>
                <c:pt idx="203">
                  <c:v>-3.0923484300956479</c:v>
                </c:pt>
                <c:pt idx="204">
                  <c:v>-3.1101196257466674</c:v>
                </c:pt>
                <c:pt idx="205">
                  <c:v>-3.1273111076201197</c:v>
                </c:pt>
                <c:pt idx="206">
                  <c:v>-3.1439655208905504</c:v>
                </c:pt>
                <c:pt idx="207">
                  <c:v>-3.1601212793038296</c:v>
                </c:pt>
                <c:pt idx="208">
                  <c:v>-3.1758134472346828</c:v>
                </c:pt>
                <c:pt idx="209">
                  <c:v>-3.1910736453338471</c:v>
                </c:pt>
                <c:pt idx="210">
                  <c:v>-3.2059309044603794</c:v>
                </c:pt>
                <c:pt idx="211">
                  <c:v>-3.2204119422169053</c:v>
                </c:pt>
                <c:pt idx="212">
                  <c:v>-3.2345411863663749</c:v>
                </c:pt>
                <c:pt idx="213">
                  <c:v>-3.2483413237748877</c:v>
                </c:pt>
                <c:pt idx="214">
                  <c:v>-3.2618334192942027</c:v>
                </c:pt>
                <c:pt idx="215">
                  <c:v>-3.2750371449012445</c:v>
                </c:pt>
                <c:pt idx="216">
                  <c:v>-3.2879709410896338</c:v>
                </c:pt>
                <c:pt idx="217">
                  <c:v>-3.30065217619646</c:v>
                </c:pt>
                <c:pt idx="218">
                  <c:v>-3.3130973558018333</c:v>
                </c:pt>
                <c:pt idx="219">
                  <c:v>-3.3253221922602711</c:v>
                </c:pt>
                <c:pt idx="220">
                  <c:v>-3.337341774794166</c:v>
                </c:pt>
                <c:pt idx="221">
                  <c:v>-3.3491707140419043</c:v>
                </c:pt>
                <c:pt idx="222">
                  <c:v>-3.3608232252940891</c:v>
                </c:pt>
                <c:pt idx="223">
                  <c:v>-3.3723133142213246</c:v>
                </c:pt>
                <c:pt idx="224">
                  <c:v>-3.3836548780515057</c:v>
                </c:pt>
                <c:pt idx="225">
                  <c:v>-3.3948618390570995</c:v>
                </c:pt>
                <c:pt idx="226">
                  <c:v>-3.4059483332533356</c:v>
                </c:pt>
                <c:pt idx="227">
                  <c:v>-3.4169288684004751</c:v>
                </c:pt>
                <c:pt idx="228">
                  <c:v>-3.4278185218664747</c:v>
                </c:pt>
                <c:pt idx="229">
                  <c:v>-3.4386331812903612</c:v>
                </c:pt>
                <c:pt idx="230">
                  <c:v>-3.4493898192044736</c:v>
                </c:pt>
                <c:pt idx="231">
                  <c:v>-3.4601068034656635</c:v>
                </c:pt>
                <c:pt idx="232">
                  <c:v>-3.4708043743801325</c:v>
                </c:pt>
                <c:pt idx="233">
                  <c:v>-3.4815050773726099</c:v>
                </c:pt>
                <c:pt idx="234">
                  <c:v>-3.49223451681909</c:v>
                </c:pt>
                <c:pt idx="235">
                  <c:v>-3.5030221672758666</c:v>
                </c:pt>
                <c:pt idx="236">
                  <c:v>-3.5139025464997795</c:v>
                </c:pt>
                <c:pt idx="237">
                  <c:v>-3.5249167852544172</c:v>
                </c:pt>
                <c:pt idx="238">
                  <c:v>-3.5361148164455414</c:v>
                </c:pt>
                <c:pt idx="239">
                  <c:v>-3.5475584736260934</c:v>
                </c:pt>
                <c:pt idx="240">
                  <c:v>-3.5593261615384302</c:v>
                </c:pt>
                <c:pt idx="241">
                  <c:v>-3.5715199171064658</c:v>
                </c:pt>
                <c:pt idx="242">
                  <c:v>-3.5842768721662934</c:v>
                </c:pt>
                <c:pt idx="243">
                  <c:v>-3.5977885513814116</c:v>
                </c:pt>
                <c:pt idx="244">
                  <c:v>-3.6123363163201518</c:v>
                </c:pt>
                <c:pt idx="245">
                  <c:v>-3.6283622738730821</c:v>
                </c:pt>
                <c:pt idx="246">
                  <c:v>-3.6466317409453977</c:v>
                </c:pt>
                <c:pt idx="247">
                  <c:v>-3.6686877409491894</c:v>
                </c:pt>
                <c:pt idx="248">
                  <c:v>-3.6986761081517856</c:v>
                </c:pt>
                <c:pt idx="249">
                  <c:v>-3.7638711521870434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3-4461-B352-5FB62586E617}"/>
            </c:ext>
          </c:extLst>
        </c:ser>
        <c:ser>
          <c:idx val="1"/>
          <c:order val="2"/>
          <c:tx>
            <c:v>Milestone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349612548431444E-2"/>
                  <c:y val="0.259372448235637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Universe is 90% Neutral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2269716285458"/>
                      <c:h val="0.1708333333333333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A95-426D-8522-EEC6A386F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Recombination!$A$159</c:f>
              <c:numCache>
                <c:formatCode>0</c:formatCode>
                <c:ptCount val="1"/>
                <c:pt idx="0">
                  <c:v>1096.3855000000001</c:v>
                </c:pt>
              </c:numCache>
            </c:numRef>
          </c:xVal>
          <c:yVal>
            <c:numRef>
              <c:f>Recombination!$C$159</c:f>
              <c:numCache>
                <c:formatCode>General</c:formatCode>
                <c:ptCount val="1"/>
                <c:pt idx="0">
                  <c:v>-1.0160772896924142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1-4339-8E09-7CF4954F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39856"/>
        <c:axId val="490440184"/>
      </c:scatterChart>
      <c:valAx>
        <c:axId val="49043985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 (z)</a:t>
                </a:r>
              </a:p>
            </c:rich>
          </c:tx>
          <c:layout>
            <c:manualLayout>
              <c:xMode val="edge"/>
              <c:yMode val="edge"/>
              <c:x val="0.47182852143482062"/>
              <c:y val="0.929416375036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40184"/>
        <c:crossesAt val="-6"/>
        <c:crossBetween val="midCat"/>
        <c:majorUnit val="500"/>
        <c:minorUnit val="100"/>
      </c:valAx>
      <c:valAx>
        <c:axId val="490440184"/>
        <c:scaling>
          <c:orientation val="minMax"/>
          <c:max val="0.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 (Log10)</a:t>
                </a:r>
              </a:p>
            </c:rich>
          </c:tx>
          <c:layout>
            <c:manualLayout>
              <c:xMode val="edge"/>
              <c:yMode val="edge"/>
              <c:x val="6.1729783777027874E-3"/>
              <c:y val="0.35042578011081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39856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Factor'!$T$2:$T$3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Factor'!$U$2:$U$3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4D-4243-B980-F415DF36E95D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4D-4243-B980-F415DF36E95D}"/>
              </c:ext>
            </c:extLst>
          </c:dPt>
          <c:xVal>
            <c:numRef>
              <c:f>'Scale Factor'!$Q$2:$Q$3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Factor'!$R$2:$R$3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4D-4243-B980-F415DF36E95D}"/>
            </c:ext>
          </c:extLst>
        </c:ser>
        <c:ser>
          <c:idx val="0"/>
          <c:order val="2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Factor'!$H$2:$H$39</c:f>
              <c:numCache>
                <c:formatCode>0.00</c:formatCode>
                <c:ptCount val="38"/>
                <c:pt idx="0">
                  <c:v>4.264678755620007E-4</c:v>
                </c:pt>
                <c:pt idx="1">
                  <c:v>3.8354315904350865E-3</c:v>
                </c:pt>
                <c:pt idx="2">
                  <c:v>6.8160752410783496E-3</c:v>
                </c:pt>
                <c:pt idx="3">
                  <c:v>1.0646259187314863E-2</c:v>
                </c:pt>
                <c:pt idx="4">
                  <c:v>1.5325058173661704E-2</c:v>
                </c:pt>
                <c:pt idx="5">
                  <c:v>2.0851547280176342E-2</c:v>
                </c:pt>
                <c:pt idx="6">
                  <c:v>2.7224801922456646E-2</c:v>
                </c:pt>
                <c:pt idx="7">
                  <c:v>3.4443897851640842E-2</c:v>
                </c:pt>
                <c:pt idx="8">
                  <c:v>4.2507911154407628E-2</c:v>
                </c:pt>
                <c:pt idx="9">
                  <c:v>5.1415918252976013E-2</c:v>
                </c:pt>
                <c:pt idx="10">
                  <c:v>0.18671270080732036</c:v>
                </c:pt>
                <c:pt idx="11">
                  <c:v>0.40539541877020363</c:v>
                </c:pt>
                <c:pt idx="12">
                  <c:v>0.70654603077717748</c:v>
                </c:pt>
                <c:pt idx="13">
                  <c:v>1.0892498508677368</c:v>
                </c:pt>
                <c:pt idx="14">
                  <c:v>1.5525955484853204</c:v>
                </c:pt>
                <c:pt idx="15">
                  <c:v>2.0956751484773086</c:v>
                </c:pt>
                <c:pt idx="16">
                  <c:v>2.7175840310950274</c:v>
                </c:pt>
                <c:pt idx="17">
                  <c:v>3.4174209319937447</c:v>
                </c:pt>
                <c:pt idx="18">
                  <c:v>5.047290508274962</c:v>
                </c:pt>
                <c:pt idx="19">
                  <c:v>6.9781408706419681</c:v>
                </c:pt>
                <c:pt idx="20">
                  <c:v>9.2028826988788666</c:v>
                </c:pt>
                <c:pt idx="21">
                  <c:v>9.9065577062356258</c:v>
                </c:pt>
                <c:pt idx="22">
                  <c:v>11.714480359232851</c:v>
                </c:pt>
                <c:pt idx="23">
                  <c:v>14.505951904414207</c:v>
                </c:pt>
                <c:pt idx="24">
                  <c:v>17.570369073596311</c:v>
                </c:pt>
                <c:pt idx="25">
                  <c:v>20.900857292415633</c:v>
                </c:pt>
                <c:pt idx="26">
                  <c:v>24.49059567297174</c:v>
                </c:pt>
                <c:pt idx="27">
                  <c:v>28.332817013827274</c:v>
                </c:pt>
                <c:pt idx="28">
                  <c:v>32.420807800007985</c:v>
                </c:pt>
                <c:pt idx="29">
                  <c:v>36.747908203002723</c:v>
                </c:pt>
                <c:pt idx="30">
                  <c:v>41.307512080763402</c:v>
                </c:pt>
                <c:pt idx="31">
                  <c:v>46.093066977705071</c:v>
                </c:pt>
                <c:pt idx="32">
                  <c:v>51.098074124705811</c:v>
                </c:pt>
                <c:pt idx="33">
                  <c:v>56.316088439106828</c:v>
                </c:pt>
                <c:pt idx="34">
                  <c:v>61.740718524712463</c:v>
                </c:pt>
                <c:pt idx="35">
                  <c:v>67.365626671790054</c:v>
                </c:pt>
                <c:pt idx="36">
                  <c:v>73.18452885707012</c:v>
                </c:pt>
                <c:pt idx="37">
                  <c:v>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4D-4243-B980-F415DF36E95D}"/>
            </c:ext>
          </c:extLst>
        </c:ser>
        <c:ser>
          <c:idx val="1"/>
          <c:order val="3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Factor'!$I$2:$I$39</c:f>
              <c:numCache>
                <c:formatCode>0.00</c:formatCode>
                <c:ptCount val="38"/>
                <c:pt idx="0">
                  <c:v>-4.264678755620007E-4</c:v>
                </c:pt>
                <c:pt idx="1">
                  <c:v>-3.8354315904350865E-3</c:v>
                </c:pt>
                <c:pt idx="2">
                  <c:v>-6.8160752410783496E-3</c:v>
                </c:pt>
                <c:pt idx="3">
                  <c:v>-1.0646259187314863E-2</c:v>
                </c:pt>
                <c:pt idx="4">
                  <c:v>-1.5325058173661704E-2</c:v>
                </c:pt>
                <c:pt idx="5">
                  <c:v>-2.0851547280176342E-2</c:v>
                </c:pt>
                <c:pt idx="6">
                  <c:v>-2.7224801922456646E-2</c:v>
                </c:pt>
                <c:pt idx="7">
                  <c:v>-3.4443897851640842E-2</c:v>
                </c:pt>
                <c:pt idx="8">
                  <c:v>-4.2507911154407628E-2</c:v>
                </c:pt>
                <c:pt idx="9">
                  <c:v>-5.1415918252976013E-2</c:v>
                </c:pt>
                <c:pt idx="10">
                  <c:v>-0.18671270080732036</c:v>
                </c:pt>
                <c:pt idx="11">
                  <c:v>-0.40539541877020363</c:v>
                </c:pt>
                <c:pt idx="12">
                  <c:v>-0.70654603077717748</c:v>
                </c:pt>
                <c:pt idx="13">
                  <c:v>-1.0892498508677368</c:v>
                </c:pt>
                <c:pt idx="14">
                  <c:v>-1.5525955484853204</c:v>
                </c:pt>
                <c:pt idx="15">
                  <c:v>-2.0956751484773086</c:v>
                </c:pt>
                <c:pt idx="16">
                  <c:v>-2.7175840310950274</c:v>
                </c:pt>
                <c:pt idx="17">
                  <c:v>-3.4174209319937447</c:v>
                </c:pt>
                <c:pt idx="18">
                  <c:v>-5.047290508274962</c:v>
                </c:pt>
                <c:pt idx="19">
                  <c:v>-6.9781408706419681</c:v>
                </c:pt>
                <c:pt idx="20">
                  <c:v>-9.2028826988788666</c:v>
                </c:pt>
                <c:pt idx="21">
                  <c:v>-9.9065577062356258</c:v>
                </c:pt>
                <c:pt idx="22">
                  <c:v>-11.714480359232851</c:v>
                </c:pt>
                <c:pt idx="23">
                  <c:v>-14.505951904414207</c:v>
                </c:pt>
                <c:pt idx="24">
                  <c:v>-17.570369073596311</c:v>
                </c:pt>
                <c:pt idx="25">
                  <c:v>-20.900857292415633</c:v>
                </c:pt>
                <c:pt idx="26">
                  <c:v>-24.49059567297174</c:v>
                </c:pt>
                <c:pt idx="27">
                  <c:v>-28.332817013827274</c:v>
                </c:pt>
                <c:pt idx="28">
                  <c:v>-32.420807800007985</c:v>
                </c:pt>
                <c:pt idx="29">
                  <c:v>-36.747908203002723</c:v>
                </c:pt>
                <c:pt idx="30">
                  <c:v>-41.307512080763402</c:v>
                </c:pt>
                <c:pt idx="31">
                  <c:v>-46.093066977705071</c:v>
                </c:pt>
                <c:pt idx="32">
                  <c:v>-51.098074124705811</c:v>
                </c:pt>
                <c:pt idx="33">
                  <c:v>-56.316088439106828</c:v>
                </c:pt>
                <c:pt idx="34">
                  <c:v>-61.740718524712463</c:v>
                </c:pt>
                <c:pt idx="35">
                  <c:v>-67.365626671790054</c:v>
                </c:pt>
                <c:pt idx="36">
                  <c:v>-73.18452885707012</c:v>
                </c:pt>
                <c:pt idx="37">
                  <c:v>-79.191194743746223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4D-4243-B980-F415DF36E95D}"/>
            </c:ext>
          </c:extLst>
        </c:ser>
        <c:ser>
          <c:idx val="4"/>
          <c:order val="4"/>
          <c:tx>
            <c:strRef>
              <c:f>'Scale Factor'!$N$1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Factor'!$N$2:$N$39</c:f>
              <c:numCache>
                <c:formatCode>0.00</c:formatCode>
                <c:ptCount val="38"/>
                <c:pt idx="0">
                  <c:v>6.4998681672097575E-2</c:v>
                </c:pt>
                <c:pt idx="1">
                  <c:v>0.19492543286847994</c:v>
                </c:pt>
                <c:pt idx="2">
                  <c:v>0.25985350239276472</c:v>
                </c:pt>
                <c:pt idx="3">
                  <c:v>0.32475803453444513</c:v>
                </c:pt>
                <c:pt idx="4">
                  <c:v>0.3896390292935214</c:v>
                </c:pt>
                <c:pt idx="5">
                  <c:v>0.45449648666999337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0.64892763450378355</c:v>
                </c:pt>
                <c:pt idx="9">
                  <c:v>0.71369094234983854</c:v>
                </c:pt>
                <c:pt idx="10">
                  <c:v>1.360029464767152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3.2849226024565303</c:v>
                </c:pt>
                <c:pt idx="14">
                  <c:v>3.921846171832136</c:v>
                </c:pt>
                <c:pt idx="15">
                  <c:v>4.556416002947314</c:v>
                </c:pt>
                <c:pt idx="16">
                  <c:v>5.1886320958020651</c:v>
                </c:pt>
                <c:pt idx="17">
                  <c:v>5.818494450396388</c:v>
                </c:pt>
                <c:pt idx="18">
                  <c:v>7.0711579448037538</c:v>
                </c:pt>
                <c:pt idx="19">
                  <c:v>8.3144064861694105</c:v>
                </c:pt>
                <c:pt idx="20">
                  <c:v>9.5482400744933589</c:v>
                </c:pt>
                <c:pt idx="21">
                  <c:v>9.9065577062356258</c:v>
                </c:pt>
                <c:pt idx="22">
                  <c:v>10.772658709775598</c:v>
                </c:pt>
                <c:pt idx="23">
                  <c:v>11.98766239201613</c:v>
                </c:pt>
                <c:pt idx="24">
                  <c:v>13.193251121214955</c:v>
                </c:pt>
                <c:pt idx="25">
                  <c:v>14.389424897372066</c:v>
                </c:pt>
                <c:pt idx="26">
                  <c:v>15.576183720487474</c:v>
                </c:pt>
                <c:pt idx="27">
                  <c:v>16.75352759056117</c:v>
                </c:pt>
                <c:pt idx="28">
                  <c:v>17.92145650759316</c:v>
                </c:pt>
                <c:pt idx="29">
                  <c:v>19.07997047158344</c:v>
                </c:pt>
                <c:pt idx="30">
                  <c:v>20.229069482532008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25.833340241649239</c:v>
                </c:pt>
                <c:pt idx="36">
                  <c:v>26.925949534347563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4D-4243-B980-F415DF36E95D}"/>
            </c:ext>
          </c:extLst>
        </c:ser>
        <c:ser>
          <c:idx val="5"/>
          <c:order val="5"/>
          <c:tx>
            <c:strRef>
              <c:f>'Scale Factor'!$O$1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Factor'!$O$2:$O$39</c:f>
              <c:numCache>
                <c:formatCode>0.00</c:formatCode>
                <c:ptCount val="38"/>
                <c:pt idx="0">
                  <c:v>-6.4998681672097575E-2</c:v>
                </c:pt>
                <c:pt idx="1">
                  <c:v>-0.19492543286847994</c:v>
                </c:pt>
                <c:pt idx="2">
                  <c:v>-0.25985350239276472</c:v>
                </c:pt>
                <c:pt idx="3">
                  <c:v>-0.32475803453444513</c:v>
                </c:pt>
                <c:pt idx="4">
                  <c:v>-0.3896390292935214</c:v>
                </c:pt>
                <c:pt idx="5">
                  <c:v>-0.45449648666999337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-0.64892763450378355</c:v>
                </c:pt>
                <c:pt idx="9">
                  <c:v>-0.71369094234983854</c:v>
                </c:pt>
                <c:pt idx="10">
                  <c:v>-1.360029464767152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-3.2849226024565303</c:v>
                </c:pt>
                <c:pt idx="14">
                  <c:v>-3.921846171832136</c:v>
                </c:pt>
                <c:pt idx="15">
                  <c:v>-4.556416002947314</c:v>
                </c:pt>
                <c:pt idx="16">
                  <c:v>-5.1886320958020651</c:v>
                </c:pt>
                <c:pt idx="17">
                  <c:v>-5.818494450396388</c:v>
                </c:pt>
                <c:pt idx="18">
                  <c:v>-7.0711579448037538</c:v>
                </c:pt>
                <c:pt idx="19">
                  <c:v>-8.3144064861694105</c:v>
                </c:pt>
                <c:pt idx="20">
                  <c:v>-9.5482400744933589</c:v>
                </c:pt>
                <c:pt idx="21">
                  <c:v>-9.9065577062356258</c:v>
                </c:pt>
                <c:pt idx="22">
                  <c:v>-10.772658709775598</c:v>
                </c:pt>
                <c:pt idx="23">
                  <c:v>-11.98766239201613</c:v>
                </c:pt>
                <c:pt idx="24">
                  <c:v>-13.193251121214955</c:v>
                </c:pt>
                <c:pt idx="25">
                  <c:v>-14.389424897372066</c:v>
                </c:pt>
                <c:pt idx="26">
                  <c:v>-15.576183720487474</c:v>
                </c:pt>
                <c:pt idx="27">
                  <c:v>-16.75352759056117</c:v>
                </c:pt>
                <c:pt idx="28">
                  <c:v>-17.92145650759316</c:v>
                </c:pt>
                <c:pt idx="29">
                  <c:v>-19.07997047158344</c:v>
                </c:pt>
                <c:pt idx="30">
                  <c:v>-20.229069482532008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-25.833340241649239</c:v>
                </c:pt>
                <c:pt idx="36">
                  <c:v>-26.925949534347563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4D-4243-B980-F415DF36E95D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Factor'!$J$2:$J$24</c:f>
              <c:numCache>
                <c:formatCode>0.00</c:formatCode>
                <c:ptCount val="23"/>
                <c:pt idx="0">
                  <c:v>6.4151305704944844E-2</c:v>
                </c:pt>
                <c:pt idx="1">
                  <c:v>0.18740259214187865</c:v>
                </c:pt>
                <c:pt idx="2">
                  <c:v>0.24656978971970697</c:v>
                </c:pt>
                <c:pt idx="3">
                  <c:v>0.3041413741425848</c:v>
                </c:pt>
                <c:pt idx="4">
                  <c:v>0.36014880546652006</c:v>
                </c:pt>
                <c:pt idx="5">
                  <c:v>0.41462273395150895</c:v>
                </c:pt>
                <c:pt idx="6">
                  <c:v>0.46759302595056551</c:v>
                </c:pt>
                <c:pt idx="7">
                  <c:v>0.51908878881186027</c:v>
                </c:pt>
                <c:pt idx="8">
                  <c:v>0.56913839483758033</c:v>
                </c:pt>
                <c:pt idx="9">
                  <c:v>0.61776950434093802</c:v>
                </c:pt>
                <c:pt idx="10">
                  <c:v>1.0316815601247569</c:v>
                </c:pt>
                <c:pt idx="11">
                  <c:v>1.3296430894179978</c:v>
                </c:pt>
                <c:pt idx="12">
                  <c:v>1.530392613611165</c:v>
                </c:pt>
                <c:pt idx="13">
                  <c:v>1.6489096226214253</c:v>
                </c:pt>
                <c:pt idx="14">
                  <c:v>1.69731215747508</c:v>
                </c:pt>
                <c:pt idx="15">
                  <c:v>1.6855089254169584</c:v>
                </c:pt>
                <c:pt idx="16">
                  <c:v>1.6216808512469072</c:v>
                </c:pt>
                <c:pt idx="17">
                  <c:v>1.5126419378480809</c:v>
                </c:pt>
                <c:pt idx="18">
                  <c:v>1.1809338760197816</c:v>
                </c:pt>
                <c:pt idx="19">
                  <c:v>0.72651437603938318</c:v>
                </c:pt>
                <c:pt idx="20">
                  <c:v>0.1758590764787103</c:v>
                </c:pt>
                <c:pt idx="21">
                  <c:v>0</c:v>
                </c:pt>
                <c:pt idx="22">
                  <c:v>-0.45118781735395941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4D-4243-B980-F415DF36E95D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Factor'!$K$2:$K$24</c:f>
              <c:numCache>
                <c:formatCode>0.00</c:formatCode>
                <c:ptCount val="23"/>
                <c:pt idx="0">
                  <c:v>-6.4151305704944844E-2</c:v>
                </c:pt>
                <c:pt idx="1">
                  <c:v>-0.18740259214187865</c:v>
                </c:pt>
                <c:pt idx="2">
                  <c:v>-0.24656978971970697</c:v>
                </c:pt>
                <c:pt idx="3">
                  <c:v>-0.3041413741425848</c:v>
                </c:pt>
                <c:pt idx="4">
                  <c:v>-0.36014880546652006</c:v>
                </c:pt>
                <c:pt idx="5">
                  <c:v>-0.41462273395150895</c:v>
                </c:pt>
                <c:pt idx="6">
                  <c:v>-0.46759302595056551</c:v>
                </c:pt>
                <c:pt idx="7">
                  <c:v>-0.51908878881186027</c:v>
                </c:pt>
                <c:pt idx="8">
                  <c:v>-0.56913839483758033</c:v>
                </c:pt>
                <c:pt idx="9">
                  <c:v>-0.61776950434093802</c:v>
                </c:pt>
                <c:pt idx="10">
                  <c:v>-1.0316815601247569</c:v>
                </c:pt>
                <c:pt idx="11">
                  <c:v>-1.3296430894179978</c:v>
                </c:pt>
                <c:pt idx="12">
                  <c:v>-1.530392613611165</c:v>
                </c:pt>
                <c:pt idx="13">
                  <c:v>-1.6489096226214253</c:v>
                </c:pt>
                <c:pt idx="14">
                  <c:v>-1.69731215747508</c:v>
                </c:pt>
                <c:pt idx="15">
                  <c:v>-1.6855089254169584</c:v>
                </c:pt>
                <c:pt idx="16">
                  <c:v>-1.6216808512469072</c:v>
                </c:pt>
                <c:pt idx="17">
                  <c:v>-1.5126419378480809</c:v>
                </c:pt>
                <c:pt idx="18">
                  <c:v>-1.1809338760197816</c:v>
                </c:pt>
                <c:pt idx="19">
                  <c:v>-0.72651437603938318</c:v>
                </c:pt>
                <c:pt idx="20">
                  <c:v>-0.1758590764787103</c:v>
                </c:pt>
                <c:pt idx="21">
                  <c:v>0</c:v>
                </c:pt>
                <c:pt idx="22">
                  <c:v>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4D-4243-B980-F415DF36E95D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Factor'!$J$23:$J$39</c:f>
              <c:numCache>
                <c:formatCode>0.00</c:formatCode>
                <c:ptCount val="17"/>
                <c:pt idx="0">
                  <c:v>0</c:v>
                </c:pt>
                <c:pt idx="1">
                  <c:v>-0.45118781735395941</c:v>
                </c:pt>
                <c:pt idx="2">
                  <c:v>-1.1394596502467589</c:v>
                </c:pt>
                <c:pt idx="3">
                  <c:v>-1.8771658201230015</c:v>
                </c:pt>
                <c:pt idx="4">
                  <c:v>-2.6550019327957814</c:v>
                </c:pt>
                <c:pt idx="5">
                  <c:v>-3.4655273130006456</c:v>
                </c:pt>
                <c:pt idx="6">
                  <c:v>-4.3027206249250796</c:v>
                </c:pt>
                <c:pt idx="7">
                  <c:v>-5.1616568533269662</c:v>
                </c:pt>
                <c:pt idx="8">
                  <c:v>-6.0382686609711786</c:v>
                </c:pt>
                <c:pt idx="9">
                  <c:v>-6.9291674816970579</c:v>
                </c:pt>
                <c:pt idx="10">
                  <c:v>-7.8315076029620041</c:v>
                </c:pt>
                <c:pt idx="11">
                  <c:v>-8.7428816503462503</c:v>
                </c:pt>
                <c:pt idx="12">
                  <c:v>-9.6612393236766607</c:v>
                </c:pt>
                <c:pt idx="13">
                  <c:v>-10.584823565604415</c:v>
                </c:pt>
                <c:pt idx="14">
                  <c:v>-11.51211995042774</c:v>
                </c:pt>
                <c:pt idx="15">
                  <c:v>-12.441816205335613</c:v>
                </c:pt>
                <c:pt idx="16">
                  <c:v>-13.37276957388112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4D-4243-B980-F415DF36E95D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Factor'!$K$23:$K$39</c:f>
              <c:numCache>
                <c:formatCode>0.00</c:formatCode>
                <c:ptCount val="17"/>
                <c:pt idx="0">
                  <c:v>0</c:v>
                </c:pt>
                <c:pt idx="1">
                  <c:v>0.45118781735395941</c:v>
                </c:pt>
                <c:pt idx="2">
                  <c:v>1.1394596502467589</c:v>
                </c:pt>
                <c:pt idx="3">
                  <c:v>1.8771658201230015</c:v>
                </c:pt>
                <c:pt idx="4">
                  <c:v>2.6550019327957814</c:v>
                </c:pt>
                <c:pt idx="5">
                  <c:v>3.4655273130006456</c:v>
                </c:pt>
                <c:pt idx="6">
                  <c:v>4.3027206249250796</c:v>
                </c:pt>
                <c:pt idx="7">
                  <c:v>5.1616568533269662</c:v>
                </c:pt>
                <c:pt idx="8">
                  <c:v>6.0382686609711786</c:v>
                </c:pt>
                <c:pt idx="9">
                  <c:v>6.9291674816970579</c:v>
                </c:pt>
                <c:pt idx="10">
                  <c:v>7.8315076029620041</c:v>
                </c:pt>
                <c:pt idx="11">
                  <c:v>8.7428816503462503</c:v>
                </c:pt>
                <c:pt idx="12">
                  <c:v>9.6612393236766607</c:v>
                </c:pt>
                <c:pt idx="13">
                  <c:v>10.584823565604415</c:v>
                </c:pt>
                <c:pt idx="14">
                  <c:v>11.51211995042774</c:v>
                </c:pt>
                <c:pt idx="15">
                  <c:v>12.441816205335613</c:v>
                </c:pt>
                <c:pt idx="16">
                  <c:v>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4D-4243-B980-F415DF36E95D}"/>
            </c:ext>
          </c:extLst>
        </c:ser>
        <c:ser>
          <c:idx val="10"/>
          <c:order val="10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Factor'!$L$2:$L$39</c:f>
              <c:numCache>
                <c:formatCode>0.00</c:formatCode>
                <c:ptCount val="38"/>
                <c:pt idx="0">
                  <c:v>2.1338839868851418E-4</c:v>
                </c:pt>
                <c:pt idx="1">
                  <c:v>1.9218862408150619E-3</c:v>
                </c:pt>
                <c:pt idx="2">
                  <c:v>3.4179231234868256E-3</c:v>
                </c:pt>
                <c:pt idx="3">
                  <c:v>5.3424372223106389E-3</c:v>
                </c:pt>
                <c:pt idx="4">
                  <c:v>7.6958926812066503E-3</c:v>
                </c:pt>
                <c:pt idx="5">
                  <c:v>1.0478753814919096E-2</c:v>
                </c:pt>
                <c:pt idx="6">
                  <c:v>1.3691485109631031E-2</c:v>
                </c:pt>
                <c:pt idx="7">
                  <c:v>1.7334551223580387E-2</c:v>
                </c:pt>
                <c:pt idx="8">
                  <c:v>2.1408416987677432E-2</c:v>
                </c:pt>
                <c:pt idx="9">
                  <c:v>2.5913547406123453E-2</c:v>
                </c:pt>
                <c:pt idx="10">
                  <c:v>9.4786833652708555E-2</c:v>
                </c:pt>
                <c:pt idx="11">
                  <c:v>0.2072994006911856</c:v>
                </c:pt>
                <c:pt idx="12">
                  <c:v>0.36391921052863646</c:v>
                </c:pt>
                <c:pt idx="13">
                  <c:v>0.56511609792278339</c:v>
                </c:pt>
                <c:pt idx="14">
                  <c:v>0.81136183610656309</c:v>
                </c:pt>
                <c:pt idx="15">
                  <c:v>1.1031302039781252</c:v>
                </c:pt>
                <c:pt idx="16">
                  <c:v>1.4408970547945228</c:v>
                </c:pt>
                <c:pt idx="17">
                  <c:v>1.8251403864084914</c:v>
                </c:pt>
                <c:pt idx="18">
                  <c:v>2.7349796389668461</c:v>
                </c:pt>
                <c:pt idx="19">
                  <c:v>3.8365176065502955</c:v>
                </c:pt>
                <c:pt idx="20">
                  <c:v>5.1336630169951709</c:v>
                </c:pt>
                <c:pt idx="21">
                  <c:v>5.5496750920292355</c:v>
                </c:pt>
                <c:pt idx="22">
                  <c:v>6.63036622549828</c:v>
                </c:pt>
                <c:pt idx="23">
                  <c:v>8.3306218777972525</c:v>
                </c:pt>
                <c:pt idx="24">
                  <c:v>10.23847169862743</c:v>
                </c:pt>
                <c:pt idx="25">
                  <c:v>12.358007412384939</c:v>
                </c:pt>
                <c:pt idx="26">
                  <c:v>14.693373803366903</c:v>
                </c:pt>
                <c:pt idx="27">
                  <c:v>17.248771923433488</c:v>
                </c:pt>
                <c:pt idx="28">
                  <c:v>20.028462455444121</c:v>
                </c:pt>
                <c:pt idx="29">
                  <c:v>23.036769241365665</c:v>
                </c:pt>
                <c:pt idx="30">
                  <c:v>26.278082984535896</c:v>
                </c:pt>
                <c:pt idx="31">
                  <c:v>29.756865136194971</c:v>
                </c:pt>
                <c:pt idx="32">
                  <c:v>33.477651977074125</c:v>
                </c:pt>
                <c:pt idx="33">
                  <c:v>37.445058905559357</c:v>
                </c:pt>
                <c:pt idx="34">
                  <c:v>41.663784944731155</c:v>
                </c:pt>
                <c:pt idx="35">
                  <c:v>46.138617481425932</c:v>
                </c:pt>
                <c:pt idx="36">
                  <c:v>50.874437251375262</c:v>
                </c:pt>
                <c:pt idx="37">
                  <c:v>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4D-4243-B980-F415DF36E95D}"/>
            </c:ext>
          </c:extLst>
        </c:ser>
        <c:ser>
          <c:idx val="11"/>
          <c:order val="11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Factor'!$M$2:$M$39</c:f>
              <c:numCache>
                <c:formatCode>0.00</c:formatCode>
                <c:ptCount val="38"/>
                <c:pt idx="0">
                  <c:v>-2.1338839868851418E-4</c:v>
                </c:pt>
                <c:pt idx="1">
                  <c:v>-1.9218862408150619E-3</c:v>
                </c:pt>
                <c:pt idx="2">
                  <c:v>-3.4179231234868256E-3</c:v>
                </c:pt>
                <c:pt idx="3">
                  <c:v>-5.3424372223106389E-3</c:v>
                </c:pt>
                <c:pt idx="4">
                  <c:v>-7.6958926812066503E-3</c:v>
                </c:pt>
                <c:pt idx="5">
                  <c:v>-1.0478753814919096E-2</c:v>
                </c:pt>
                <c:pt idx="6">
                  <c:v>-1.3691485109631031E-2</c:v>
                </c:pt>
                <c:pt idx="7">
                  <c:v>-1.7334551223580387E-2</c:v>
                </c:pt>
                <c:pt idx="8">
                  <c:v>-2.1408416987677432E-2</c:v>
                </c:pt>
                <c:pt idx="9">
                  <c:v>-2.5913547406123453E-2</c:v>
                </c:pt>
                <c:pt idx="10">
                  <c:v>-9.4786833652708555E-2</c:v>
                </c:pt>
                <c:pt idx="11">
                  <c:v>-0.2072994006911856</c:v>
                </c:pt>
                <c:pt idx="12">
                  <c:v>-0.36391921052863646</c:v>
                </c:pt>
                <c:pt idx="13">
                  <c:v>-0.56511609792278339</c:v>
                </c:pt>
                <c:pt idx="14">
                  <c:v>-0.81136183610656309</c:v>
                </c:pt>
                <c:pt idx="15">
                  <c:v>-1.1031302039781252</c:v>
                </c:pt>
                <c:pt idx="16">
                  <c:v>-1.4408970547945228</c:v>
                </c:pt>
                <c:pt idx="17">
                  <c:v>-1.8251403864084914</c:v>
                </c:pt>
                <c:pt idx="18">
                  <c:v>-2.7349796389668461</c:v>
                </c:pt>
                <c:pt idx="19">
                  <c:v>-3.8365176065502955</c:v>
                </c:pt>
                <c:pt idx="20">
                  <c:v>-5.1336630169951709</c:v>
                </c:pt>
                <c:pt idx="21">
                  <c:v>-5.5496750920292355</c:v>
                </c:pt>
                <c:pt idx="22">
                  <c:v>-6.63036622549828</c:v>
                </c:pt>
                <c:pt idx="23">
                  <c:v>-8.3306218777972525</c:v>
                </c:pt>
                <c:pt idx="24">
                  <c:v>-10.23847169862743</c:v>
                </c:pt>
                <c:pt idx="25">
                  <c:v>-12.358007412384939</c:v>
                </c:pt>
                <c:pt idx="26">
                  <c:v>-14.693373803366903</c:v>
                </c:pt>
                <c:pt idx="27">
                  <c:v>-17.248771923433488</c:v>
                </c:pt>
                <c:pt idx="28">
                  <c:v>-20.028462455444121</c:v>
                </c:pt>
                <c:pt idx="29">
                  <c:v>-23.036769241365665</c:v>
                </c:pt>
                <c:pt idx="30">
                  <c:v>-26.278082984535896</c:v>
                </c:pt>
                <c:pt idx="31">
                  <c:v>-29.756865136194971</c:v>
                </c:pt>
                <c:pt idx="32">
                  <c:v>-33.477651977074125</c:v>
                </c:pt>
                <c:pt idx="33">
                  <c:v>-37.445058905559357</c:v>
                </c:pt>
                <c:pt idx="34">
                  <c:v>-41.663784944731155</c:v>
                </c:pt>
                <c:pt idx="35">
                  <c:v>-46.138617481425932</c:v>
                </c:pt>
                <c:pt idx="36">
                  <c:v>-50.874437251375262</c:v>
                </c:pt>
                <c:pt idx="37">
                  <c:v>-55.876223585459883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4D-4243-B980-F415DF36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Factor'!$T$43:$T$44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Factor'!$U$43:$U$44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B-4E50-89C7-8CA62B861072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5B-4E50-89C7-8CA62B861072}"/>
              </c:ext>
            </c:extLst>
          </c:dPt>
          <c:xVal>
            <c:numRef>
              <c:f>'Scale Factor'!$Q$43:$Q$44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Factor'!$R$43:$R$44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5B-4E50-89C7-8CA62B861072}"/>
            </c:ext>
          </c:extLst>
        </c:ser>
        <c:ser>
          <c:idx val="0"/>
          <c:order val="2"/>
          <c:tx>
            <c:strRef>
              <c:f>'Scale Factor'!$H$42</c:f>
              <c:strCache>
                <c:ptCount val="1"/>
                <c:pt idx="0">
                  <c:v>Pos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Factor'!$H$43:$H$80</c:f>
              <c:numCache>
                <c:formatCode>0.00</c:formatCode>
                <c:ptCount val="38"/>
                <c:pt idx="0">
                  <c:v>6.4998681672097589E-2</c:v>
                </c:pt>
                <c:pt idx="1">
                  <c:v>0.19492543286847991</c:v>
                </c:pt>
                <c:pt idx="2">
                  <c:v>0.25985350239276472</c:v>
                </c:pt>
                <c:pt idx="3">
                  <c:v>0.32475803453444524</c:v>
                </c:pt>
                <c:pt idx="4">
                  <c:v>0.38963902929352134</c:v>
                </c:pt>
                <c:pt idx="5">
                  <c:v>0.45449648666999343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0.64892763450378366</c:v>
                </c:pt>
                <c:pt idx="9">
                  <c:v>0.71369094234983843</c:v>
                </c:pt>
                <c:pt idx="10">
                  <c:v>1.3600294647671523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3.2849226024565308</c:v>
                </c:pt>
                <c:pt idx="14">
                  <c:v>3.921846171832136</c:v>
                </c:pt>
                <c:pt idx="15">
                  <c:v>4.5564160029473131</c:v>
                </c:pt>
                <c:pt idx="16">
                  <c:v>5.1886320958020642</c:v>
                </c:pt>
                <c:pt idx="17">
                  <c:v>5.818494450396388</c:v>
                </c:pt>
                <c:pt idx="18">
                  <c:v>7.0711579448037556</c:v>
                </c:pt>
                <c:pt idx="19">
                  <c:v>8.3144064861694122</c:v>
                </c:pt>
                <c:pt idx="20">
                  <c:v>9.5482400744933607</c:v>
                </c:pt>
                <c:pt idx="21">
                  <c:v>9.9065577062356258</c:v>
                </c:pt>
                <c:pt idx="22">
                  <c:v>10.772658709775602</c:v>
                </c:pt>
                <c:pt idx="23">
                  <c:v>11.987662392016134</c:v>
                </c:pt>
                <c:pt idx="24">
                  <c:v>13.193251121214956</c:v>
                </c:pt>
                <c:pt idx="25">
                  <c:v>14.389424897372072</c:v>
                </c:pt>
                <c:pt idx="26">
                  <c:v>15.576183720487476</c:v>
                </c:pt>
                <c:pt idx="27">
                  <c:v>16.753527590561173</c:v>
                </c:pt>
                <c:pt idx="28">
                  <c:v>17.921456507593163</c:v>
                </c:pt>
                <c:pt idx="29">
                  <c:v>19.079970471583444</c:v>
                </c:pt>
                <c:pt idx="30">
                  <c:v>20.229069482532012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25.833340241649243</c:v>
                </c:pt>
                <c:pt idx="36">
                  <c:v>26.925949534347559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5B-4E50-89C7-8CA62B861072}"/>
            </c:ext>
          </c:extLst>
        </c:ser>
        <c:ser>
          <c:idx val="1"/>
          <c:order val="3"/>
          <c:tx>
            <c:strRef>
              <c:f>'Scale Factor'!$I$42</c:f>
              <c:strCache>
                <c:ptCount val="1"/>
                <c:pt idx="0">
                  <c:v>Neg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Factor'!$I$43:$I$80</c:f>
              <c:numCache>
                <c:formatCode>0.00</c:formatCode>
                <c:ptCount val="38"/>
                <c:pt idx="0">
                  <c:v>-6.4998681672097589E-2</c:v>
                </c:pt>
                <c:pt idx="1">
                  <c:v>-0.19492543286847991</c:v>
                </c:pt>
                <c:pt idx="2">
                  <c:v>-0.25985350239276472</c:v>
                </c:pt>
                <c:pt idx="3">
                  <c:v>-0.32475803453444524</c:v>
                </c:pt>
                <c:pt idx="4">
                  <c:v>-0.38963902929352134</c:v>
                </c:pt>
                <c:pt idx="5">
                  <c:v>-0.45449648666999343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-0.64892763450378366</c:v>
                </c:pt>
                <c:pt idx="9">
                  <c:v>-0.71369094234983843</c:v>
                </c:pt>
                <c:pt idx="10">
                  <c:v>-1.3600294647671523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-3.2849226024565308</c:v>
                </c:pt>
                <c:pt idx="14">
                  <c:v>-3.921846171832136</c:v>
                </c:pt>
                <c:pt idx="15">
                  <c:v>-4.5564160029473131</c:v>
                </c:pt>
                <c:pt idx="16">
                  <c:v>-5.1886320958020642</c:v>
                </c:pt>
                <c:pt idx="17">
                  <c:v>-5.818494450396388</c:v>
                </c:pt>
                <c:pt idx="18">
                  <c:v>-7.0711579448037556</c:v>
                </c:pt>
                <c:pt idx="19">
                  <c:v>-8.3144064861694122</c:v>
                </c:pt>
                <c:pt idx="20">
                  <c:v>-9.5482400744933607</c:v>
                </c:pt>
                <c:pt idx="21">
                  <c:v>-9.9065577062356258</c:v>
                </c:pt>
                <c:pt idx="22">
                  <c:v>-10.772658709775602</c:v>
                </c:pt>
                <c:pt idx="23">
                  <c:v>-11.987662392016134</c:v>
                </c:pt>
                <c:pt idx="24">
                  <c:v>-13.193251121214956</c:v>
                </c:pt>
                <c:pt idx="25">
                  <c:v>-14.389424897372072</c:v>
                </c:pt>
                <c:pt idx="26">
                  <c:v>-15.576183720487476</c:v>
                </c:pt>
                <c:pt idx="27">
                  <c:v>-16.753527590561173</c:v>
                </c:pt>
                <c:pt idx="28">
                  <c:v>-17.921456507593163</c:v>
                </c:pt>
                <c:pt idx="29">
                  <c:v>-19.079970471583444</c:v>
                </c:pt>
                <c:pt idx="30">
                  <c:v>-20.229069482532012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-25.833340241649243</c:v>
                </c:pt>
                <c:pt idx="36">
                  <c:v>-26.925949534347559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5B-4E50-89C7-8CA62B861072}"/>
            </c:ext>
          </c:extLst>
        </c:ser>
        <c:ser>
          <c:idx val="4"/>
          <c:order val="4"/>
          <c:tx>
            <c:strRef>
              <c:f>'Scale Factor'!$N$42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Factor'!$N$43:$N$80</c:f>
              <c:numCache>
                <c:formatCode>0.00</c:formatCode>
                <c:ptCount val="38"/>
                <c:pt idx="0">
                  <c:v>9.9065577062356258</c:v>
                </c:pt>
                <c:pt idx="1">
                  <c:v>9.9065577062356258</c:v>
                </c:pt>
                <c:pt idx="2">
                  <c:v>9.9065577062356258</c:v>
                </c:pt>
                <c:pt idx="3">
                  <c:v>9.9065577062356258</c:v>
                </c:pt>
                <c:pt idx="4">
                  <c:v>9.9065577062356258</c:v>
                </c:pt>
                <c:pt idx="5">
                  <c:v>9.9065577062356258</c:v>
                </c:pt>
                <c:pt idx="6">
                  <c:v>9.9065577062356258</c:v>
                </c:pt>
                <c:pt idx="7">
                  <c:v>9.9065577062356258</c:v>
                </c:pt>
                <c:pt idx="8">
                  <c:v>9.9065577062356258</c:v>
                </c:pt>
                <c:pt idx="9">
                  <c:v>9.9065577062356258</c:v>
                </c:pt>
                <c:pt idx="10">
                  <c:v>9.9065577062356258</c:v>
                </c:pt>
                <c:pt idx="11">
                  <c:v>9.9065577062356258</c:v>
                </c:pt>
                <c:pt idx="12">
                  <c:v>9.9065577062356258</c:v>
                </c:pt>
                <c:pt idx="13">
                  <c:v>9.9065577062356258</c:v>
                </c:pt>
                <c:pt idx="14">
                  <c:v>9.9065577062356258</c:v>
                </c:pt>
                <c:pt idx="15">
                  <c:v>9.9065577062356258</c:v>
                </c:pt>
                <c:pt idx="16">
                  <c:v>9.9065577062356258</c:v>
                </c:pt>
                <c:pt idx="17">
                  <c:v>9.9065577062356258</c:v>
                </c:pt>
                <c:pt idx="18">
                  <c:v>9.9065577062356258</c:v>
                </c:pt>
                <c:pt idx="19">
                  <c:v>9.9065577062356258</c:v>
                </c:pt>
                <c:pt idx="20">
                  <c:v>9.9065577062356258</c:v>
                </c:pt>
                <c:pt idx="21">
                  <c:v>9.9065577062356258</c:v>
                </c:pt>
                <c:pt idx="22">
                  <c:v>9.9065577062356258</c:v>
                </c:pt>
                <c:pt idx="23">
                  <c:v>9.9065577062356258</c:v>
                </c:pt>
                <c:pt idx="24">
                  <c:v>9.9065577062356258</c:v>
                </c:pt>
                <c:pt idx="25">
                  <c:v>9.9065577062356258</c:v>
                </c:pt>
                <c:pt idx="26">
                  <c:v>9.9065577062356258</c:v>
                </c:pt>
                <c:pt idx="27">
                  <c:v>9.9065577062356258</c:v>
                </c:pt>
                <c:pt idx="28">
                  <c:v>9.9065577062356258</c:v>
                </c:pt>
                <c:pt idx="29">
                  <c:v>9.9065577062356258</c:v>
                </c:pt>
                <c:pt idx="30">
                  <c:v>9.9065577062356258</c:v>
                </c:pt>
                <c:pt idx="31">
                  <c:v>9.9065577062356258</c:v>
                </c:pt>
                <c:pt idx="32">
                  <c:v>9.9065577062356258</c:v>
                </c:pt>
                <c:pt idx="33">
                  <c:v>9.9065577062356258</c:v>
                </c:pt>
                <c:pt idx="34">
                  <c:v>9.9065577062356258</c:v>
                </c:pt>
                <c:pt idx="35">
                  <c:v>9.9065577062356258</c:v>
                </c:pt>
                <c:pt idx="36">
                  <c:v>9.9065577062356258</c:v>
                </c:pt>
                <c:pt idx="37">
                  <c:v>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5B-4E50-89C7-8CA62B861072}"/>
            </c:ext>
          </c:extLst>
        </c:ser>
        <c:ser>
          <c:idx val="5"/>
          <c:order val="5"/>
          <c:tx>
            <c:strRef>
              <c:f>'Scale Factor'!$O$42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Factor'!$O$43:$O$80</c:f>
              <c:numCache>
                <c:formatCode>0.00</c:formatCode>
                <c:ptCount val="38"/>
                <c:pt idx="0">
                  <c:v>-9.9065577062356258</c:v>
                </c:pt>
                <c:pt idx="1">
                  <c:v>-9.9065577062356258</c:v>
                </c:pt>
                <c:pt idx="2">
                  <c:v>-9.9065577062356258</c:v>
                </c:pt>
                <c:pt idx="3">
                  <c:v>-9.9065577062356258</c:v>
                </c:pt>
                <c:pt idx="4">
                  <c:v>-9.9065577062356258</c:v>
                </c:pt>
                <c:pt idx="5">
                  <c:v>-9.9065577062356258</c:v>
                </c:pt>
                <c:pt idx="6">
                  <c:v>-9.9065577062356258</c:v>
                </c:pt>
                <c:pt idx="7">
                  <c:v>-9.9065577062356258</c:v>
                </c:pt>
                <c:pt idx="8">
                  <c:v>-9.9065577062356258</c:v>
                </c:pt>
                <c:pt idx="9">
                  <c:v>-9.9065577062356258</c:v>
                </c:pt>
                <c:pt idx="10">
                  <c:v>-9.9065577062356258</c:v>
                </c:pt>
                <c:pt idx="11">
                  <c:v>-9.9065577062356258</c:v>
                </c:pt>
                <c:pt idx="12">
                  <c:v>-9.9065577062356258</c:v>
                </c:pt>
                <c:pt idx="13">
                  <c:v>-9.9065577062356258</c:v>
                </c:pt>
                <c:pt idx="14">
                  <c:v>-9.9065577062356258</c:v>
                </c:pt>
                <c:pt idx="15">
                  <c:v>-9.9065577062356258</c:v>
                </c:pt>
                <c:pt idx="16">
                  <c:v>-9.9065577062356258</c:v>
                </c:pt>
                <c:pt idx="17">
                  <c:v>-9.9065577062356258</c:v>
                </c:pt>
                <c:pt idx="18">
                  <c:v>-9.9065577062356258</c:v>
                </c:pt>
                <c:pt idx="19">
                  <c:v>-9.9065577062356258</c:v>
                </c:pt>
                <c:pt idx="20">
                  <c:v>-9.9065577062356258</c:v>
                </c:pt>
                <c:pt idx="21">
                  <c:v>-9.9065577062356258</c:v>
                </c:pt>
                <c:pt idx="22">
                  <c:v>-9.9065577062356258</c:v>
                </c:pt>
                <c:pt idx="23">
                  <c:v>-9.9065577062356258</c:v>
                </c:pt>
                <c:pt idx="24">
                  <c:v>-9.9065577062356258</c:v>
                </c:pt>
                <c:pt idx="25">
                  <c:v>-9.9065577062356258</c:v>
                </c:pt>
                <c:pt idx="26">
                  <c:v>-9.9065577062356258</c:v>
                </c:pt>
                <c:pt idx="27">
                  <c:v>-9.9065577062356258</c:v>
                </c:pt>
                <c:pt idx="28">
                  <c:v>-9.9065577062356258</c:v>
                </c:pt>
                <c:pt idx="29">
                  <c:v>-9.9065577062356258</c:v>
                </c:pt>
                <c:pt idx="30">
                  <c:v>-9.9065577062356258</c:v>
                </c:pt>
                <c:pt idx="31">
                  <c:v>-9.9065577062356258</c:v>
                </c:pt>
                <c:pt idx="32">
                  <c:v>-9.9065577062356258</c:v>
                </c:pt>
                <c:pt idx="33">
                  <c:v>-9.9065577062356258</c:v>
                </c:pt>
                <c:pt idx="34">
                  <c:v>-9.9065577062356258</c:v>
                </c:pt>
                <c:pt idx="35">
                  <c:v>-9.9065577062356258</c:v>
                </c:pt>
                <c:pt idx="36">
                  <c:v>-9.9065577062356258</c:v>
                </c:pt>
                <c:pt idx="37">
                  <c:v>-9.9065577062356258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5B-4E50-89C7-8CA62B861072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Factor'!$J$43:$J$65</c:f>
              <c:numCache>
                <c:formatCode>0.00</c:formatCode>
                <c:ptCount val="23"/>
                <c:pt idx="0">
                  <c:v>9.9057522568978662</c:v>
                </c:pt>
                <c:pt idx="1">
                  <c:v>9.8993110189536555</c:v>
                </c:pt>
                <c:pt idx="2">
                  <c:v>9.893678370456886</c:v>
                </c:pt>
                <c:pt idx="3">
                  <c:v>9.886441099678656</c:v>
                </c:pt>
                <c:pt idx="4">
                  <c:v>9.877602728134228</c:v>
                </c:pt>
                <c:pt idx="5">
                  <c:v>9.8671675511643393</c:v>
                </c:pt>
                <c:pt idx="6">
                  <c:v>9.8551406327260285</c:v>
                </c:pt>
                <c:pt idx="7">
                  <c:v>9.8415277992643624</c:v>
                </c:pt>
                <c:pt idx="8">
                  <c:v>9.8263356326787861</c:v>
                </c:pt>
                <c:pt idx="9">
                  <c:v>9.8095714623999601</c:v>
                </c:pt>
                <c:pt idx="10">
                  <c:v>9.557596427711422</c:v>
                </c:pt>
                <c:pt idx="11">
                  <c:v>9.161594022904227</c:v>
                </c:pt>
                <c:pt idx="12">
                  <c:v>8.6391557484818371</c:v>
                </c:pt>
                <c:pt idx="13">
                  <c:v>8.0118473973037343</c:v>
                </c:pt>
                <c:pt idx="14">
                  <c:v>7.3031807565261904</c:v>
                </c:pt>
                <c:pt idx="15">
                  <c:v>6.5367250331034645</c:v>
                </c:pt>
                <c:pt idx="16">
                  <c:v>5.7345836914269777</c:v>
                </c:pt>
                <c:pt idx="17">
                  <c:v>4.9163441415426643</c:v>
                </c:pt>
                <c:pt idx="18">
                  <c:v>3.2942852829617348</c:v>
                </c:pt>
                <c:pt idx="19">
                  <c:v>1.7642598411869814</c:v>
                </c:pt>
                <c:pt idx="20">
                  <c:v>0.37554615491702786</c:v>
                </c:pt>
                <c:pt idx="21">
                  <c:v>0</c:v>
                </c:pt>
                <c:pt idx="22">
                  <c:v>-0.85436063608931301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5B-4E50-89C7-8CA62B861072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Factor'!$K$43:$K$65</c:f>
              <c:numCache>
                <c:formatCode>0.00</c:formatCode>
                <c:ptCount val="23"/>
                <c:pt idx="0">
                  <c:v>-9.9057522568978662</c:v>
                </c:pt>
                <c:pt idx="1">
                  <c:v>-9.8993110189536555</c:v>
                </c:pt>
                <c:pt idx="2">
                  <c:v>-9.893678370456886</c:v>
                </c:pt>
                <c:pt idx="3">
                  <c:v>-9.886441099678656</c:v>
                </c:pt>
                <c:pt idx="4">
                  <c:v>-9.877602728134228</c:v>
                </c:pt>
                <c:pt idx="5">
                  <c:v>-9.8671675511643393</c:v>
                </c:pt>
                <c:pt idx="6">
                  <c:v>-9.8551406327260285</c:v>
                </c:pt>
                <c:pt idx="7">
                  <c:v>-9.8415277992643624</c:v>
                </c:pt>
                <c:pt idx="8">
                  <c:v>-9.8263356326787861</c:v>
                </c:pt>
                <c:pt idx="9">
                  <c:v>-9.8095714623999601</c:v>
                </c:pt>
                <c:pt idx="10">
                  <c:v>-9.557596427711422</c:v>
                </c:pt>
                <c:pt idx="11">
                  <c:v>-9.161594022904227</c:v>
                </c:pt>
                <c:pt idx="12">
                  <c:v>-8.6391557484818371</c:v>
                </c:pt>
                <c:pt idx="13">
                  <c:v>-8.0118473973037343</c:v>
                </c:pt>
                <c:pt idx="14">
                  <c:v>-7.3031807565261904</c:v>
                </c:pt>
                <c:pt idx="15">
                  <c:v>-6.5367250331034645</c:v>
                </c:pt>
                <c:pt idx="16">
                  <c:v>-5.7345836914269777</c:v>
                </c:pt>
                <c:pt idx="17">
                  <c:v>-4.9163441415426643</c:v>
                </c:pt>
                <c:pt idx="18">
                  <c:v>-3.2942852829617348</c:v>
                </c:pt>
                <c:pt idx="19">
                  <c:v>-1.7642598411869814</c:v>
                </c:pt>
                <c:pt idx="20">
                  <c:v>-0.37554615491702786</c:v>
                </c:pt>
                <c:pt idx="21">
                  <c:v>0</c:v>
                </c:pt>
                <c:pt idx="22">
                  <c:v>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5B-4E50-89C7-8CA62B861072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Factor'!$J$64:$J$80</c:f>
              <c:numCache>
                <c:formatCode>0.00</c:formatCode>
                <c:ptCount val="17"/>
                <c:pt idx="0">
                  <c:v>0</c:v>
                </c:pt>
                <c:pt idx="1">
                  <c:v>-0.85436063608931301</c:v>
                </c:pt>
                <c:pt idx="2">
                  <c:v>-1.9273658222318144</c:v>
                </c:pt>
                <c:pt idx="3">
                  <c:v>-2.8555166321728551</c:v>
                </c:pt>
                <c:pt idx="4">
                  <c:v>-3.6550565822383452</c:v>
                </c:pt>
                <c:pt idx="5">
                  <c:v>-4.3430163112791584</c:v>
                </c:pt>
                <c:pt idx="6">
                  <c:v>-4.9354690074487184</c:v>
                </c:pt>
                <c:pt idx="7">
                  <c:v>-5.4467760408860153</c:v>
                </c:pt>
                <c:pt idx="8">
                  <c:v>-5.8893764930105101</c:v>
                </c:pt>
                <c:pt idx="9">
                  <c:v>-6.27385066314603</c:v>
                </c:pt>
                <c:pt idx="10">
                  <c:v>-6.6091044832866581</c:v>
                </c:pt>
                <c:pt idx="11">
                  <c:v>-6.9025929351756492</c:v>
                </c:pt>
                <c:pt idx="12">
                  <c:v>-7.1605415694130237</c:v>
                </c:pt>
                <c:pt idx="13">
                  <c:v>-7.3881478322345764</c:v>
                </c:pt>
                <c:pt idx="14">
                  <c:v>-7.5897558239557403</c:v>
                </c:pt>
                <c:pt idx="15">
                  <c:v>-7.7690040433242169</c:v>
                </c:pt>
                <c:pt idx="16">
                  <c:v>-7.92894835378062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5B-4E50-89C7-8CA62B861072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Factor'!$K$64:$K$80</c:f>
              <c:numCache>
                <c:formatCode>0.00</c:formatCode>
                <c:ptCount val="17"/>
                <c:pt idx="0">
                  <c:v>0</c:v>
                </c:pt>
                <c:pt idx="1">
                  <c:v>0.85436063608931301</c:v>
                </c:pt>
                <c:pt idx="2">
                  <c:v>1.9273658222318144</c:v>
                </c:pt>
                <c:pt idx="3">
                  <c:v>2.8555166321728551</c:v>
                </c:pt>
                <c:pt idx="4">
                  <c:v>3.6550565822383452</c:v>
                </c:pt>
                <c:pt idx="5">
                  <c:v>4.3430163112791584</c:v>
                </c:pt>
                <c:pt idx="6">
                  <c:v>4.9354690074487184</c:v>
                </c:pt>
                <c:pt idx="7">
                  <c:v>5.4467760408860153</c:v>
                </c:pt>
                <c:pt idx="8">
                  <c:v>5.8893764930105101</c:v>
                </c:pt>
                <c:pt idx="9">
                  <c:v>6.27385066314603</c:v>
                </c:pt>
                <c:pt idx="10">
                  <c:v>6.6091044832866581</c:v>
                </c:pt>
                <c:pt idx="11">
                  <c:v>6.9025929351756492</c:v>
                </c:pt>
                <c:pt idx="12">
                  <c:v>7.1605415694130237</c:v>
                </c:pt>
                <c:pt idx="13">
                  <c:v>7.3881478322345764</c:v>
                </c:pt>
                <c:pt idx="14">
                  <c:v>7.5897558239557403</c:v>
                </c:pt>
                <c:pt idx="15">
                  <c:v>7.7690040433242169</c:v>
                </c:pt>
                <c:pt idx="16">
                  <c:v>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C5B-4E50-89C7-8CA62B861072}"/>
            </c:ext>
          </c:extLst>
        </c:ser>
        <c:ser>
          <c:idx val="10"/>
          <c:order val="10"/>
          <c:tx>
            <c:strRef>
              <c:f>'Scale Factor'!$L$42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Factor'!$L$43:$L$80</c:f>
              <c:numCache>
                <c:formatCode>0.00</c:formatCode>
                <c:ptCount val="38"/>
                <c:pt idx="0">
                  <c:v>3.2522882481114193E-2</c:v>
                </c:pt>
                <c:pt idx="1">
                  <c:v>9.7674668047554619E-2</c:v>
                </c:pt>
                <c:pt idx="2">
                  <c:v>0.13030362241229557</c:v>
                </c:pt>
                <c:pt idx="3">
                  <c:v>0.16296798541299232</c:v>
                </c:pt>
                <c:pt idx="4">
                  <c:v>0.19566778278245175</c:v>
                </c:pt>
                <c:pt idx="5">
                  <c:v>0.22840304029084224</c:v>
                </c:pt>
                <c:pt idx="6">
                  <c:v>0.2611737837457615</c:v>
                </c:pt>
                <c:pt idx="7">
                  <c:v>0.29398003899230429</c:v>
                </c:pt>
                <c:pt idx="8">
                  <c:v>0.32682183191313147</c:v>
                </c:pt>
                <c:pt idx="9">
                  <c:v>0.35969918842853671</c:v>
                </c:pt>
                <c:pt idx="10">
                  <c:v>0.69043448079463521</c:v>
                </c:pt>
                <c:pt idx="11">
                  <c:v>1.0247549270260368</c:v>
                </c:pt>
                <c:pt idx="12">
                  <c:v>1.3626870792421375</c:v>
                </c:pt>
                <c:pt idx="13">
                  <c:v>1.7042578813297442</c:v>
                </c:pt>
                <c:pt idx="14">
                  <c:v>2.0494946761953203</c:v>
                </c:pt>
                <c:pt idx="15">
                  <c:v>2.3984252131789248</c:v>
                </c:pt>
                <c:pt idx="16">
                  <c:v>2.7510776556340821</c:v>
                </c:pt>
                <c:pt idx="17">
                  <c:v>3.107480588677908</c:v>
                </c:pt>
                <c:pt idx="18">
                  <c:v>3.8316544235466781</c:v>
                </c:pt>
                <c:pt idx="19">
                  <c:v>4.5711841396618826</c:v>
                </c:pt>
                <c:pt idx="20">
                  <c:v>5.3263144333882781</c:v>
                </c:pt>
                <c:pt idx="21">
                  <c:v>5.5496750920292355</c:v>
                </c:pt>
                <c:pt idx="22">
                  <c:v>6.097297556337665</c:v>
                </c:pt>
                <c:pt idx="23">
                  <c:v>6.8843936092320694</c:v>
                </c:pt>
                <c:pt idx="24">
                  <c:v>7.687870849590297</c:v>
                </c:pt>
                <c:pt idx="25">
                  <c:v>8.5080060140025111</c:v>
                </c:pt>
                <c:pt idx="26">
                  <c:v>9.3450846558061507</c:v>
                </c:pt>
                <c:pt idx="27">
                  <c:v>10.199401499028845</c:v>
                </c:pt>
                <c:pt idx="28">
                  <c:v>11.071260809519865</c:v>
                </c:pt>
                <c:pt idx="29">
                  <c:v>11.960976784251981</c:v>
                </c:pt>
                <c:pt idx="30">
                  <c:v>12.868873959840156</c:v>
                </c:pt>
                <c:pt idx="31">
                  <c:v>13.795287641392868</c:v>
                </c:pt>
                <c:pt idx="32">
                  <c:v>14.740564352886647</c:v>
                </c:pt>
                <c:pt idx="33">
                  <c:v>15.705062310334711</c:v>
                </c:pt>
                <c:pt idx="34">
                  <c:v>16.689151919107015</c:v>
                </c:pt>
                <c:pt idx="35">
                  <c:v>17.69321629685227</c:v>
                </c:pt>
                <c:pt idx="36">
                  <c:v>18.717651823572897</c:v>
                </c:pt>
                <c:pt idx="37">
                  <c:v>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C5B-4E50-89C7-8CA62B861072}"/>
            </c:ext>
          </c:extLst>
        </c:ser>
        <c:ser>
          <c:idx val="11"/>
          <c:order val="11"/>
          <c:tx>
            <c:strRef>
              <c:f>'Scale Factor'!$M$42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Factor'!$M$43:$M$80</c:f>
              <c:numCache>
                <c:formatCode>0.00</c:formatCode>
                <c:ptCount val="38"/>
                <c:pt idx="0">
                  <c:v>-3.2522882481114193E-2</c:v>
                </c:pt>
                <c:pt idx="1">
                  <c:v>-9.7674668047554619E-2</c:v>
                </c:pt>
                <c:pt idx="2">
                  <c:v>-0.13030362241229557</c:v>
                </c:pt>
                <c:pt idx="3">
                  <c:v>-0.16296798541299232</c:v>
                </c:pt>
                <c:pt idx="4">
                  <c:v>-0.19566778278245175</c:v>
                </c:pt>
                <c:pt idx="5">
                  <c:v>-0.22840304029084224</c:v>
                </c:pt>
                <c:pt idx="6">
                  <c:v>-0.2611737837457615</c:v>
                </c:pt>
                <c:pt idx="7">
                  <c:v>-0.29398003899230429</c:v>
                </c:pt>
                <c:pt idx="8">
                  <c:v>-0.32682183191313147</c:v>
                </c:pt>
                <c:pt idx="9">
                  <c:v>-0.35969918842853671</c:v>
                </c:pt>
                <c:pt idx="10">
                  <c:v>-0.69043448079463521</c:v>
                </c:pt>
                <c:pt idx="11">
                  <c:v>-1.0247549270260368</c:v>
                </c:pt>
                <c:pt idx="12">
                  <c:v>-1.3626870792421375</c:v>
                </c:pt>
                <c:pt idx="13">
                  <c:v>-1.7042578813297442</c:v>
                </c:pt>
                <c:pt idx="14">
                  <c:v>-2.0494946761953203</c:v>
                </c:pt>
                <c:pt idx="15">
                  <c:v>-2.3984252131789248</c:v>
                </c:pt>
                <c:pt idx="16">
                  <c:v>-2.7510776556340821</c:v>
                </c:pt>
                <c:pt idx="17">
                  <c:v>-3.107480588677908</c:v>
                </c:pt>
                <c:pt idx="18">
                  <c:v>-3.8316544235466781</c:v>
                </c:pt>
                <c:pt idx="19">
                  <c:v>-4.5711841396618826</c:v>
                </c:pt>
                <c:pt idx="20">
                  <c:v>-5.3263144333882781</c:v>
                </c:pt>
                <c:pt idx="21">
                  <c:v>-5.5496750920292355</c:v>
                </c:pt>
                <c:pt idx="22">
                  <c:v>-6.097297556337665</c:v>
                </c:pt>
                <c:pt idx="23">
                  <c:v>-6.8843936092320694</c:v>
                </c:pt>
                <c:pt idx="24">
                  <c:v>-7.687870849590297</c:v>
                </c:pt>
                <c:pt idx="25">
                  <c:v>-8.5080060140025111</c:v>
                </c:pt>
                <c:pt idx="26">
                  <c:v>-9.3450846558061507</c:v>
                </c:pt>
                <c:pt idx="27">
                  <c:v>-10.199401499028845</c:v>
                </c:pt>
                <c:pt idx="28">
                  <c:v>-11.071260809519865</c:v>
                </c:pt>
                <c:pt idx="29">
                  <c:v>-11.960976784251981</c:v>
                </c:pt>
                <c:pt idx="30">
                  <c:v>-12.868873959840156</c:v>
                </c:pt>
                <c:pt idx="31">
                  <c:v>-13.795287641392868</c:v>
                </c:pt>
                <c:pt idx="32">
                  <c:v>-14.740564352886647</c:v>
                </c:pt>
                <c:pt idx="33">
                  <c:v>-15.705062310334711</c:v>
                </c:pt>
                <c:pt idx="34">
                  <c:v>-16.689151919107015</c:v>
                </c:pt>
                <c:pt idx="35">
                  <c:v>-17.69321629685227</c:v>
                </c:pt>
                <c:pt idx="36">
                  <c:v>-18.717651823572897</c:v>
                </c:pt>
                <c:pt idx="37">
                  <c:v>-19.762868720512184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C5B-4E50-89C7-8CA62B86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10</xdr:row>
      <xdr:rowOff>85724</xdr:rowOff>
    </xdr:from>
    <xdr:to>
      <xdr:col>13</xdr:col>
      <xdr:colOff>350341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8</xdr:col>
      <xdr:colOff>164854</xdr:colOff>
      <xdr:row>23</xdr:row>
      <xdr:rowOff>14654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F922BD3-2FC3-5489-3238-14D085C6EF6C}"/>
            </a:ext>
          </a:extLst>
        </xdr:cNvPr>
        <xdr:cNvGrpSpPr/>
      </xdr:nvGrpSpPr>
      <xdr:grpSpPr>
        <a:xfrm>
          <a:off x="1" y="1"/>
          <a:ext cx="5029930" cy="4396153"/>
          <a:chOff x="1" y="1"/>
          <a:chExt cx="5029930" cy="41133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E218162-D194-4F29-8C6C-32AEF1D32F1B}"/>
              </a:ext>
            </a:extLst>
          </xdr:cNvPr>
          <xdr:cNvGraphicFramePr>
            <a:graphicFrameLocks/>
          </xdr:cNvGraphicFramePr>
        </xdr:nvGraphicFramePr>
        <xdr:xfrm>
          <a:off x="731" y="2673661"/>
          <a:ext cx="5029200" cy="1439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49482B8-C9B4-490F-96F2-6DA21F12E4C2}"/>
              </a:ext>
            </a:extLst>
          </xdr:cNvPr>
          <xdr:cNvGraphicFramePr>
            <a:graphicFrameLocks/>
          </xdr:cNvGraphicFramePr>
        </xdr:nvGraphicFramePr>
        <xdr:xfrm>
          <a:off x="1" y="1"/>
          <a:ext cx="5029200" cy="26668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238124</xdr:rowOff>
    </xdr:from>
    <xdr:to>
      <xdr:col>17</xdr:col>
      <xdr:colOff>0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39CE2-E71A-40F7-BCF3-D432751B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3</xdr:row>
      <xdr:rowOff>33337</xdr:rowOff>
    </xdr:from>
    <xdr:to>
      <xdr:col>10</xdr:col>
      <xdr:colOff>481012</xdr:colOff>
      <xdr:row>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CA746-F338-64BB-CBC0-9315EA91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</xdr:colOff>
      <xdr:row>2</xdr:row>
      <xdr:rowOff>121920</xdr:rowOff>
    </xdr:from>
    <xdr:to>
      <xdr:col>24</xdr:col>
      <xdr:colOff>173355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0</xdr:rowOff>
    </xdr:from>
    <xdr:to>
      <xdr:col>13</xdr:col>
      <xdr:colOff>190500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7720-3941-4168-9024-EAD938051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23811</xdr:rowOff>
    </xdr:from>
    <xdr:to>
      <xdr:col>20</xdr:col>
      <xdr:colOff>128587</xdr:colOff>
      <xdr:row>16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D584D-D083-4FE6-85FB-84E126F58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46</xdr:row>
      <xdr:rowOff>19049</xdr:rowOff>
    </xdr:from>
    <xdr:to>
      <xdr:col>20</xdr:col>
      <xdr:colOff>133350</xdr:colOff>
      <xdr:row>58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D3E70-DB41-4638-B320-E6A4A008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8"/>
  <sheetViews>
    <sheetView zoomScaleNormal="100" workbookViewId="0"/>
  </sheetViews>
  <sheetFormatPr defaultRowHeight="15" x14ac:dyDescent="0.25"/>
  <cols>
    <col min="1" max="1" width="35.7109375" customWidth="1"/>
    <col min="2" max="2" width="14.7109375" style="1" customWidth="1"/>
    <col min="3" max="3" width="14.7109375" style="6" customWidth="1"/>
    <col min="4" max="4" width="8.85546875" style="1" hidden="1" customWidth="1"/>
    <col min="5" max="5" width="11.7109375" customWidth="1"/>
    <col min="6" max="6" width="11.140625" customWidth="1"/>
    <col min="7" max="7" width="9.140625" customWidth="1"/>
    <col min="8" max="8" width="8.85546875" style="2"/>
    <col min="9" max="9" width="10.28515625" customWidth="1"/>
    <col min="11" max="13" width="12" bestFit="1" customWidth="1"/>
  </cols>
  <sheetData>
    <row r="1" spans="1:12" s="42" customFormat="1" x14ac:dyDescent="0.25">
      <c r="A1" s="42" t="s">
        <v>578</v>
      </c>
      <c r="B1" s="15">
        <v>1000</v>
      </c>
      <c r="C1" s="17"/>
      <c r="D1" s="15"/>
      <c r="H1" s="16"/>
    </row>
    <row r="2" spans="1:12" s="14" customFormat="1" x14ac:dyDescent="0.25">
      <c r="A2" s="14" t="s">
        <v>574</v>
      </c>
      <c r="B2" s="15">
        <v>3.08567758E+16</v>
      </c>
      <c r="C2" s="17"/>
      <c r="D2" s="15"/>
      <c r="H2" s="16"/>
    </row>
    <row r="3" spans="1:12" s="14" customFormat="1" x14ac:dyDescent="0.25">
      <c r="A3" s="14" t="s">
        <v>575</v>
      </c>
      <c r="B3" s="15">
        <f>1000*pc</f>
        <v>3.08567758E+19</v>
      </c>
      <c r="C3" s="17"/>
      <c r="D3" s="15"/>
      <c r="H3" s="16"/>
    </row>
    <row r="4" spans="1:12" x14ac:dyDescent="0.25">
      <c r="A4" t="s">
        <v>576</v>
      </c>
      <c r="B4" s="1">
        <f>1000*kpc</f>
        <v>3.0856775799999998E+22</v>
      </c>
      <c r="K4" s="14"/>
      <c r="L4" s="14"/>
    </row>
    <row r="5" spans="1:12" s="42" customFormat="1" x14ac:dyDescent="0.25">
      <c r="A5" s="42" t="s">
        <v>577</v>
      </c>
      <c r="B5" s="15">
        <f>1000*Mpc</f>
        <v>3.0856775799999996E+25</v>
      </c>
      <c r="C5" s="17"/>
      <c r="D5" s="15"/>
      <c r="H5" s="16"/>
    </row>
    <row r="6" spans="1:12" x14ac:dyDescent="0.25">
      <c r="A6" t="s">
        <v>0</v>
      </c>
      <c r="B6" s="1">
        <v>31556900</v>
      </c>
    </row>
    <row r="7" spans="1:12" s="42" customFormat="1" x14ac:dyDescent="0.25">
      <c r="A7" s="42" t="s">
        <v>568</v>
      </c>
      <c r="B7" s="15">
        <f>1000*SecondsPerYear</f>
        <v>31556900000</v>
      </c>
      <c r="C7" s="17"/>
      <c r="D7" s="15"/>
      <c r="H7" s="16"/>
    </row>
    <row r="8" spans="1:12" s="42" customFormat="1" x14ac:dyDescent="0.25">
      <c r="A8" s="42" t="s">
        <v>570</v>
      </c>
      <c r="B8" s="15">
        <f>1000*kyr</f>
        <v>31556900000000</v>
      </c>
      <c r="C8" s="17"/>
      <c r="D8" s="15"/>
      <c r="H8" s="16"/>
    </row>
    <row r="9" spans="1:12" s="42" customFormat="1" x14ac:dyDescent="0.25">
      <c r="A9" s="42" t="s">
        <v>569</v>
      </c>
      <c r="B9" s="15">
        <f>1000*Myr</f>
        <v>3.15569E+16</v>
      </c>
      <c r="C9" s="17"/>
      <c r="D9" s="15"/>
      <c r="H9" s="16"/>
    </row>
    <row r="10" spans="1:12" x14ac:dyDescent="0.25">
      <c r="A10" t="s">
        <v>584</v>
      </c>
      <c r="B10" s="1">
        <v>299792458</v>
      </c>
    </row>
    <row r="11" spans="1:12" s="42" customFormat="1" ht="18" x14ac:dyDescent="0.35">
      <c r="A11" s="42" t="s">
        <v>603</v>
      </c>
      <c r="B11" s="15">
        <v>266362000</v>
      </c>
      <c r="C11" s="17"/>
      <c r="D11" s="15"/>
      <c r="H11" s="16"/>
    </row>
    <row r="12" spans="1:12" s="42" customFormat="1" x14ac:dyDescent="0.25">
      <c r="A12" s="42" t="s">
        <v>602</v>
      </c>
      <c r="B12" s="15">
        <f>SecondsPerYear*VelocityOfLight</f>
        <v>9460520617860200</v>
      </c>
      <c r="C12" s="17"/>
      <c r="D12" s="15"/>
      <c r="H12" s="16"/>
    </row>
    <row r="13" spans="1:12" x14ac:dyDescent="0.25">
      <c r="A13" t="s">
        <v>552</v>
      </c>
      <c r="B13" s="16">
        <v>2.7254999999999998</v>
      </c>
    </row>
    <row r="14" spans="1:12" ht="17.25" x14ac:dyDescent="0.25">
      <c r="A14" s="11" t="s">
        <v>579</v>
      </c>
      <c r="B14" s="13">
        <v>6.6740800000000003E-11</v>
      </c>
    </row>
    <row r="15" spans="1:12" ht="17.25" x14ac:dyDescent="0.25">
      <c r="A15" t="s">
        <v>561</v>
      </c>
      <c r="B15" s="1">
        <v>1.3806485199999999E-23</v>
      </c>
    </row>
    <row r="16" spans="1:12" s="42" customFormat="1" ht="17.25" x14ac:dyDescent="0.25">
      <c r="A16" s="42" t="s">
        <v>582</v>
      </c>
      <c r="B16" s="15">
        <v>6.6260701499999998E-34</v>
      </c>
      <c r="C16" s="17"/>
      <c r="D16" s="15"/>
      <c r="H16" s="16"/>
    </row>
    <row r="17" spans="1:12" s="42" customFormat="1" ht="17.25" x14ac:dyDescent="0.25">
      <c r="A17" s="42" t="s">
        <v>583</v>
      </c>
      <c r="B17" s="15">
        <f>PlanckConstant/(2*PI())</f>
        <v>1.0545718176461565E-34</v>
      </c>
      <c r="C17" s="17"/>
      <c r="D17" s="15"/>
      <c r="H17" s="16"/>
    </row>
    <row r="18" spans="1:12" s="42" customFormat="1" x14ac:dyDescent="0.25">
      <c r="A18" s="42" t="s">
        <v>591</v>
      </c>
      <c r="B18" s="15">
        <f>2*PI()^5*BoltzmannConstant^4/(15*PlanckConstant^3*VelocityOfLight^2)</f>
        <v>5.6703665336804306E-8</v>
      </c>
      <c r="C18" s="17"/>
      <c r="D18" s="15"/>
      <c r="H18" s="16"/>
    </row>
    <row r="19" spans="1:12" s="42" customFormat="1" x14ac:dyDescent="0.25">
      <c r="A19" s="42" t="s">
        <v>592</v>
      </c>
      <c r="B19" s="15">
        <f>4*StefanBoltzmannConstant/VelocityOfLight</f>
        <v>7.5657227289959786E-16</v>
      </c>
      <c r="C19" s="15"/>
      <c r="D19" s="15"/>
      <c r="H19" s="16"/>
    </row>
    <row r="20" spans="1:12" x14ac:dyDescent="0.25">
      <c r="A20" t="s">
        <v>566</v>
      </c>
      <c r="B20" s="2">
        <v>67.400000000000006</v>
      </c>
    </row>
    <row r="21" spans="1:12" s="42" customFormat="1" x14ac:dyDescent="0.25">
      <c r="A21" s="42" t="s">
        <v>559</v>
      </c>
      <c r="B21">
        <v>73.239999999999995</v>
      </c>
      <c r="C21" s="17"/>
      <c r="D21" s="15"/>
      <c r="H21" s="16"/>
    </row>
    <row r="22" spans="1:12" s="42" customFormat="1" ht="18" x14ac:dyDescent="0.35">
      <c r="A22" s="42" t="s">
        <v>573</v>
      </c>
      <c r="B22" s="16">
        <f>1/Age/km*Mpc</f>
        <v>62.345881370780965</v>
      </c>
      <c r="C22" s="16"/>
      <c r="D22" s="15"/>
      <c r="F22" s="15"/>
      <c r="H22" s="16"/>
    </row>
    <row r="23" spans="1:12" s="42" customFormat="1" x14ac:dyDescent="0.25">
      <c r="A23" s="42" t="s">
        <v>567</v>
      </c>
      <c r="B23" s="42">
        <v>1.0410999999999999</v>
      </c>
      <c r="C23" s="17"/>
      <c r="D23" s="15"/>
      <c r="H23" s="16"/>
    </row>
    <row r="24" spans="1:12" s="42" customFormat="1" x14ac:dyDescent="0.25">
      <c r="A24" s="42" t="s">
        <v>594</v>
      </c>
      <c r="B24" s="42">
        <v>1090</v>
      </c>
      <c r="C24" s="17"/>
      <c r="D24" s="15"/>
      <c r="H24" s="16"/>
    </row>
    <row r="25" spans="1:12" s="42" customFormat="1" x14ac:dyDescent="0.25">
      <c r="A25" s="42" t="s">
        <v>599</v>
      </c>
      <c r="B25" s="15">
        <v>4.352012079E+17</v>
      </c>
      <c r="C25" s="18">
        <f>B25/Gyr</f>
        <v>13.791</v>
      </c>
      <c r="D25" s="15"/>
      <c r="H25" s="16"/>
    </row>
    <row r="26" spans="1:12" ht="17.25" x14ac:dyDescent="0.25">
      <c r="A26" t="s">
        <v>581</v>
      </c>
      <c r="B26" s="15">
        <v>3.6466161335543597E-11</v>
      </c>
      <c r="F26" s="15"/>
      <c r="K26" s="14"/>
      <c r="L26" s="14"/>
    </row>
    <row r="27" spans="1:12" x14ac:dyDescent="0.25">
      <c r="A27" s="42" t="s">
        <v>635</v>
      </c>
      <c r="B27" s="15">
        <f>VelocityOfLight+(UniverseAcceleration*Age)</f>
        <v>317840613.5457623</v>
      </c>
      <c r="C27" s="18"/>
      <c r="F27" s="15"/>
    </row>
    <row r="28" spans="1:12" s="42" customFormat="1" x14ac:dyDescent="0.25">
      <c r="A28" t="s">
        <v>600</v>
      </c>
      <c r="B28" s="15">
        <v>4.9492885691181101E+17</v>
      </c>
      <c r="C28" s="18">
        <f>Age/Gyr</f>
        <v>15.68369696997522</v>
      </c>
      <c r="D28" s="15"/>
      <c r="F28" s="15"/>
      <c r="H28" s="16"/>
    </row>
    <row r="29" spans="1:12" s="42" customFormat="1" x14ac:dyDescent="0.25">
      <c r="A29" s="42" t="s">
        <v>637</v>
      </c>
      <c r="B29" s="15">
        <f>InitialTangentVelocity*Age-UniverseAcceleration/2*Age^2</f>
        <v>1.5284221504553746E+26</v>
      </c>
      <c r="C29" s="16">
        <f>B29/Gpc</f>
        <v>4.9532788531178129</v>
      </c>
      <c r="D29" s="15"/>
      <c r="E29" s="15"/>
      <c r="F29" s="15"/>
      <c r="H29" s="16"/>
    </row>
    <row r="30" spans="1:12" s="42" customFormat="1" x14ac:dyDescent="0.25">
      <c r="A30" t="s">
        <v>580</v>
      </c>
      <c r="B30" s="15">
        <v>1.9890999999999999E+30</v>
      </c>
      <c r="C30" s="15"/>
      <c r="D30" s="15"/>
      <c r="F30" s="15"/>
      <c r="H30" s="16"/>
    </row>
    <row r="31" spans="1:12" x14ac:dyDescent="0.25">
      <c r="A31" t="s">
        <v>18</v>
      </c>
      <c r="B31" s="15">
        <f>3.846E+26</f>
        <v>3.8459999999999999E+26</v>
      </c>
      <c r="C31" s="41"/>
    </row>
    <row r="32" spans="1:12" x14ac:dyDescent="0.25">
      <c r="A32" t="s">
        <v>23</v>
      </c>
      <c r="B32" s="1">
        <f>9.10938356E-31</f>
        <v>9.1093835599999998E-31</v>
      </c>
    </row>
    <row r="33" spans="1:8" x14ac:dyDescent="0.25">
      <c r="A33" s="42" t="s">
        <v>593</v>
      </c>
      <c r="B33" s="15">
        <v>1.6726219E-27</v>
      </c>
    </row>
    <row r="34" spans="1:8" s="42" customFormat="1" x14ac:dyDescent="0.25">
      <c r="A34" t="s">
        <v>571</v>
      </c>
      <c r="B34" s="1">
        <f>1.6735575E-27</f>
        <v>1.6735574999999999E-27</v>
      </c>
      <c r="C34" s="6"/>
      <c r="D34" s="15"/>
      <c r="H34" s="16"/>
    </row>
    <row r="35" spans="1:8" x14ac:dyDescent="0.25">
      <c r="A35" s="42" t="s">
        <v>572</v>
      </c>
      <c r="B35" s="15">
        <v>6.6464730999999995E-27</v>
      </c>
      <c r="C35" s="17"/>
    </row>
    <row r="36" spans="1:8" s="42" customFormat="1" x14ac:dyDescent="0.25">
      <c r="A36" t="s">
        <v>588</v>
      </c>
      <c r="B36" s="54">
        <v>0.75</v>
      </c>
      <c r="C36" s="6"/>
      <c r="D36" s="15"/>
      <c r="H36" s="16"/>
    </row>
    <row r="37" spans="1:8" x14ac:dyDescent="0.25">
      <c r="A37" t="s">
        <v>589</v>
      </c>
      <c r="B37" s="54">
        <v>0.249</v>
      </c>
      <c r="C37" s="17"/>
    </row>
    <row r="38" spans="1:8" x14ac:dyDescent="0.25">
      <c r="A38" t="s">
        <v>590</v>
      </c>
      <c r="B38" s="12">
        <v>1.2020599999999999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488"/>
  <sheetViews>
    <sheetView zoomScaleNormal="100" workbookViewId="0"/>
  </sheetViews>
  <sheetFormatPr defaultRowHeight="15" x14ac:dyDescent="0.25"/>
  <cols>
    <col min="1" max="1" width="15.7109375" customWidth="1"/>
    <col min="2" max="11" width="10.7109375" style="16" customWidth="1"/>
    <col min="12" max="12" width="12" style="16" customWidth="1"/>
    <col min="13" max="13" width="10.7109375" style="2" customWidth="1"/>
    <col min="14" max="14" width="10.7109375" style="15" customWidth="1"/>
    <col min="15" max="15" width="8.7109375" style="16" customWidth="1"/>
    <col min="16" max="16" width="8.7109375" style="2" customWidth="1"/>
    <col min="17" max="18" width="8.7109375" style="16" customWidth="1"/>
    <col min="19" max="19" width="8.7109375" style="18" customWidth="1"/>
    <col min="20" max="22" width="8.7109375" style="16" customWidth="1"/>
  </cols>
  <sheetData>
    <row r="1" spans="1:22" s="34" customFormat="1" x14ac:dyDescent="0.25">
      <c r="A1" s="34" t="s">
        <v>29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5"/>
      <c r="O1" s="16"/>
      <c r="P1" s="16"/>
      <c r="Q1" s="16"/>
      <c r="R1" s="16"/>
      <c r="S1" s="18"/>
      <c r="T1" s="16"/>
      <c r="U1" s="16"/>
      <c r="V1" s="16"/>
    </row>
    <row r="2" spans="1:22" s="34" customFormat="1" ht="17.25" x14ac:dyDescent="0.25">
      <c r="A2" s="34" t="s">
        <v>30</v>
      </c>
      <c r="B2" s="16">
        <v>0.14699999999999999</v>
      </c>
      <c r="C2" s="16"/>
      <c r="D2" s="36" t="s">
        <v>563</v>
      </c>
      <c r="E2" s="25">
        <f>$R$484</f>
        <v>0.84061974127828332</v>
      </c>
      <c r="F2" s="16"/>
      <c r="G2" s="16"/>
      <c r="H2" s="16"/>
      <c r="I2" s="16"/>
      <c r="J2" s="15"/>
      <c r="K2" s="16"/>
      <c r="L2" s="15"/>
      <c r="N2" s="15"/>
      <c r="O2" s="16"/>
      <c r="P2" s="16"/>
      <c r="Q2" s="16"/>
      <c r="R2" s="16"/>
      <c r="S2" s="18"/>
      <c r="T2" s="16"/>
      <c r="U2" s="16"/>
      <c r="V2" s="16"/>
    </row>
    <row r="3" spans="1:22" s="34" customFormat="1" ht="17.25" x14ac:dyDescent="0.25">
      <c r="A3" s="34" t="s">
        <v>31</v>
      </c>
      <c r="B3" s="16">
        <v>3.13</v>
      </c>
      <c r="C3" s="16"/>
      <c r="D3" s="36" t="s">
        <v>606</v>
      </c>
      <c r="E3" s="25">
        <f>$V$483</f>
        <v>2.3085535705988023</v>
      </c>
      <c r="F3" s="16"/>
      <c r="G3" s="16"/>
      <c r="H3" s="16"/>
      <c r="I3" s="16"/>
      <c r="J3" s="15"/>
      <c r="K3" s="16"/>
      <c r="L3" s="15"/>
      <c r="N3" s="15"/>
      <c r="O3" s="16"/>
      <c r="P3" s="16"/>
      <c r="Q3" s="16"/>
      <c r="R3" s="16"/>
      <c r="S3" s="18"/>
      <c r="T3" s="16"/>
      <c r="U3" s="16"/>
      <c r="V3" s="16"/>
    </row>
    <row r="4" spans="1:22" s="34" customFormat="1" ht="18" x14ac:dyDescent="0.35">
      <c r="A4" s="34" t="s">
        <v>32</v>
      </c>
      <c r="B4" s="16">
        <v>-19.34</v>
      </c>
      <c r="C4" s="16"/>
      <c r="D4" s="16"/>
      <c r="E4" s="16"/>
      <c r="F4" s="16"/>
      <c r="G4" s="16"/>
      <c r="H4" s="16"/>
      <c r="I4" s="16"/>
      <c r="J4" s="15"/>
      <c r="K4" s="16"/>
      <c r="L4" s="15"/>
      <c r="M4" s="16"/>
      <c r="N4" s="15"/>
      <c r="O4" s="16"/>
      <c r="P4" s="15"/>
      <c r="Q4" s="15"/>
      <c r="R4" s="16"/>
      <c r="S4" s="18"/>
      <c r="T4" s="16"/>
      <c r="U4" s="16"/>
      <c r="V4" s="16"/>
    </row>
    <row r="5" spans="1:22" s="34" customFormat="1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5"/>
      <c r="M5" s="16"/>
      <c r="N5" s="15"/>
      <c r="O5" s="16"/>
      <c r="P5" s="16"/>
      <c r="Q5" s="16"/>
      <c r="R5" s="16"/>
      <c r="S5" s="18"/>
      <c r="T5" s="16"/>
      <c r="U5" s="16"/>
      <c r="V5" s="16"/>
    </row>
    <row r="6" spans="1:22" s="3" customFormat="1" ht="60" customHeight="1" x14ac:dyDescent="0.25">
      <c r="A6" s="22" t="s">
        <v>1</v>
      </c>
      <c r="B6" s="26" t="s">
        <v>2</v>
      </c>
      <c r="C6" s="26" t="s">
        <v>498</v>
      </c>
      <c r="D6" s="26" t="s">
        <v>26</v>
      </c>
      <c r="E6" s="26" t="s">
        <v>494</v>
      </c>
      <c r="F6" s="26" t="s">
        <v>27</v>
      </c>
      <c r="G6" s="26" t="s">
        <v>495</v>
      </c>
      <c r="H6" s="26" t="s">
        <v>28</v>
      </c>
      <c r="I6" s="26" t="s">
        <v>496</v>
      </c>
      <c r="J6" s="26" t="s">
        <v>497</v>
      </c>
      <c r="K6" s="26" t="s">
        <v>33</v>
      </c>
      <c r="L6" s="26" t="s">
        <v>499</v>
      </c>
      <c r="M6" s="22" t="s">
        <v>551</v>
      </c>
      <c r="N6" s="27" t="s">
        <v>585</v>
      </c>
      <c r="O6" s="27" t="s">
        <v>564</v>
      </c>
      <c r="P6" s="26" t="s">
        <v>562</v>
      </c>
      <c r="Q6" s="7" t="s">
        <v>638</v>
      </c>
      <c r="R6" s="26" t="s">
        <v>632</v>
      </c>
      <c r="S6" s="55" t="s">
        <v>607</v>
      </c>
      <c r="T6" s="26" t="s">
        <v>605</v>
      </c>
      <c r="U6" s="7" t="s">
        <v>639</v>
      </c>
      <c r="V6" s="26" t="s">
        <v>633</v>
      </c>
    </row>
    <row r="7" spans="1:22" ht="15" customHeight="1" x14ac:dyDescent="0.25">
      <c r="A7" s="34" t="s">
        <v>34</v>
      </c>
      <c r="B7" s="16">
        <v>0.01</v>
      </c>
      <c r="C7" s="8">
        <v>0</v>
      </c>
      <c r="D7" s="8">
        <v>14.183</v>
      </c>
      <c r="E7" s="8">
        <v>4.2000000000000003E-2</v>
      </c>
      <c r="F7" s="8">
        <v>0.97299999999999998</v>
      </c>
      <c r="G7" s="8">
        <v>2.5999999999999999E-2</v>
      </c>
      <c r="H7" s="8">
        <v>3.5000000000000003E-2</v>
      </c>
      <c r="I7" s="8">
        <v>2.5000000000000001E-2</v>
      </c>
      <c r="J7" s="8">
        <v>0.12</v>
      </c>
      <c r="K7" s="38">
        <f t="shared" ref="K7:K70" si="0">PeakMagnitudeError+StretchError+ColorError+ScatterError</f>
        <v>0.21299999999999999</v>
      </c>
      <c r="L7" s="38">
        <f t="shared" ref="L7:L70" si="1">PeakMagnitude+α*(Stretch-1)-β*Color-Mb</f>
        <v>33.409481</v>
      </c>
      <c r="M7" s="29">
        <f t="shared" ref="M7:M70" si="2">10^((ObservedDistanceModuli-25)/5)</f>
        <v>48.072443757165757</v>
      </c>
      <c r="N7" s="29">
        <f t="shared" ref="N7:N70" si="3">(RedShift*Age*(2*InitialTangentVelocity-UniverseAcceleration*Age))/(2+RedShift)*(1+RedShift)</f>
        <v>1.5360262407561479E+24</v>
      </c>
      <c r="O7" s="35">
        <f t="shared" ref="O7:O70" si="4">N7/Mpc</f>
        <v>49.779220314915335</v>
      </c>
      <c r="P7" s="35">
        <f t="shared" ref="P7:P70" si="5">(LOG10(T2LuminousDistance)*5+25)</f>
        <v>33.485240450155388</v>
      </c>
      <c r="Q7" s="35">
        <f t="shared" ref="Q7:Q70" si="6">ObservedDistanceModuli-T2DistanceModuli</f>
        <v>-7.5759450155388208E-2</v>
      </c>
      <c r="R7" s="35">
        <f>(ObservedDistanceModuli-T2DistanceModuli)^2/TotalError^2</f>
        <v>0.12650696043216184</v>
      </c>
      <c r="S7" s="18">
        <v>41.103659422180243</v>
      </c>
      <c r="T7" s="35">
        <f t="shared" ref="T7:T70" si="7">(LOG10(ΛCDMLuminousDistance)*5+25)</f>
        <v>33.069402442240715</v>
      </c>
      <c r="U7" s="35">
        <f t="shared" ref="U7:U70" si="8">ObservedDistanceModuli-ΛCDMDistanceModuli</f>
        <v>0.34007855775928419</v>
      </c>
      <c r="V7" s="35">
        <f>(ObservedDistanceModuli-ΛCDMDistanceModuli)^2/TotalError^2</f>
        <v>2.5491729032518857</v>
      </c>
    </row>
    <row r="8" spans="1:22" ht="15" customHeight="1" x14ac:dyDescent="0.25">
      <c r="A8" s="34" t="s">
        <v>35</v>
      </c>
      <c r="B8" s="16">
        <v>0.01</v>
      </c>
      <c r="C8" s="8">
        <v>0</v>
      </c>
      <c r="D8" s="8">
        <v>14.13</v>
      </c>
      <c r="E8" s="8">
        <v>0.03</v>
      </c>
      <c r="F8" s="8">
        <v>0.98699999999999999</v>
      </c>
      <c r="G8" s="8">
        <v>8.9999999999999993E-3</v>
      </c>
      <c r="H8" s="8">
        <v>5.6000000000000001E-2</v>
      </c>
      <c r="I8" s="8">
        <v>1.7999999999999999E-2</v>
      </c>
      <c r="J8" s="8">
        <v>0.12</v>
      </c>
      <c r="K8" s="38">
        <f t="shared" si="0"/>
        <v>0.17699999999999999</v>
      </c>
      <c r="L8" s="38">
        <f t="shared" si="1"/>
        <v>33.292808999999998</v>
      </c>
      <c r="M8" s="29">
        <f t="shared" si="2"/>
        <v>45.557701005203917</v>
      </c>
      <c r="N8" s="29">
        <f t="shared" si="3"/>
        <v>1.5360262407561479E+24</v>
      </c>
      <c r="O8" s="35">
        <f t="shared" si="4"/>
        <v>49.779220314915335</v>
      </c>
      <c r="P8" s="35">
        <f t="shared" si="5"/>
        <v>33.485240450155388</v>
      </c>
      <c r="Q8" s="35">
        <f t="shared" si="6"/>
        <v>-0.19243145015538943</v>
      </c>
      <c r="R8" s="35">
        <f t="shared" ref="R8:R70" si="9">(ObservedDistanceModuli-T2DistanceModuli)^2/TotalError^2</f>
        <v>1.1819676021866683</v>
      </c>
      <c r="S8" s="18">
        <v>41.103659422180243</v>
      </c>
      <c r="T8" s="35">
        <f t="shared" si="7"/>
        <v>33.069402442240715</v>
      </c>
      <c r="U8" s="35">
        <f t="shared" si="8"/>
        <v>0.22340655775928298</v>
      </c>
      <c r="V8" s="35">
        <f t="shared" ref="V8:V70" si="10">(ObservedDistanceModuli-ΛCDMDistanceModuli)^2/TotalError^2</f>
        <v>1.5931083038032445</v>
      </c>
    </row>
    <row r="9" spans="1:22" ht="15" customHeight="1" x14ac:dyDescent="0.25">
      <c r="A9" s="34" t="s">
        <v>36</v>
      </c>
      <c r="B9" s="16">
        <v>1.0999999999999999E-2</v>
      </c>
      <c r="C9" s="8">
        <v>0</v>
      </c>
      <c r="D9" s="8">
        <v>14.317</v>
      </c>
      <c r="E9" s="8">
        <v>3.5999999999999997E-2</v>
      </c>
      <c r="F9" s="8">
        <v>0.98299999999999998</v>
      </c>
      <c r="G9" s="8">
        <v>2.3E-2</v>
      </c>
      <c r="H9" s="8">
        <v>5.6000000000000001E-2</v>
      </c>
      <c r="I9" s="8">
        <v>2.5000000000000001E-2</v>
      </c>
      <c r="J9" s="8">
        <v>0.12</v>
      </c>
      <c r="K9" s="38">
        <f t="shared" si="0"/>
        <v>0.20399999999999999</v>
      </c>
      <c r="L9" s="38">
        <f t="shared" si="1"/>
        <v>33.479220999999995</v>
      </c>
      <c r="M9" s="29">
        <f t="shared" si="2"/>
        <v>49.641420450258337</v>
      </c>
      <c r="N9" s="29">
        <f t="shared" si="3"/>
        <v>1.6904607394544224E+24</v>
      </c>
      <c r="O9" s="35">
        <f t="shared" si="4"/>
        <v>54.7841015669052</v>
      </c>
      <c r="P9" s="35">
        <f t="shared" si="5"/>
        <v>33.693272719107043</v>
      </c>
      <c r="Q9" s="35">
        <f t="shared" si="6"/>
        <v>-0.21405171910704723</v>
      </c>
      <c r="R9" s="35">
        <f t="shared" si="9"/>
        <v>1.100974107378947</v>
      </c>
      <c r="S9" s="18">
        <v>45.248603556527648</v>
      </c>
      <c r="T9" s="35">
        <f t="shared" si="7"/>
        <v>33.278025903667157</v>
      </c>
      <c r="U9" s="35">
        <f t="shared" si="8"/>
        <v>0.20119509633283883</v>
      </c>
      <c r="V9" s="35">
        <f t="shared" si="10"/>
        <v>0.97268999395377509</v>
      </c>
    </row>
    <row r="10" spans="1:22" ht="15" customHeight="1" x14ac:dyDescent="0.25">
      <c r="A10" s="34" t="s">
        <v>37</v>
      </c>
      <c r="B10" s="16">
        <v>1.0999999999999999E-2</v>
      </c>
      <c r="C10" s="8">
        <v>1E-3</v>
      </c>
      <c r="D10" s="8">
        <v>14.347</v>
      </c>
      <c r="E10" s="8">
        <v>2.1000000000000001E-2</v>
      </c>
      <c r="F10" s="8">
        <v>0.81399999999999995</v>
      </c>
      <c r="G10" s="8">
        <v>8.0000000000000002E-3</v>
      </c>
      <c r="H10" s="8">
        <v>-4.4999999999999998E-2</v>
      </c>
      <c r="I10" s="8">
        <v>1.9E-2</v>
      </c>
      <c r="J10" s="8">
        <v>0.12</v>
      </c>
      <c r="K10" s="38">
        <f t="shared" si="0"/>
        <v>0.16799999999999998</v>
      </c>
      <c r="L10" s="38">
        <f t="shared" si="1"/>
        <v>33.800508000000001</v>
      </c>
      <c r="M10" s="29">
        <f t="shared" si="2"/>
        <v>57.557457302629494</v>
      </c>
      <c r="N10" s="29">
        <f t="shared" si="3"/>
        <v>1.6904607394544224E+24</v>
      </c>
      <c r="O10" s="35">
        <f t="shared" si="4"/>
        <v>54.7841015669052</v>
      </c>
      <c r="P10" s="35">
        <f t="shared" si="5"/>
        <v>33.693272719107043</v>
      </c>
      <c r="Q10" s="35">
        <f t="shared" si="6"/>
        <v>0.10723528089295797</v>
      </c>
      <c r="R10" s="35">
        <f t="shared" si="9"/>
        <v>0.40743358376529193</v>
      </c>
      <c r="S10" s="18">
        <v>45.248603556527648</v>
      </c>
      <c r="T10" s="35">
        <f t="shared" si="7"/>
        <v>33.278025903667157</v>
      </c>
      <c r="U10" s="35">
        <f t="shared" si="8"/>
        <v>0.52248209633284404</v>
      </c>
      <c r="V10" s="35">
        <f t="shared" si="10"/>
        <v>9.6721776143836227</v>
      </c>
    </row>
    <row r="11" spans="1:22" ht="15" customHeight="1" x14ac:dyDescent="0.25">
      <c r="A11" s="34" t="s">
        <v>38</v>
      </c>
      <c r="B11" s="16">
        <v>1.0999999999999999E-2</v>
      </c>
      <c r="C11" s="8">
        <v>0</v>
      </c>
      <c r="D11" s="8">
        <v>14.597</v>
      </c>
      <c r="E11" s="8">
        <v>0.03</v>
      </c>
      <c r="F11" s="8">
        <v>0.97299999999999998</v>
      </c>
      <c r="G11" s="8">
        <v>2.9000000000000001E-2</v>
      </c>
      <c r="H11" s="8">
        <v>0.113</v>
      </c>
      <c r="I11" s="8">
        <v>2.4E-2</v>
      </c>
      <c r="J11" s="8">
        <v>0.12</v>
      </c>
      <c r="K11" s="38">
        <f t="shared" si="0"/>
        <v>0.20299999999999999</v>
      </c>
      <c r="L11" s="38">
        <f t="shared" si="1"/>
        <v>33.579340999999999</v>
      </c>
      <c r="M11" s="29">
        <f t="shared" si="2"/>
        <v>51.983821172009236</v>
      </c>
      <c r="N11" s="29">
        <f t="shared" si="3"/>
        <v>1.6904607394544224E+24</v>
      </c>
      <c r="O11" s="35">
        <f t="shared" si="4"/>
        <v>54.7841015669052</v>
      </c>
      <c r="P11" s="35">
        <f t="shared" si="5"/>
        <v>33.693272719107043</v>
      </c>
      <c r="Q11" s="35">
        <f t="shared" si="6"/>
        <v>-0.11393171910704325</v>
      </c>
      <c r="R11" s="35">
        <f t="shared" si="9"/>
        <v>0.31499033266243309</v>
      </c>
      <c r="S11" s="18">
        <v>45.248603556527648</v>
      </c>
      <c r="T11" s="35">
        <f t="shared" si="7"/>
        <v>33.278025903667157</v>
      </c>
      <c r="U11" s="35">
        <f t="shared" si="8"/>
        <v>0.30131509633284281</v>
      </c>
      <c r="V11" s="35">
        <f t="shared" si="10"/>
        <v>2.2031786085095573</v>
      </c>
    </row>
    <row r="12" spans="1:22" ht="15" customHeight="1" x14ac:dyDescent="0.25">
      <c r="A12" s="34" t="s">
        <v>39</v>
      </c>
      <c r="B12" s="16">
        <v>1.2E-2</v>
      </c>
      <c r="C12" s="8">
        <v>1E-3</v>
      </c>
      <c r="D12" s="8">
        <v>14.843</v>
      </c>
      <c r="E12" s="8">
        <v>2.5999999999999999E-2</v>
      </c>
      <c r="F12" s="8">
        <v>0.871</v>
      </c>
      <c r="G12" s="8">
        <v>1.2999999999999999E-2</v>
      </c>
      <c r="H12" s="8">
        <v>-7.2999999999999995E-2</v>
      </c>
      <c r="I12" s="8">
        <v>0.02</v>
      </c>
      <c r="J12" s="8">
        <v>0.12</v>
      </c>
      <c r="K12" s="38">
        <f t="shared" si="0"/>
        <v>0.17899999999999999</v>
      </c>
      <c r="L12" s="38">
        <f t="shared" si="1"/>
        <v>34.392527000000001</v>
      </c>
      <c r="M12" s="29">
        <f t="shared" si="2"/>
        <v>75.59714599990032</v>
      </c>
      <c r="N12" s="29">
        <f t="shared" si="3"/>
        <v>1.8450455859970246E+24</v>
      </c>
      <c r="O12" s="35">
        <f t="shared" si="4"/>
        <v>59.793855260698521</v>
      </c>
      <c r="P12" s="35">
        <f t="shared" si="5"/>
        <v>33.883282779182196</v>
      </c>
      <c r="Q12" s="35">
        <f t="shared" si="6"/>
        <v>0.50924422081780563</v>
      </c>
      <c r="R12" s="35">
        <f t="shared" si="9"/>
        <v>8.0936823581141031</v>
      </c>
      <c r="S12" s="18">
        <v>49.399807969154111</v>
      </c>
      <c r="T12" s="35">
        <f t="shared" si="7"/>
        <v>33.468626303515116</v>
      </c>
      <c r="U12" s="35">
        <f t="shared" si="8"/>
        <v>0.92390069648488549</v>
      </c>
      <c r="V12" s="35">
        <f t="shared" si="10"/>
        <v>26.640632220132222</v>
      </c>
    </row>
    <row r="13" spans="1:22" ht="15" customHeight="1" x14ac:dyDescent="0.25">
      <c r="A13" s="34" t="s">
        <v>40</v>
      </c>
      <c r="B13" s="16">
        <v>1.2999999999999999E-2</v>
      </c>
      <c r="C13" s="8">
        <v>0</v>
      </c>
      <c r="D13" s="8">
        <v>14.904</v>
      </c>
      <c r="E13" s="8">
        <v>2.5000000000000001E-2</v>
      </c>
      <c r="F13" s="8">
        <v>0.90300000000000002</v>
      </c>
      <c r="G13" s="8">
        <v>2.4E-2</v>
      </c>
      <c r="H13" s="8">
        <v>8.7999999999999995E-2</v>
      </c>
      <c r="I13" s="8">
        <v>0.02</v>
      </c>
      <c r="J13" s="8">
        <v>0.12</v>
      </c>
      <c r="K13" s="38">
        <f t="shared" si="0"/>
        <v>0.189</v>
      </c>
      <c r="L13" s="38">
        <f t="shared" si="1"/>
        <v>33.954301000000001</v>
      </c>
      <c r="M13" s="29">
        <f t="shared" si="2"/>
        <v>61.781749181261212</v>
      </c>
      <c r="N13" s="29">
        <f t="shared" si="3"/>
        <v>1.9997805563186118E+24</v>
      </c>
      <c r="O13" s="35">
        <f t="shared" si="4"/>
        <v>64.808474134832068</v>
      </c>
      <c r="P13" s="35">
        <f t="shared" si="5"/>
        <v>34.058158982236932</v>
      </c>
      <c r="Q13" s="35">
        <f t="shared" si="6"/>
        <v>-0.10385798223693143</v>
      </c>
      <c r="R13" s="35">
        <f t="shared" si="9"/>
        <v>0.3019646839205723</v>
      </c>
      <c r="S13" s="18">
        <v>53.557265996914317</v>
      </c>
      <c r="T13" s="35">
        <f t="shared" si="7"/>
        <v>33.644091994728285</v>
      </c>
      <c r="U13" s="35">
        <f t="shared" si="8"/>
        <v>0.31020900527171591</v>
      </c>
      <c r="V13" s="35">
        <f t="shared" si="10"/>
        <v>2.6939230971044332</v>
      </c>
    </row>
    <row r="14" spans="1:22" ht="15" customHeight="1" x14ac:dyDescent="0.25">
      <c r="A14" s="34" t="s">
        <v>41</v>
      </c>
      <c r="B14" s="16">
        <v>1.4E-2</v>
      </c>
      <c r="C14" s="8">
        <v>0</v>
      </c>
      <c r="D14" s="8">
        <v>15.118</v>
      </c>
      <c r="E14" s="8">
        <v>4.1000000000000002E-2</v>
      </c>
      <c r="F14" s="8">
        <v>0.81899999999999995</v>
      </c>
      <c r="G14" s="8">
        <v>1.7000000000000001E-2</v>
      </c>
      <c r="H14" s="8">
        <v>3.5999999999999997E-2</v>
      </c>
      <c r="I14" s="8">
        <v>2.1999999999999999E-2</v>
      </c>
      <c r="J14" s="8">
        <v>0.12</v>
      </c>
      <c r="K14" s="38">
        <f t="shared" si="0"/>
        <v>0.2</v>
      </c>
      <c r="L14" s="38">
        <f t="shared" si="1"/>
        <v>34.318713000000002</v>
      </c>
      <c r="M14" s="29">
        <f t="shared" si="2"/>
        <v>73.070587641155655</v>
      </c>
      <c r="N14" s="29">
        <f t="shared" si="3"/>
        <v>2.154665426798858E+24</v>
      </c>
      <c r="O14" s="35">
        <f t="shared" si="4"/>
        <v>69.827950942264621</v>
      </c>
      <c r="P14" s="35">
        <f t="shared" si="5"/>
        <v>34.220146490634399</v>
      </c>
      <c r="Q14" s="35">
        <f t="shared" si="6"/>
        <v>9.8566509365603849E-2</v>
      </c>
      <c r="R14" s="35">
        <f t="shared" si="9"/>
        <v>0.24288391921299174</v>
      </c>
      <c r="S14" s="18">
        <v>57.720970977752756</v>
      </c>
      <c r="T14" s="35">
        <f t="shared" si="7"/>
        <v>33.806668140757075</v>
      </c>
      <c r="U14" s="35">
        <f t="shared" si="8"/>
        <v>0.51204485924292698</v>
      </c>
      <c r="V14" s="35">
        <f t="shared" si="10"/>
        <v>6.5547484469277215</v>
      </c>
    </row>
    <row r="15" spans="1:22" ht="15" customHeight="1" x14ac:dyDescent="0.25">
      <c r="A15" s="34" t="s">
        <v>42</v>
      </c>
      <c r="B15" s="16">
        <v>1.4999999999999999E-2</v>
      </c>
      <c r="C15" s="8">
        <v>0</v>
      </c>
      <c r="D15" s="8">
        <v>14.685</v>
      </c>
      <c r="E15" s="8">
        <v>2.4E-2</v>
      </c>
      <c r="F15" s="8">
        <v>1.077</v>
      </c>
      <c r="G15" s="8">
        <v>2.8000000000000001E-2</v>
      </c>
      <c r="H15" s="8">
        <v>-2E-3</v>
      </c>
      <c r="I15" s="8">
        <v>2.1999999999999999E-2</v>
      </c>
      <c r="J15" s="8">
        <v>0.12</v>
      </c>
      <c r="K15" s="38">
        <f t="shared" si="0"/>
        <v>0.19400000000000001</v>
      </c>
      <c r="L15" s="38">
        <f t="shared" si="1"/>
        <v>34.042579000000003</v>
      </c>
      <c r="M15" s="29">
        <f t="shared" si="2"/>
        <v>64.345147387447213</v>
      </c>
      <c r="N15" s="29">
        <f t="shared" si="3"/>
        <v>2.3096999742613474E+24</v>
      </c>
      <c r="O15" s="35">
        <f t="shared" si="4"/>
        <v>74.852278450341132</v>
      </c>
      <c r="P15" s="35">
        <f t="shared" si="5"/>
        <v>34.371025122483545</v>
      </c>
      <c r="Q15" s="35">
        <f t="shared" si="6"/>
        <v>-0.3284461224835411</v>
      </c>
      <c r="R15" s="35">
        <f t="shared" si="9"/>
        <v>2.8663209526642914</v>
      </c>
      <c r="S15" s="18">
        <v>61.890916250731067</v>
      </c>
      <c r="T15" s="35">
        <f t="shared" si="7"/>
        <v>33.958134560797326</v>
      </c>
      <c r="U15" s="35">
        <f t="shared" si="8"/>
        <v>8.4444439202677302E-2</v>
      </c>
      <c r="V15" s="35">
        <f t="shared" si="10"/>
        <v>0.18946921331317523</v>
      </c>
    </row>
    <row r="16" spans="1:22" ht="15" customHeight="1" x14ac:dyDescent="0.25">
      <c r="A16" s="34" t="s">
        <v>43</v>
      </c>
      <c r="B16" s="16">
        <v>1.4E-2</v>
      </c>
      <c r="C16" s="8">
        <v>1E-3</v>
      </c>
      <c r="D16" s="8">
        <v>15.646000000000001</v>
      </c>
      <c r="E16" s="8">
        <v>2.5000000000000001E-2</v>
      </c>
      <c r="F16" s="8">
        <v>0.86699999999999999</v>
      </c>
      <c r="G16" s="8">
        <v>2.1000000000000001E-2</v>
      </c>
      <c r="H16" s="8">
        <v>0.23599999999999999</v>
      </c>
      <c r="I16" s="8">
        <v>0.02</v>
      </c>
      <c r="J16" s="8">
        <v>0.12</v>
      </c>
      <c r="K16" s="38">
        <f t="shared" si="0"/>
        <v>0.186</v>
      </c>
      <c r="L16" s="38">
        <f t="shared" si="1"/>
        <v>34.227769000000002</v>
      </c>
      <c r="M16" s="29">
        <f t="shared" si="2"/>
        <v>70.07349838926153</v>
      </c>
      <c r="N16" s="29">
        <f t="shared" si="3"/>
        <v>2.154665426798858E+24</v>
      </c>
      <c r="O16" s="35">
        <f t="shared" si="4"/>
        <v>69.827950942264621</v>
      </c>
      <c r="P16" s="35">
        <f t="shared" si="5"/>
        <v>34.220146490634399</v>
      </c>
      <c r="Q16" s="35">
        <f t="shared" si="6"/>
        <v>7.6225093656034915E-3</v>
      </c>
      <c r="R16" s="35">
        <f t="shared" si="9"/>
        <v>1.6794614703639999E-3</v>
      </c>
      <c r="S16" s="18">
        <v>57.720970977752756</v>
      </c>
      <c r="T16" s="35">
        <f t="shared" si="7"/>
        <v>33.806668140757075</v>
      </c>
      <c r="U16" s="35">
        <f t="shared" si="8"/>
        <v>0.42110085924292662</v>
      </c>
      <c r="V16" s="35">
        <f t="shared" si="10"/>
        <v>5.1256195414247632</v>
      </c>
    </row>
    <row r="17" spans="1:22" ht="15" customHeight="1" x14ac:dyDescent="0.25">
      <c r="A17" s="34" t="s">
        <v>44</v>
      </c>
      <c r="B17" s="16">
        <v>1.4E-2</v>
      </c>
      <c r="C17" s="8">
        <v>0</v>
      </c>
      <c r="D17" s="8">
        <v>14.702999999999999</v>
      </c>
      <c r="E17" s="8">
        <v>3.7999999999999999E-2</v>
      </c>
      <c r="F17" s="8">
        <v>0.86699999999999999</v>
      </c>
      <c r="G17" s="8">
        <v>0.02</v>
      </c>
      <c r="H17" s="8">
        <v>-5.6000000000000001E-2</v>
      </c>
      <c r="I17" s="8">
        <v>2.4E-2</v>
      </c>
      <c r="J17" s="8">
        <v>0.12</v>
      </c>
      <c r="K17" s="38">
        <f t="shared" si="0"/>
        <v>0.20199999999999999</v>
      </c>
      <c r="L17" s="38">
        <f t="shared" si="1"/>
        <v>34.198729</v>
      </c>
      <c r="M17" s="29">
        <f t="shared" si="2"/>
        <v>69.142614888634384</v>
      </c>
      <c r="N17" s="29">
        <f t="shared" si="3"/>
        <v>2.154665426798858E+24</v>
      </c>
      <c r="O17" s="35">
        <f t="shared" si="4"/>
        <v>69.827950942264621</v>
      </c>
      <c r="P17" s="35">
        <f t="shared" si="5"/>
        <v>34.220146490634399</v>
      </c>
      <c r="Q17" s="35">
        <f t="shared" si="6"/>
        <v>-2.1417490634398462E-2</v>
      </c>
      <c r="R17" s="35">
        <f t="shared" si="9"/>
        <v>1.1241763186808791E-2</v>
      </c>
      <c r="S17" s="18">
        <v>57.720970977752756</v>
      </c>
      <c r="T17" s="35">
        <f t="shared" si="7"/>
        <v>33.806668140757075</v>
      </c>
      <c r="U17" s="35">
        <f t="shared" si="8"/>
        <v>0.39206085924292466</v>
      </c>
      <c r="V17" s="35">
        <f t="shared" si="10"/>
        <v>3.7670747316513191</v>
      </c>
    </row>
    <row r="18" spans="1:22" ht="15" customHeight="1" x14ac:dyDescent="0.25">
      <c r="A18" s="34" t="s">
        <v>45</v>
      </c>
      <c r="B18" s="16">
        <v>1.4999999999999999E-2</v>
      </c>
      <c r="C18" s="8">
        <v>0</v>
      </c>
      <c r="D18" s="8">
        <v>15.09</v>
      </c>
      <c r="E18" s="8">
        <v>3.6999999999999998E-2</v>
      </c>
      <c r="F18" s="8">
        <v>0.78700000000000003</v>
      </c>
      <c r="G18" s="8">
        <v>1.7999999999999999E-2</v>
      </c>
      <c r="H18" s="8">
        <v>-2.3E-2</v>
      </c>
      <c r="I18" s="8">
        <v>2.1000000000000001E-2</v>
      </c>
      <c r="J18" s="8">
        <v>0.12</v>
      </c>
      <c r="K18" s="38">
        <f t="shared" si="0"/>
        <v>0.19600000000000001</v>
      </c>
      <c r="L18" s="38">
        <f t="shared" si="1"/>
        <v>34.470678999999997</v>
      </c>
      <c r="M18" s="29">
        <f t="shared" si="2"/>
        <v>78.36746525124002</v>
      </c>
      <c r="N18" s="29">
        <f t="shared" si="3"/>
        <v>2.3096999742613474E+24</v>
      </c>
      <c r="O18" s="35">
        <f t="shared" si="4"/>
        <v>74.852278450341132</v>
      </c>
      <c r="P18" s="35">
        <f t="shared" si="5"/>
        <v>34.371025122483545</v>
      </c>
      <c r="Q18" s="35">
        <f t="shared" si="6"/>
        <v>9.9653877516452383E-2</v>
      </c>
      <c r="R18" s="35">
        <f t="shared" si="9"/>
        <v>0.25850935297959426</v>
      </c>
      <c r="S18" s="18">
        <v>61.890916250731067</v>
      </c>
      <c r="T18" s="35">
        <f t="shared" si="7"/>
        <v>33.958134560797326</v>
      </c>
      <c r="U18" s="35">
        <f t="shared" si="8"/>
        <v>0.51254443920267079</v>
      </c>
      <c r="V18" s="35">
        <f t="shared" si="10"/>
        <v>6.8383434547475073</v>
      </c>
    </row>
    <row r="19" spans="1:22" ht="15" customHeight="1" x14ac:dyDescent="0.25">
      <c r="A19" s="34" t="s">
        <v>46</v>
      </c>
      <c r="B19" s="16">
        <v>1.4E-2</v>
      </c>
      <c r="C19" s="8">
        <v>0</v>
      </c>
      <c r="D19" s="8">
        <v>14.409000000000001</v>
      </c>
      <c r="E19" s="8">
        <v>3.6999999999999998E-2</v>
      </c>
      <c r="F19" s="8">
        <v>1.103</v>
      </c>
      <c r="G19" s="8">
        <v>7.0000000000000001E-3</v>
      </c>
      <c r="H19" s="8">
        <v>7.4999999999999997E-2</v>
      </c>
      <c r="I19" s="8">
        <v>1.9E-2</v>
      </c>
      <c r="J19" s="8">
        <v>0.12</v>
      </c>
      <c r="K19" s="38">
        <f t="shared" si="0"/>
        <v>0.183</v>
      </c>
      <c r="L19" s="38">
        <f t="shared" si="1"/>
        <v>33.529391000000004</v>
      </c>
      <c r="M19" s="29">
        <f t="shared" si="2"/>
        <v>50.801694675579675</v>
      </c>
      <c r="N19" s="29">
        <f t="shared" si="3"/>
        <v>2.154665426798858E+24</v>
      </c>
      <c r="O19" s="35">
        <f t="shared" si="4"/>
        <v>69.827950942264621</v>
      </c>
      <c r="P19" s="35">
        <f t="shared" si="5"/>
        <v>34.220146490634399</v>
      </c>
      <c r="Q19" s="35">
        <f t="shared" si="6"/>
        <v>-0.69075549063439468</v>
      </c>
      <c r="R19" s="35">
        <f t="shared" si="9"/>
        <v>14.247757408150836</v>
      </c>
      <c r="S19" s="18">
        <v>57.720970977752756</v>
      </c>
      <c r="T19" s="35">
        <f t="shared" si="7"/>
        <v>33.806668140757075</v>
      </c>
      <c r="U19" s="35">
        <f t="shared" si="8"/>
        <v>-0.27727714075707155</v>
      </c>
      <c r="V19" s="35">
        <f t="shared" si="10"/>
        <v>2.2957571974802731</v>
      </c>
    </row>
    <row r="20" spans="1:22" ht="15" customHeight="1" x14ac:dyDescent="0.25">
      <c r="A20" s="34" t="s">
        <v>47</v>
      </c>
      <c r="B20" s="16">
        <v>1.6E-2</v>
      </c>
      <c r="C20" s="8">
        <v>0</v>
      </c>
      <c r="D20" s="8">
        <v>14.728</v>
      </c>
      <c r="E20" s="8">
        <v>2.1999999999999999E-2</v>
      </c>
      <c r="F20" s="8">
        <v>1.1200000000000001</v>
      </c>
      <c r="G20" s="8">
        <v>7.0000000000000001E-3</v>
      </c>
      <c r="H20" s="8">
        <v>-5.1999999999999998E-2</v>
      </c>
      <c r="I20" s="8">
        <v>1.7999999999999999E-2</v>
      </c>
      <c r="J20" s="8">
        <v>0.12</v>
      </c>
      <c r="K20" s="38">
        <f t="shared" si="0"/>
        <v>0.16699999999999998</v>
      </c>
      <c r="L20" s="38">
        <f t="shared" si="1"/>
        <v>34.248400000000004</v>
      </c>
      <c r="M20" s="29">
        <f t="shared" si="2"/>
        <v>70.742434278278921</v>
      </c>
      <c r="N20" s="29">
        <f t="shared" si="3"/>
        <v>2.4648839759724769E+24</v>
      </c>
      <c r="O20" s="35">
        <f t="shared" si="4"/>
        <v>79.881449440757095</v>
      </c>
      <c r="P20" s="35">
        <f t="shared" si="5"/>
        <v>34.512229682496312</v>
      </c>
      <c r="Q20" s="35">
        <f t="shared" si="6"/>
        <v>-0.26382968249630778</v>
      </c>
      <c r="R20" s="35">
        <f t="shared" si="9"/>
        <v>2.4958263604325213</v>
      </c>
      <c r="S20" s="18">
        <v>66.067095156055515</v>
      </c>
      <c r="T20" s="35">
        <f t="shared" si="7"/>
        <v>34.099926060647491</v>
      </c>
      <c r="U20" s="35">
        <f t="shared" si="8"/>
        <v>0.14847393935251318</v>
      </c>
      <c r="V20" s="35">
        <f t="shared" si="10"/>
        <v>0.79043747236737671</v>
      </c>
    </row>
    <row r="21" spans="1:22" x14ac:dyDescent="0.25">
      <c r="A21" s="34" t="s">
        <v>48</v>
      </c>
      <c r="B21" s="16">
        <v>1.4E-2</v>
      </c>
      <c r="C21" s="8">
        <v>0</v>
      </c>
      <c r="D21" s="8">
        <v>14.499000000000001</v>
      </c>
      <c r="E21" s="8">
        <v>2.5999999999999999E-2</v>
      </c>
      <c r="F21" s="8">
        <v>0.95899999999999996</v>
      </c>
      <c r="G21" s="8">
        <v>1.7999999999999999E-2</v>
      </c>
      <c r="H21" s="8">
        <v>-8.6999999999999994E-2</v>
      </c>
      <c r="I21" s="8">
        <v>2.3E-2</v>
      </c>
      <c r="J21" s="8">
        <v>0.12</v>
      </c>
      <c r="K21" s="38">
        <f t="shared" si="0"/>
        <v>0.187</v>
      </c>
      <c r="L21" s="38">
        <f t="shared" si="1"/>
        <v>34.105283</v>
      </c>
      <c r="M21" s="29">
        <f t="shared" si="2"/>
        <v>66.230281356335922</v>
      </c>
      <c r="N21" s="29">
        <f t="shared" si="3"/>
        <v>2.154665426798858E+24</v>
      </c>
      <c r="O21" s="35">
        <f t="shared" si="4"/>
        <v>69.827950942264621</v>
      </c>
      <c r="P21" s="35">
        <f t="shared" si="5"/>
        <v>34.220146490634399</v>
      </c>
      <c r="Q21" s="35">
        <f t="shared" si="6"/>
        <v>-0.1148634906343986</v>
      </c>
      <c r="R21" s="35">
        <f t="shared" si="9"/>
        <v>0.37729478911946512</v>
      </c>
      <c r="S21" s="18">
        <v>57.720970977752756</v>
      </c>
      <c r="T21" s="35">
        <f t="shared" si="7"/>
        <v>33.806668140757075</v>
      </c>
      <c r="U21" s="35">
        <f t="shared" si="8"/>
        <v>0.29861485924292452</v>
      </c>
      <c r="V21" s="35">
        <f t="shared" si="10"/>
        <v>2.5499966873708604</v>
      </c>
    </row>
    <row r="22" spans="1:22" x14ac:dyDescent="0.25">
      <c r="A22" s="34" t="s">
        <v>49</v>
      </c>
      <c r="B22" s="16">
        <v>1.4E-2</v>
      </c>
      <c r="C22" s="8">
        <v>0</v>
      </c>
      <c r="D22" s="8">
        <v>15.317</v>
      </c>
      <c r="E22" s="8">
        <v>2.9000000000000001E-2</v>
      </c>
      <c r="F22" s="8">
        <v>0.89900000000000002</v>
      </c>
      <c r="G22" s="8">
        <v>0.01</v>
      </c>
      <c r="H22" s="8">
        <v>0.18</v>
      </c>
      <c r="I22" s="8">
        <v>2.1999999999999999E-2</v>
      </c>
      <c r="J22" s="8">
        <v>0.12</v>
      </c>
      <c r="K22" s="38">
        <f t="shared" si="0"/>
        <v>0.18099999999999999</v>
      </c>
      <c r="L22" s="38">
        <f t="shared" si="1"/>
        <v>34.078752999999999</v>
      </c>
      <c r="M22" s="29">
        <f t="shared" si="2"/>
        <v>65.426034752892662</v>
      </c>
      <c r="N22" s="29">
        <f t="shared" si="3"/>
        <v>2.154665426798858E+24</v>
      </c>
      <c r="O22" s="35">
        <f t="shared" si="4"/>
        <v>69.827950942264621</v>
      </c>
      <c r="P22" s="35">
        <f t="shared" si="5"/>
        <v>34.220146490634399</v>
      </c>
      <c r="Q22" s="35">
        <f t="shared" si="6"/>
        <v>-0.14139349063439965</v>
      </c>
      <c r="R22" s="35">
        <f t="shared" si="9"/>
        <v>0.61024142101218115</v>
      </c>
      <c r="S22" s="18">
        <v>57.720970977752756</v>
      </c>
      <c r="T22" s="35">
        <f t="shared" si="7"/>
        <v>33.806668140757075</v>
      </c>
      <c r="U22" s="35">
        <f t="shared" si="8"/>
        <v>0.27208485924292347</v>
      </c>
      <c r="V22" s="35">
        <f t="shared" si="10"/>
        <v>2.25970424068989</v>
      </c>
    </row>
    <row r="23" spans="1:22" x14ac:dyDescent="0.25">
      <c r="A23" s="34" t="s">
        <v>50</v>
      </c>
      <c r="B23" s="16">
        <v>1.4999999999999999E-2</v>
      </c>
      <c r="C23" s="8">
        <v>0</v>
      </c>
      <c r="D23" s="8">
        <v>14.842000000000001</v>
      </c>
      <c r="E23" s="8">
        <v>3.9E-2</v>
      </c>
      <c r="F23" s="8">
        <v>0.83799999999999997</v>
      </c>
      <c r="G23" s="8">
        <v>0.01</v>
      </c>
      <c r="H23" s="8">
        <v>-0.08</v>
      </c>
      <c r="I23" s="8">
        <v>2.1000000000000001E-2</v>
      </c>
      <c r="J23" s="8">
        <v>0.12</v>
      </c>
      <c r="K23" s="38">
        <f t="shared" si="0"/>
        <v>0.19</v>
      </c>
      <c r="L23" s="38">
        <f t="shared" si="1"/>
        <v>34.408586</v>
      </c>
      <c r="M23" s="29">
        <f t="shared" si="2"/>
        <v>76.158292776011223</v>
      </c>
      <c r="N23" s="29">
        <f t="shared" si="3"/>
        <v>2.3096999742613474E+24</v>
      </c>
      <c r="O23" s="35">
        <f t="shared" si="4"/>
        <v>74.852278450341132</v>
      </c>
      <c r="P23" s="35">
        <f t="shared" si="5"/>
        <v>34.371025122483545</v>
      </c>
      <c r="Q23" s="35">
        <f t="shared" si="6"/>
        <v>3.7560877516455093E-2</v>
      </c>
      <c r="R23" s="35">
        <f t="shared" si="9"/>
        <v>3.9080873124823869E-2</v>
      </c>
      <c r="S23" s="18">
        <v>61.890916250731067</v>
      </c>
      <c r="T23" s="35">
        <f t="shared" si="7"/>
        <v>33.958134560797326</v>
      </c>
      <c r="U23" s="35">
        <f t="shared" si="8"/>
        <v>0.4504514392026735</v>
      </c>
      <c r="V23" s="35">
        <f t="shared" si="10"/>
        <v>5.6206786448686943</v>
      </c>
    </row>
    <row r="24" spans="1:22" x14ac:dyDescent="0.25">
      <c r="A24" s="34" t="s">
        <v>51</v>
      </c>
      <c r="B24" s="16">
        <v>1.4E-2</v>
      </c>
      <c r="C24" s="8">
        <v>0</v>
      </c>
      <c r="D24" s="8">
        <v>14.881</v>
      </c>
      <c r="E24" s="8">
        <v>2.8000000000000001E-2</v>
      </c>
      <c r="F24" s="8">
        <v>0.99099999999999999</v>
      </c>
      <c r="G24" s="8">
        <v>2.3E-2</v>
      </c>
      <c r="H24" s="8">
        <v>8.5999999999999993E-2</v>
      </c>
      <c r="I24" s="8">
        <v>2.7E-2</v>
      </c>
      <c r="J24" s="8">
        <v>0.12</v>
      </c>
      <c r="K24" s="38">
        <f t="shared" si="0"/>
        <v>0.19800000000000001</v>
      </c>
      <c r="L24" s="38">
        <f t="shared" si="1"/>
        <v>33.950496999999999</v>
      </c>
      <c r="M24" s="29">
        <f t="shared" si="2"/>
        <v>61.673614240126895</v>
      </c>
      <c r="N24" s="29">
        <f t="shared" si="3"/>
        <v>2.154665426798858E+24</v>
      </c>
      <c r="O24" s="35">
        <f t="shared" si="4"/>
        <v>69.827950942264621</v>
      </c>
      <c r="P24" s="35">
        <f t="shared" si="5"/>
        <v>34.220146490634399</v>
      </c>
      <c r="Q24" s="35">
        <f t="shared" si="6"/>
        <v>-0.26964949063440002</v>
      </c>
      <c r="R24" s="35">
        <f t="shared" si="9"/>
        <v>1.8546793133198494</v>
      </c>
      <c r="S24" s="18">
        <v>57.720970977752756</v>
      </c>
      <c r="T24" s="35">
        <f t="shared" si="7"/>
        <v>33.806668140757075</v>
      </c>
      <c r="U24" s="35">
        <f t="shared" si="8"/>
        <v>0.1438288592429231</v>
      </c>
      <c r="V24" s="35">
        <f t="shared" si="10"/>
        <v>0.52766913455567244</v>
      </c>
    </row>
    <row r="25" spans="1:22" x14ac:dyDescent="0.25">
      <c r="A25" s="34" t="s">
        <v>52</v>
      </c>
      <c r="B25" s="16">
        <v>1.6E-2</v>
      </c>
      <c r="C25" s="8">
        <v>0</v>
      </c>
      <c r="D25" s="8">
        <v>14.596</v>
      </c>
      <c r="E25" s="8">
        <v>2.4E-2</v>
      </c>
      <c r="F25" s="8">
        <v>1.111</v>
      </c>
      <c r="G25" s="8">
        <v>1.2E-2</v>
      </c>
      <c r="H25" s="8">
        <v>2.5000000000000001E-2</v>
      </c>
      <c r="I25" s="8">
        <v>0.02</v>
      </c>
      <c r="J25" s="8">
        <v>0.12</v>
      </c>
      <c r="K25" s="38">
        <f t="shared" si="0"/>
        <v>0.17599999999999999</v>
      </c>
      <c r="L25" s="38">
        <f t="shared" si="1"/>
        <v>33.874066999999997</v>
      </c>
      <c r="M25" s="29">
        <f t="shared" si="2"/>
        <v>59.540626489037528</v>
      </c>
      <c r="N25" s="29">
        <f t="shared" si="3"/>
        <v>2.4648839759724769E+24</v>
      </c>
      <c r="O25" s="35">
        <f t="shared" si="4"/>
        <v>79.881449440757095</v>
      </c>
      <c r="P25" s="35">
        <f t="shared" si="5"/>
        <v>34.512229682496312</v>
      </c>
      <c r="Q25" s="35">
        <f t="shared" si="6"/>
        <v>-0.63816268249631491</v>
      </c>
      <c r="R25" s="35">
        <f t="shared" si="9"/>
        <v>13.147327264039658</v>
      </c>
      <c r="S25" s="18">
        <v>66.067095156055515</v>
      </c>
      <c r="T25" s="35">
        <f t="shared" si="7"/>
        <v>34.099926060647491</v>
      </c>
      <c r="U25" s="35">
        <f t="shared" si="8"/>
        <v>-0.22585906064749395</v>
      </c>
      <c r="V25" s="35">
        <f t="shared" si="10"/>
        <v>1.6468335251991333</v>
      </c>
    </row>
    <row r="26" spans="1:22" x14ac:dyDescent="0.25">
      <c r="A26" s="34" t="s">
        <v>53</v>
      </c>
      <c r="B26" s="16">
        <v>1.4999999999999999E-2</v>
      </c>
      <c r="C26" s="8">
        <v>0</v>
      </c>
      <c r="D26" s="8">
        <v>15.502000000000001</v>
      </c>
      <c r="E26" s="8">
        <v>4.2999999999999997E-2</v>
      </c>
      <c r="F26" s="8">
        <v>0.93300000000000005</v>
      </c>
      <c r="G26" s="8">
        <v>8.0000000000000002E-3</v>
      </c>
      <c r="H26" s="8">
        <v>0.17599999999999999</v>
      </c>
      <c r="I26" s="8">
        <v>2.1000000000000001E-2</v>
      </c>
      <c r="J26" s="8">
        <v>0.12</v>
      </c>
      <c r="K26" s="38">
        <f t="shared" si="0"/>
        <v>0.192</v>
      </c>
      <c r="L26" s="38">
        <f t="shared" si="1"/>
        <v>34.281271000000004</v>
      </c>
      <c r="M26" s="29">
        <f t="shared" si="2"/>
        <v>71.821455154709071</v>
      </c>
      <c r="N26" s="29">
        <f t="shared" si="3"/>
        <v>2.3096999742613474E+24</v>
      </c>
      <c r="O26" s="35">
        <f t="shared" si="4"/>
        <v>74.852278450341132</v>
      </c>
      <c r="P26" s="35">
        <f t="shared" si="5"/>
        <v>34.371025122483545</v>
      </c>
      <c r="Q26" s="35">
        <f t="shared" si="6"/>
        <v>-8.9754122483540755E-2</v>
      </c>
      <c r="R26" s="35">
        <f t="shared" si="9"/>
        <v>0.21852762865642461</v>
      </c>
      <c r="S26" s="18">
        <v>61.890916250731067</v>
      </c>
      <c r="T26" s="35">
        <f t="shared" si="7"/>
        <v>33.958134560797326</v>
      </c>
      <c r="U26" s="35">
        <f t="shared" si="8"/>
        <v>0.32313643920267765</v>
      </c>
      <c r="V26" s="35">
        <f t="shared" si="10"/>
        <v>2.8324966997771752</v>
      </c>
    </row>
    <row r="27" spans="1:22" x14ac:dyDescent="0.25">
      <c r="A27" s="34" t="s">
        <v>54</v>
      </c>
      <c r="B27" s="16">
        <v>1.4999999999999999E-2</v>
      </c>
      <c r="C27" s="8">
        <v>0</v>
      </c>
      <c r="D27" s="8">
        <v>14.801</v>
      </c>
      <c r="E27" s="8">
        <v>2.9000000000000001E-2</v>
      </c>
      <c r="F27" s="8">
        <v>1.0309999999999999</v>
      </c>
      <c r="G27" s="8">
        <v>3.3000000000000002E-2</v>
      </c>
      <c r="H27" s="8">
        <v>-3.6999999999999998E-2</v>
      </c>
      <c r="I27" s="8">
        <v>2.5999999999999999E-2</v>
      </c>
      <c r="J27" s="8">
        <v>0.12</v>
      </c>
      <c r="K27" s="38">
        <f t="shared" si="0"/>
        <v>0.20799999999999999</v>
      </c>
      <c r="L27" s="38">
        <f t="shared" si="1"/>
        <v>34.261367</v>
      </c>
      <c r="M27" s="29">
        <f t="shared" si="2"/>
        <v>71.166138255333365</v>
      </c>
      <c r="N27" s="29">
        <f t="shared" si="3"/>
        <v>2.3096999742613474E+24</v>
      </c>
      <c r="O27" s="35">
        <f t="shared" si="4"/>
        <v>74.852278450341132</v>
      </c>
      <c r="P27" s="35">
        <f t="shared" si="5"/>
        <v>34.371025122483545</v>
      </c>
      <c r="Q27" s="35">
        <f t="shared" si="6"/>
        <v>-0.10965812248354467</v>
      </c>
      <c r="R27" s="35">
        <f t="shared" si="9"/>
        <v>0.27794248859597093</v>
      </c>
      <c r="S27" s="18">
        <v>61.890916250731067</v>
      </c>
      <c r="T27" s="35">
        <f t="shared" si="7"/>
        <v>33.958134560797326</v>
      </c>
      <c r="U27" s="35">
        <f t="shared" si="8"/>
        <v>0.30323243920267373</v>
      </c>
      <c r="V27" s="35">
        <f t="shared" si="10"/>
        <v>2.125321564922412</v>
      </c>
    </row>
    <row r="28" spans="1:22" x14ac:dyDescent="0.25">
      <c r="A28" s="34" t="s">
        <v>55</v>
      </c>
      <c r="B28" s="16">
        <v>1.6E-2</v>
      </c>
      <c r="C28" s="8">
        <v>0</v>
      </c>
      <c r="D28" s="8">
        <v>15.083</v>
      </c>
      <c r="E28" s="8">
        <v>3.4000000000000002E-2</v>
      </c>
      <c r="F28" s="8">
        <v>1.0069999999999999</v>
      </c>
      <c r="G28" s="8">
        <v>1.4999999999999999E-2</v>
      </c>
      <c r="H28" s="8">
        <v>7.0999999999999994E-2</v>
      </c>
      <c r="I28" s="8">
        <v>2.1000000000000001E-2</v>
      </c>
      <c r="J28" s="8">
        <v>0.12</v>
      </c>
      <c r="K28" s="38">
        <f t="shared" si="0"/>
        <v>0.19</v>
      </c>
      <c r="L28" s="38">
        <f t="shared" si="1"/>
        <v>34.201799000000001</v>
      </c>
      <c r="M28" s="29">
        <f t="shared" si="2"/>
        <v>69.240436969306231</v>
      </c>
      <c r="N28" s="29">
        <f t="shared" si="3"/>
        <v>2.4648839759724769E+24</v>
      </c>
      <c r="O28" s="35">
        <f t="shared" si="4"/>
        <v>79.881449440757095</v>
      </c>
      <c r="P28" s="35">
        <f t="shared" si="5"/>
        <v>34.512229682496312</v>
      </c>
      <c r="Q28" s="35">
        <f t="shared" si="6"/>
        <v>-0.31043068249631034</v>
      </c>
      <c r="R28" s="35">
        <f t="shared" si="9"/>
        <v>2.6694517627458456</v>
      </c>
      <c r="S28" s="18">
        <v>66.067095156055515</v>
      </c>
      <c r="T28" s="35">
        <f t="shared" si="7"/>
        <v>34.099926060647491</v>
      </c>
      <c r="U28" s="35">
        <f t="shared" si="8"/>
        <v>0.10187293935251063</v>
      </c>
      <c r="V28" s="35">
        <f t="shared" si="10"/>
        <v>0.28748187734959302</v>
      </c>
    </row>
    <row r="29" spans="1:22" x14ac:dyDescent="0.25">
      <c r="A29" s="34" t="s">
        <v>56</v>
      </c>
      <c r="B29" s="16">
        <v>1.4999999999999999E-2</v>
      </c>
      <c r="C29" s="8">
        <v>1E-3</v>
      </c>
      <c r="D29" s="8">
        <v>15.305999999999999</v>
      </c>
      <c r="E29" s="8">
        <v>3.1E-2</v>
      </c>
      <c r="F29" s="8">
        <v>0.93300000000000005</v>
      </c>
      <c r="G29" s="8">
        <v>0.02</v>
      </c>
      <c r="H29" s="8">
        <v>0.14499999999999999</v>
      </c>
      <c r="I29" s="8">
        <v>0.02</v>
      </c>
      <c r="J29" s="8">
        <v>0.12</v>
      </c>
      <c r="K29" s="38">
        <f t="shared" si="0"/>
        <v>0.191</v>
      </c>
      <c r="L29" s="38">
        <f t="shared" si="1"/>
        <v>34.182301000000002</v>
      </c>
      <c r="M29" s="29">
        <f t="shared" si="2"/>
        <v>68.621498880735416</v>
      </c>
      <c r="N29" s="29">
        <f t="shared" si="3"/>
        <v>2.3096999742613474E+24</v>
      </c>
      <c r="O29" s="35">
        <f t="shared" si="4"/>
        <v>74.852278450341132</v>
      </c>
      <c r="P29" s="35">
        <f t="shared" si="5"/>
        <v>34.371025122483545</v>
      </c>
      <c r="Q29" s="35">
        <f t="shared" si="6"/>
        <v>-0.18872412248354209</v>
      </c>
      <c r="R29" s="35">
        <f t="shared" si="9"/>
        <v>0.97631080308058982</v>
      </c>
      <c r="S29" s="18">
        <v>61.890916250731067</v>
      </c>
      <c r="T29" s="35">
        <f t="shared" si="7"/>
        <v>33.958134560797326</v>
      </c>
      <c r="U29" s="35">
        <f t="shared" si="8"/>
        <v>0.22416643920267632</v>
      </c>
      <c r="V29" s="35">
        <f t="shared" si="10"/>
        <v>1.3774455871496718</v>
      </c>
    </row>
    <row r="30" spans="1:22" x14ac:dyDescent="0.25">
      <c r="A30" s="34" t="s">
        <v>57</v>
      </c>
      <c r="B30" s="16">
        <v>1.4999999999999999E-2</v>
      </c>
      <c r="C30" s="8">
        <v>0</v>
      </c>
      <c r="D30" s="8">
        <v>14.718999999999999</v>
      </c>
      <c r="E30" s="8">
        <v>3.9E-2</v>
      </c>
      <c r="F30" s="8">
        <v>1.1000000000000001</v>
      </c>
      <c r="G30" s="8">
        <v>3.4000000000000002E-2</v>
      </c>
      <c r="H30" s="8">
        <v>0</v>
      </c>
      <c r="I30" s="8">
        <v>2.1999999999999999E-2</v>
      </c>
      <c r="J30" s="8">
        <v>0.12</v>
      </c>
      <c r="K30" s="38">
        <f t="shared" si="0"/>
        <v>0.215</v>
      </c>
      <c r="L30" s="38">
        <f t="shared" si="1"/>
        <v>34.073700000000002</v>
      </c>
      <c r="M30" s="29">
        <f t="shared" si="2"/>
        <v>65.273965861250986</v>
      </c>
      <c r="N30" s="29">
        <f t="shared" si="3"/>
        <v>2.3096999742613474E+24</v>
      </c>
      <c r="O30" s="35">
        <f t="shared" si="4"/>
        <v>74.852278450341132</v>
      </c>
      <c r="P30" s="35">
        <f t="shared" si="5"/>
        <v>34.371025122483545</v>
      </c>
      <c r="Q30" s="35">
        <f t="shared" si="6"/>
        <v>-0.29732512248354226</v>
      </c>
      <c r="R30" s="35">
        <f t="shared" si="9"/>
        <v>1.9124332819870939</v>
      </c>
      <c r="S30" s="18">
        <v>61.890916250731067</v>
      </c>
      <c r="T30" s="35">
        <f t="shared" si="7"/>
        <v>33.958134560797326</v>
      </c>
      <c r="U30" s="35">
        <f t="shared" si="8"/>
        <v>0.11556543920267615</v>
      </c>
      <c r="V30" s="35">
        <f t="shared" si="10"/>
        <v>0.28892094620026909</v>
      </c>
    </row>
    <row r="31" spans="1:22" x14ac:dyDescent="0.25">
      <c r="A31" s="34" t="s">
        <v>58</v>
      </c>
      <c r="B31" s="16">
        <v>1.4999999999999999E-2</v>
      </c>
      <c r="C31" s="8">
        <v>0</v>
      </c>
      <c r="D31" s="8">
        <v>15.103999999999999</v>
      </c>
      <c r="E31" s="8">
        <v>3.5999999999999997E-2</v>
      </c>
      <c r="F31" s="8">
        <v>0.88</v>
      </c>
      <c r="G31" s="8">
        <v>5.0000000000000001E-3</v>
      </c>
      <c r="H31" s="8">
        <v>5.8000000000000003E-2</v>
      </c>
      <c r="I31" s="8">
        <v>1.9E-2</v>
      </c>
      <c r="J31" s="8">
        <v>0.12</v>
      </c>
      <c r="K31" s="38">
        <f t="shared" si="0"/>
        <v>0.18</v>
      </c>
      <c r="L31" s="38">
        <f t="shared" si="1"/>
        <v>34.244819999999997</v>
      </c>
      <c r="M31" s="29">
        <f t="shared" si="2"/>
        <v>70.625900786377059</v>
      </c>
      <c r="N31" s="29">
        <f t="shared" si="3"/>
        <v>2.3096999742613474E+24</v>
      </c>
      <c r="O31" s="35">
        <f t="shared" si="4"/>
        <v>74.852278450341132</v>
      </c>
      <c r="P31" s="35">
        <f t="shared" si="5"/>
        <v>34.371025122483545</v>
      </c>
      <c r="Q31" s="35">
        <f t="shared" si="6"/>
        <v>-0.12620512248354743</v>
      </c>
      <c r="R31" s="35">
        <f t="shared" si="9"/>
        <v>0.4915966957125682</v>
      </c>
      <c r="S31" s="18">
        <v>61.890916250731067</v>
      </c>
      <c r="T31" s="35">
        <f t="shared" si="7"/>
        <v>33.958134560797326</v>
      </c>
      <c r="U31" s="35">
        <f t="shared" si="8"/>
        <v>0.28668543920267098</v>
      </c>
      <c r="V31" s="35">
        <f t="shared" si="10"/>
        <v>2.5366833657663075</v>
      </c>
    </row>
    <row r="32" spans="1:22" x14ac:dyDescent="0.25">
      <c r="A32" s="34" t="s">
        <v>59</v>
      </c>
      <c r="B32" s="16">
        <v>1.6E-2</v>
      </c>
      <c r="C32" s="8">
        <v>1E-3</v>
      </c>
      <c r="D32" s="8">
        <v>14.676</v>
      </c>
      <c r="E32" s="8">
        <v>5.1999999999999998E-2</v>
      </c>
      <c r="F32" s="8">
        <v>1.0009999999999999</v>
      </c>
      <c r="G32" s="8">
        <v>8.9999999999999993E-3</v>
      </c>
      <c r="H32" s="8">
        <v>-0.107</v>
      </c>
      <c r="I32" s="8">
        <v>0.02</v>
      </c>
      <c r="J32" s="8">
        <v>0.12</v>
      </c>
      <c r="K32" s="38">
        <f t="shared" si="0"/>
        <v>0.20100000000000001</v>
      </c>
      <c r="L32" s="38">
        <f t="shared" si="1"/>
        <v>34.351056999999997</v>
      </c>
      <c r="M32" s="29">
        <f t="shared" si="2"/>
        <v>74.167117412195594</v>
      </c>
      <c r="N32" s="29">
        <f t="shared" si="3"/>
        <v>2.4648839759724769E+24</v>
      </c>
      <c r="O32" s="35">
        <f t="shared" si="4"/>
        <v>79.881449440757095</v>
      </c>
      <c r="P32" s="35">
        <f t="shared" si="5"/>
        <v>34.512229682496312</v>
      </c>
      <c r="Q32" s="35">
        <f t="shared" si="6"/>
        <v>-0.16117268249631422</v>
      </c>
      <c r="R32" s="35">
        <f t="shared" si="9"/>
        <v>0.64297006467804529</v>
      </c>
      <c r="S32" s="18">
        <v>66.067095156055515</v>
      </c>
      <c r="T32" s="35">
        <f t="shared" si="7"/>
        <v>34.099926060647491</v>
      </c>
      <c r="U32" s="35">
        <f t="shared" si="8"/>
        <v>0.25113093935250674</v>
      </c>
      <c r="V32" s="35">
        <f t="shared" si="10"/>
        <v>1.5610194970439448</v>
      </c>
    </row>
    <row r="33" spans="1:22" x14ac:dyDescent="0.25">
      <c r="A33" s="34" t="s">
        <v>60</v>
      </c>
      <c r="B33" s="16">
        <v>1.4999999999999999E-2</v>
      </c>
      <c r="C33" s="8">
        <v>0</v>
      </c>
      <c r="D33" s="8">
        <v>15.095000000000001</v>
      </c>
      <c r="E33" s="8">
        <v>7.6999999999999999E-2</v>
      </c>
      <c r="F33" s="8">
        <v>0.877</v>
      </c>
      <c r="G33" s="8">
        <v>8.6999999999999994E-2</v>
      </c>
      <c r="H33" s="8">
        <v>3.7999999999999999E-2</v>
      </c>
      <c r="I33" s="8">
        <v>2.5000000000000001E-2</v>
      </c>
      <c r="J33" s="8">
        <v>0.12</v>
      </c>
      <c r="K33" s="38">
        <f t="shared" si="0"/>
        <v>0.30899999999999994</v>
      </c>
      <c r="L33" s="38">
        <f t="shared" si="1"/>
        <v>34.297978999999998</v>
      </c>
      <c r="M33" s="29">
        <f t="shared" si="2"/>
        <v>72.376203764123289</v>
      </c>
      <c r="N33" s="29">
        <f t="shared" si="3"/>
        <v>2.3096999742613474E+24</v>
      </c>
      <c r="O33" s="35">
        <f t="shared" si="4"/>
        <v>74.852278450341132</v>
      </c>
      <c r="P33" s="35">
        <f t="shared" si="5"/>
        <v>34.371025122483545</v>
      </c>
      <c r="Q33" s="35">
        <f t="shared" si="6"/>
        <v>-7.3046122483546583E-2</v>
      </c>
      <c r="R33" s="35">
        <f t="shared" si="9"/>
        <v>5.588269927924186E-2</v>
      </c>
      <c r="S33" s="18">
        <v>61.890916250731067</v>
      </c>
      <c r="T33" s="35">
        <f t="shared" si="7"/>
        <v>33.958134560797326</v>
      </c>
      <c r="U33" s="35">
        <f t="shared" si="8"/>
        <v>0.33984443920267182</v>
      </c>
      <c r="V33" s="35">
        <f t="shared" si="10"/>
        <v>1.2096044538387589</v>
      </c>
    </row>
    <row r="34" spans="1:22" x14ac:dyDescent="0.25">
      <c r="A34" s="34" t="s">
        <v>61</v>
      </c>
      <c r="B34" s="16">
        <v>1.6E-2</v>
      </c>
      <c r="C34" s="8">
        <v>0</v>
      </c>
      <c r="D34" s="8">
        <v>15.734999999999999</v>
      </c>
      <c r="E34" s="8">
        <v>3.5000000000000003E-2</v>
      </c>
      <c r="F34" s="8">
        <v>0.84099999999999997</v>
      </c>
      <c r="G34" s="8">
        <v>0.03</v>
      </c>
      <c r="H34" s="8">
        <v>0.123</v>
      </c>
      <c r="I34" s="8">
        <v>2.3E-2</v>
      </c>
      <c r="J34" s="8">
        <v>0.12</v>
      </c>
      <c r="K34" s="38">
        <f t="shared" si="0"/>
        <v>0.20799999999999999</v>
      </c>
      <c r="L34" s="38">
        <f t="shared" si="1"/>
        <v>34.666637000000001</v>
      </c>
      <c r="M34" s="29">
        <f t="shared" si="2"/>
        <v>85.76841808253829</v>
      </c>
      <c r="N34" s="29">
        <f t="shared" si="3"/>
        <v>2.4648839759724769E+24</v>
      </c>
      <c r="O34" s="35">
        <f t="shared" si="4"/>
        <v>79.881449440757095</v>
      </c>
      <c r="P34" s="35">
        <f t="shared" si="5"/>
        <v>34.512229682496312</v>
      </c>
      <c r="Q34" s="35">
        <f t="shared" si="6"/>
        <v>0.15440731750368997</v>
      </c>
      <c r="R34" s="35">
        <f t="shared" si="9"/>
        <v>0.55107294052064826</v>
      </c>
      <c r="S34" s="18">
        <v>66.067095156055515</v>
      </c>
      <c r="T34" s="35">
        <f t="shared" si="7"/>
        <v>34.099926060647491</v>
      </c>
      <c r="U34" s="35">
        <f t="shared" si="8"/>
        <v>0.56671093935251093</v>
      </c>
      <c r="V34" s="35">
        <f t="shared" si="10"/>
        <v>7.4232916231001607</v>
      </c>
    </row>
    <row r="35" spans="1:22" x14ac:dyDescent="0.25">
      <c r="A35" s="34" t="s">
        <v>62</v>
      </c>
      <c r="B35" s="16">
        <v>1.7000000000000001E-2</v>
      </c>
      <c r="C35" s="8">
        <v>0</v>
      </c>
      <c r="D35" s="8">
        <v>15.353</v>
      </c>
      <c r="E35" s="8">
        <v>4.8000000000000001E-2</v>
      </c>
      <c r="F35" s="8">
        <v>1.0640000000000001</v>
      </c>
      <c r="G35" s="8">
        <v>0.04</v>
      </c>
      <c r="H35" s="8">
        <v>0.16200000000000001</v>
      </c>
      <c r="I35" s="8">
        <v>2.5999999999999999E-2</v>
      </c>
      <c r="J35" s="8">
        <v>0.12</v>
      </c>
      <c r="K35" s="38">
        <f t="shared" si="0"/>
        <v>0.23399999999999999</v>
      </c>
      <c r="L35" s="38">
        <f t="shared" si="1"/>
        <v>34.195348000000003</v>
      </c>
      <c r="M35" s="29">
        <f t="shared" si="2"/>
        <v>69.035043048196584</v>
      </c>
      <c r="N35" s="29">
        <f t="shared" si="3"/>
        <v>2.620217209640354E+24</v>
      </c>
      <c r="O35" s="35">
        <f t="shared" si="4"/>
        <v>84.915456709522914</v>
      </c>
      <c r="P35" s="35">
        <f t="shared" si="5"/>
        <v>34.644933748785888</v>
      </c>
      <c r="Q35" s="35">
        <f t="shared" si="6"/>
        <v>-0.44958574878588564</v>
      </c>
      <c r="R35" s="35">
        <f t="shared" si="9"/>
        <v>3.6914191232260483</v>
      </c>
      <c r="S35" s="18">
        <v>70.249501035104061</v>
      </c>
      <c r="T35" s="35">
        <f t="shared" si="7"/>
        <v>34.2332162195069</v>
      </c>
      <c r="U35" s="35">
        <f t="shared" si="8"/>
        <v>-3.786821950689756E-2</v>
      </c>
      <c r="V35" s="35">
        <f t="shared" si="10"/>
        <v>2.6188948217959258E-2</v>
      </c>
    </row>
    <row r="36" spans="1:22" x14ac:dyDescent="0.25">
      <c r="A36" s="34" t="s">
        <v>63</v>
      </c>
      <c r="B36" s="16">
        <v>1.7000000000000001E-2</v>
      </c>
      <c r="C36" s="8">
        <v>0</v>
      </c>
      <c r="D36" s="8">
        <v>14.984</v>
      </c>
      <c r="E36" s="8">
        <v>2.7E-2</v>
      </c>
      <c r="F36" s="8">
        <v>1.0009999999999999</v>
      </c>
      <c r="G36" s="8">
        <v>8.0000000000000002E-3</v>
      </c>
      <c r="H36" s="8">
        <v>-9.0999999999999998E-2</v>
      </c>
      <c r="I36" s="8">
        <v>1.9E-2</v>
      </c>
      <c r="J36" s="8">
        <v>0.12</v>
      </c>
      <c r="K36" s="38">
        <f t="shared" si="0"/>
        <v>0.17399999999999999</v>
      </c>
      <c r="L36" s="38">
        <f t="shared" si="1"/>
        <v>34.608976999999996</v>
      </c>
      <c r="M36" s="29">
        <f t="shared" si="2"/>
        <v>83.520945091792626</v>
      </c>
      <c r="N36" s="29">
        <f t="shared" si="3"/>
        <v>2.620217209640354E+24</v>
      </c>
      <c r="O36" s="35">
        <f t="shared" si="4"/>
        <v>84.915456709522914</v>
      </c>
      <c r="P36" s="35">
        <f t="shared" si="5"/>
        <v>34.644933748785888</v>
      </c>
      <c r="Q36" s="35">
        <f t="shared" si="6"/>
        <v>-3.5956748785892501E-2</v>
      </c>
      <c r="R36" s="35">
        <f t="shared" si="9"/>
        <v>4.2703388269645322E-2</v>
      </c>
      <c r="S36" s="18">
        <v>70.249501035104061</v>
      </c>
      <c r="T36" s="35">
        <f t="shared" si="7"/>
        <v>34.2332162195069</v>
      </c>
      <c r="U36" s="35">
        <f t="shared" si="8"/>
        <v>0.37576078049309558</v>
      </c>
      <c r="V36" s="35">
        <f t="shared" si="10"/>
        <v>4.6636333781470594</v>
      </c>
    </row>
    <row r="37" spans="1:22" x14ac:dyDescent="0.25">
      <c r="A37" s="34" t="s">
        <v>64</v>
      </c>
      <c r="B37" s="16">
        <v>1.7000000000000001E-2</v>
      </c>
      <c r="C37" s="8">
        <v>0</v>
      </c>
      <c r="D37" s="8">
        <v>15.464</v>
      </c>
      <c r="E37" s="8">
        <v>6.9000000000000006E-2</v>
      </c>
      <c r="F37" s="8">
        <v>0.77800000000000002</v>
      </c>
      <c r="G37" s="8">
        <v>0.183</v>
      </c>
      <c r="H37" s="8">
        <v>7.8E-2</v>
      </c>
      <c r="I37" s="8">
        <v>0.04</v>
      </c>
      <c r="J37" s="8">
        <v>0.12</v>
      </c>
      <c r="K37" s="38">
        <f t="shared" si="0"/>
        <v>0.41199999999999998</v>
      </c>
      <c r="L37" s="38">
        <f t="shared" si="1"/>
        <v>34.527225999999999</v>
      </c>
      <c r="M37" s="29">
        <f t="shared" si="2"/>
        <v>80.435024789651493</v>
      </c>
      <c r="N37" s="29">
        <f t="shared" si="3"/>
        <v>2.620217209640354E+24</v>
      </c>
      <c r="O37" s="35">
        <f t="shared" si="4"/>
        <v>84.915456709522914</v>
      </c>
      <c r="P37" s="35">
        <f t="shared" si="5"/>
        <v>34.644933748785888</v>
      </c>
      <c r="Q37" s="35">
        <f t="shared" si="6"/>
        <v>-0.11770774878588952</v>
      </c>
      <c r="R37" s="35">
        <f t="shared" si="9"/>
        <v>8.1623586838074261E-2</v>
      </c>
      <c r="S37" s="18">
        <v>70.249501035104061</v>
      </c>
      <c r="T37" s="35">
        <f t="shared" si="7"/>
        <v>34.2332162195069</v>
      </c>
      <c r="U37" s="35">
        <f t="shared" si="8"/>
        <v>0.29400978049309856</v>
      </c>
      <c r="V37" s="35">
        <f t="shared" si="10"/>
        <v>0.50924775559430679</v>
      </c>
    </row>
    <row r="38" spans="1:22" x14ac:dyDescent="0.25">
      <c r="A38" s="34" t="s">
        <v>65</v>
      </c>
      <c r="B38" s="16">
        <v>1.7999999999999999E-2</v>
      </c>
      <c r="C38" s="8">
        <v>0</v>
      </c>
      <c r="D38" s="8">
        <v>15.361000000000001</v>
      </c>
      <c r="E38" s="8">
        <v>2.9000000000000001E-2</v>
      </c>
      <c r="F38" s="8">
        <v>0.76800000000000002</v>
      </c>
      <c r="G38" s="8">
        <v>1.4E-2</v>
      </c>
      <c r="H38" s="8">
        <v>-1E-3</v>
      </c>
      <c r="I38" s="8">
        <v>2.1000000000000001E-2</v>
      </c>
      <c r="J38" s="8">
        <v>0.12</v>
      </c>
      <c r="K38" s="38">
        <f t="shared" si="0"/>
        <v>0.184</v>
      </c>
      <c r="L38" s="38">
        <f t="shared" si="1"/>
        <v>34.670026</v>
      </c>
      <c r="M38" s="29">
        <f t="shared" si="2"/>
        <v>85.90238069159642</v>
      </c>
      <c r="N38" s="29">
        <f t="shared" si="3"/>
        <v>2.7756994534137053E+24</v>
      </c>
      <c r="O38" s="35">
        <f t="shared" si="4"/>
        <v>89.954293066928443</v>
      </c>
      <c r="P38" s="35">
        <f t="shared" si="5"/>
        <v>34.770109474360396</v>
      </c>
      <c r="Q38" s="35">
        <f t="shared" si="6"/>
        <v>-0.100083474360396</v>
      </c>
      <c r="R38" s="35">
        <f t="shared" si="9"/>
        <v>0.29586193998251548</v>
      </c>
      <c r="S38" s="18">
        <v>74.438127230453844</v>
      </c>
      <c r="T38" s="35">
        <f t="shared" si="7"/>
        <v>34.358977191469435</v>
      </c>
      <c r="U38" s="35">
        <f t="shared" si="8"/>
        <v>0.31104880853056471</v>
      </c>
      <c r="V38" s="35">
        <f t="shared" si="10"/>
        <v>2.8577316070499736</v>
      </c>
    </row>
    <row r="39" spans="1:22" x14ac:dyDescent="0.25">
      <c r="A39" s="34" t="s">
        <v>66</v>
      </c>
      <c r="B39" s="16">
        <v>1.7000000000000001E-2</v>
      </c>
      <c r="C39" s="8">
        <v>0</v>
      </c>
      <c r="D39" s="8">
        <v>15.105</v>
      </c>
      <c r="E39" s="8">
        <v>6.2E-2</v>
      </c>
      <c r="F39" s="8">
        <v>0.98299999999999998</v>
      </c>
      <c r="G39" s="8">
        <v>3.5000000000000003E-2</v>
      </c>
      <c r="H39" s="8">
        <v>4.0000000000000001E-3</v>
      </c>
      <c r="I39" s="8">
        <v>2.5999999999999999E-2</v>
      </c>
      <c r="J39" s="8">
        <v>0.12</v>
      </c>
      <c r="K39" s="38">
        <f t="shared" si="0"/>
        <v>0.24299999999999999</v>
      </c>
      <c r="L39" s="38">
        <f t="shared" si="1"/>
        <v>34.429980999999998</v>
      </c>
      <c r="M39" s="29">
        <f t="shared" si="2"/>
        <v>76.912371056056344</v>
      </c>
      <c r="N39" s="29">
        <f t="shared" si="3"/>
        <v>2.620217209640354E+24</v>
      </c>
      <c r="O39" s="35">
        <f t="shared" si="4"/>
        <v>84.915456709522914</v>
      </c>
      <c r="P39" s="35">
        <f t="shared" si="5"/>
        <v>34.644933748785888</v>
      </c>
      <c r="Q39" s="35">
        <f t="shared" si="6"/>
        <v>-0.21495274878589044</v>
      </c>
      <c r="R39" s="35">
        <f t="shared" si="9"/>
        <v>0.7824803842674749</v>
      </c>
      <c r="S39" s="18">
        <v>70.249501035104061</v>
      </c>
      <c r="T39" s="35">
        <f t="shared" si="7"/>
        <v>34.2332162195069</v>
      </c>
      <c r="U39" s="35">
        <f t="shared" si="8"/>
        <v>0.19676478049309765</v>
      </c>
      <c r="V39" s="35">
        <f t="shared" si="10"/>
        <v>0.65566527532213759</v>
      </c>
    </row>
    <row r="40" spans="1:22" x14ac:dyDescent="0.25">
      <c r="A40" s="34" t="s">
        <v>67</v>
      </c>
      <c r="B40" s="16">
        <v>1.7999999999999999E-2</v>
      </c>
      <c r="C40" s="8">
        <v>0</v>
      </c>
      <c r="D40" s="8">
        <v>14.832000000000001</v>
      </c>
      <c r="E40" s="8">
        <v>3.5000000000000003E-2</v>
      </c>
      <c r="F40" s="8">
        <v>0.89200000000000002</v>
      </c>
      <c r="G40" s="8">
        <v>2.5000000000000001E-2</v>
      </c>
      <c r="H40" s="8">
        <v>-6.8000000000000005E-2</v>
      </c>
      <c r="I40" s="8">
        <v>2.3E-2</v>
      </c>
      <c r="J40" s="8">
        <v>0.12</v>
      </c>
      <c r="K40" s="38">
        <f t="shared" si="0"/>
        <v>0.20300000000000001</v>
      </c>
      <c r="L40" s="38">
        <f t="shared" si="1"/>
        <v>34.368963999999998</v>
      </c>
      <c r="M40" s="29">
        <f t="shared" si="2"/>
        <v>74.781263724673366</v>
      </c>
      <c r="N40" s="29">
        <f t="shared" si="3"/>
        <v>2.7756994534137053E+24</v>
      </c>
      <c r="O40" s="35">
        <f t="shared" si="4"/>
        <v>89.954293066928443</v>
      </c>
      <c r="P40" s="35">
        <f t="shared" si="5"/>
        <v>34.770109474360396</v>
      </c>
      <c r="Q40" s="35">
        <f t="shared" si="6"/>
        <v>-0.40114547436039771</v>
      </c>
      <c r="R40" s="35">
        <f t="shared" si="9"/>
        <v>3.9049161979137685</v>
      </c>
      <c r="S40" s="18">
        <v>74.438127230453844</v>
      </c>
      <c r="T40" s="35">
        <f t="shared" si="7"/>
        <v>34.358977191469435</v>
      </c>
      <c r="U40" s="35">
        <f t="shared" si="8"/>
        <v>9.9868085305629961E-3</v>
      </c>
      <c r="V40" s="35">
        <f t="shared" si="10"/>
        <v>2.4202563669617275E-3</v>
      </c>
    </row>
    <row r="41" spans="1:22" x14ac:dyDescent="0.25">
      <c r="A41" s="34" t="s">
        <v>68</v>
      </c>
      <c r="B41" s="16">
        <v>1.9E-2</v>
      </c>
      <c r="C41" s="8">
        <v>0</v>
      </c>
      <c r="D41" s="8">
        <v>15.909000000000001</v>
      </c>
      <c r="E41" s="8">
        <v>2.9000000000000001E-2</v>
      </c>
      <c r="F41" s="8">
        <v>0.72899999999999998</v>
      </c>
      <c r="G41" s="8">
        <v>1.4E-2</v>
      </c>
      <c r="H41" s="8">
        <v>6.6000000000000003E-2</v>
      </c>
      <c r="I41" s="8">
        <v>2.5000000000000001E-2</v>
      </c>
      <c r="J41" s="8">
        <v>0.12</v>
      </c>
      <c r="K41" s="38">
        <f t="shared" si="0"/>
        <v>0.188</v>
      </c>
      <c r="L41" s="38">
        <f t="shared" si="1"/>
        <v>35.002583000000001</v>
      </c>
      <c r="M41" s="29">
        <f t="shared" si="2"/>
        <v>100.11902232131553</v>
      </c>
      <c r="N41" s="29">
        <f t="shared" si="3"/>
        <v>2.9313304858807826E+24</v>
      </c>
      <c r="O41" s="35">
        <f t="shared" si="4"/>
        <v>94.997951337507615</v>
      </c>
      <c r="P41" s="35">
        <f t="shared" si="5"/>
        <v>34.888571198422696</v>
      </c>
      <c r="Q41" s="35">
        <f t="shared" si="6"/>
        <v>0.1140118015773055</v>
      </c>
      <c r="R41" s="35">
        <f t="shared" si="9"/>
        <v>0.36777645141757814</v>
      </c>
      <c r="S41" s="18">
        <v>78.63296708590812</v>
      </c>
      <c r="T41" s="35">
        <f t="shared" si="7"/>
        <v>34.478023316823339</v>
      </c>
      <c r="U41" s="35">
        <f t="shared" si="8"/>
        <v>0.52455968317666191</v>
      </c>
      <c r="V41" s="35">
        <f t="shared" si="10"/>
        <v>7.7852778750113147</v>
      </c>
    </row>
    <row r="42" spans="1:22" x14ac:dyDescent="0.25">
      <c r="A42" s="34" t="s">
        <v>69</v>
      </c>
      <c r="B42" s="16">
        <v>1.9E-2</v>
      </c>
      <c r="C42" s="8">
        <v>0</v>
      </c>
      <c r="D42" s="8">
        <v>15.79</v>
      </c>
      <c r="E42" s="8">
        <v>2.7E-2</v>
      </c>
      <c r="F42" s="8">
        <v>0.77100000000000002</v>
      </c>
      <c r="G42" s="8">
        <v>1.0999999999999999E-2</v>
      </c>
      <c r="H42" s="8">
        <v>-0.03</v>
      </c>
      <c r="I42" s="8">
        <v>2.4E-2</v>
      </c>
      <c r="J42" s="8">
        <v>0.12</v>
      </c>
      <c r="K42" s="38">
        <f t="shared" si="0"/>
        <v>0.182</v>
      </c>
      <c r="L42" s="38">
        <f t="shared" si="1"/>
        <v>35.190236999999996</v>
      </c>
      <c r="M42" s="29">
        <f t="shared" si="2"/>
        <v>109.15594655130438</v>
      </c>
      <c r="N42" s="29">
        <f t="shared" si="3"/>
        <v>2.9313304858807826E+24</v>
      </c>
      <c r="O42" s="35">
        <f t="shared" si="4"/>
        <v>94.997951337507615</v>
      </c>
      <c r="P42" s="35">
        <f t="shared" si="5"/>
        <v>34.888571198422696</v>
      </c>
      <c r="Q42" s="35">
        <f t="shared" si="6"/>
        <v>0.30166580157730039</v>
      </c>
      <c r="R42" s="35">
        <f t="shared" si="9"/>
        <v>2.7473208501773687</v>
      </c>
      <c r="S42" s="18">
        <v>78.63296708590812</v>
      </c>
      <c r="T42" s="35">
        <f t="shared" si="7"/>
        <v>34.478023316823339</v>
      </c>
      <c r="U42" s="35">
        <f t="shared" si="8"/>
        <v>0.71221368317665679</v>
      </c>
      <c r="V42" s="35">
        <f t="shared" si="10"/>
        <v>15.313619445237871</v>
      </c>
    </row>
    <row r="43" spans="1:22" x14ac:dyDescent="0.25">
      <c r="A43" s="34" t="s">
        <v>70</v>
      </c>
      <c r="B43" s="16">
        <v>0.02</v>
      </c>
      <c r="C43" s="8">
        <v>0</v>
      </c>
      <c r="D43" s="8">
        <v>15.664</v>
      </c>
      <c r="E43" s="8">
        <v>4.4999999999999998E-2</v>
      </c>
      <c r="F43" s="8">
        <v>0.86199999999999999</v>
      </c>
      <c r="G43" s="8">
        <v>3.4000000000000002E-2</v>
      </c>
      <c r="H43" s="8">
        <v>-3.2000000000000001E-2</v>
      </c>
      <c r="I43" s="8">
        <v>2.3E-2</v>
      </c>
      <c r="J43" s="8">
        <v>0.12</v>
      </c>
      <c r="K43" s="38">
        <f t="shared" si="0"/>
        <v>0.222</v>
      </c>
      <c r="L43" s="38">
        <f t="shared" si="1"/>
        <v>35.083874000000002</v>
      </c>
      <c r="M43" s="29">
        <f t="shared" si="2"/>
        <v>103.93810631627954</v>
      </c>
      <c r="N43" s="29">
        <f t="shared" si="3"/>
        <v>3.0871100860682811E+24</v>
      </c>
      <c r="O43" s="35">
        <f t="shared" si="4"/>
        <v>100.04642436000333</v>
      </c>
      <c r="P43" s="35">
        <f t="shared" si="5"/>
        <v>35.001007858240996</v>
      </c>
      <c r="Q43" s="35">
        <f t="shared" si="6"/>
        <v>8.2866141759005529E-2</v>
      </c>
      <c r="R43" s="35">
        <f t="shared" si="9"/>
        <v>0.13933117137455564</v>
      </c>
      <c r="S43" s="18">
        <v>82.83401394652347</v>
      </c>
      <c r="T43" s="35">
        <f t="shared" si="7"/>
        <v>34.591043533921791</v>
      </c>
      <c r="U43" s="35">
        <f t="shared" si="8"/>
        <v>0.49283046607821035</v>
      </c>
      <c r="V43" s="35">
        <f t="shared" si="10"/>
        <v>4.9282093234085309</v>
      </c>
    </row>
    <row r="44" spans="1:22" x14ac:dyDescent="0.25">
      <c r="A44" s="34" t="s">
        <v>71</v>
      </c>
      <c r="B44" s="16">
        <v>0.02</v>
      </c>
      <c r="C44" s="8">
        <v>0</v>
      </c>
      <c r="D44" s="8">
        <v>15.536</v>
      </c>
      <c r="E44" s="8">
        <v>2.3E-2</v>
      </c>
      <c r="F44" s="8">
        <v>0.84399999999999997</v>
      </c>
      <c r="G44" s="8">
        <v>7.0000000000000001E-3</v>
      </c>
      <c r="H44" s="8">
        <v>-6.7000000000000004E-2</v>
      </c>
      <c r="I44" s="8">
        <v>2.1000000000000001E-2</v>
      </c>
      <c r="J44" s="8">
        <v>0.12</v>
      </c>
      <c r="K44" s="38">
        <f t="shared" si="0"/>
        <v>0.17099999999999999</v>
      </c>
      <c r="L44" s="38">
        <f t="shared" si="1"/>
        <v>35.062777999999994</v>
      </c>
      <c r="M44" s="29">
        <f t="shared" si="2"/>
        <v>102.93322977207376</v>
      </c>
      <c r="N44" s="29">
        <f t="shared" si="3"/>
        <v>3.0871100860682811E+24</v>
      </c>
      <c r="O44" s="35">
        <f t="shared" si="4"/>
        <v>100.04642436000333</v>
      </c>
      <c r="P44" s="35">
        <f t="shared" si="5"/>
        <v>35.001007858240996</v>
      </c>
      <c r="Q44" s="35">
        <f t="shared" si="6"/>
        <v>6.177014175899842E-2</v>
      </c>
      <c r="R44" s="35">
        <f t="shared" si="9"/>
        <v>0.13048631759949253</v>
      </c>
      <c r="S44" s="18">
        <v>82.83401394652347</v>
      </c>
      <c r="T44" s="35">
        <f t="shared" si="7"/>
        <v>34.591043533921791</v>
      </c>
      <c r="U44" s="35">
        <f t="shared" si="8"/>
        <v>0.47173446607820324</v>
      </c>
      <c r="V44" s="35">
        <f t="shared" si="10"/>
        <v>7.6103213462633805</v>
      </c>
    </row>
    <row r="45" spans="1:22" x14ac:dyDescent="0.25">
      <c r="A45" s="34" t="s">
        <v>72</v>
      </c>
      <c r="B45" s="16">
        <v>2.1000000000000001E-2</v>
      </c>
      <c r="C45" s="8">
        <v>0</v>
      </c>
      <c r="D45" s="8">
        <v>15.89</v>
      </c>
      <c r="E45" s="8">
        <v>2.4E-2</v>
      </c>
      <c r="F45" s="8">
        <v>0.99299999999999999</v>
      </c>
      <c r="G45" s="8">
        <v>1.4E-2</v>
      </c>
      <c r="H45" s="8">
        <v>0.13400000000000001</v>
      </c>
      <c r="I45" s="8">
        <v>0.02</v>
      </c>
      <c r="J45" s="8">
        <v>0.12</v>
      </c>
      <c r="K45" s="38">
        <f t="shared" si="0"/>
        <v>0.17799999999999999</v>
      </c>
      <c r="L45" s="38">
        <f t="shared" si="1"/>
        <v>34.809550999999999</v>
      </c>
      <c r="M45" s="29">
        <f t="shared" si="2"/>
        <v>91.603106083433232</v>
      </c>
      <c r="N45" s="29">
        <f t="shared" si="3"/>
        <v>3.2430380334402463E+24</v>
      </c>
      <c r="O45" s="35">
        <f t="shared" si="4"/>
        <v>105.09970498733203</v>
      </c>
      <c r="P45" s="35">
        <f t="shared" si="5"/>
        <v>35.108007484872246</v>
      </c>
      <c r="Q45" s="35">
        <f t="shared" si="6"/>
        <v>-0.29845648487224707</v>
      </c>
      <c r="R45" s="35">
        <f t="shared" si="9"/>
        <v>2.8113960788504562</v>
      </c>
      <c r="S45" s="18">
        <v>87.04126115863663</v>
      </c>
      <c r="T45" s="35">
        <f t="shared" si="7"/>
        <v>34.698625874906362</v>
      </c>
      <c r="U45" s="35">
        <f t="shared" si="8"/>
        <v>0.11092512509363672</v>
      </c>
      <c r="V45" s="35">
        <f t="shared" si="10"/>
        <v>0.38834690623150353</v>
      </c>
    </row>
    <row r="46" spans="1:22" x14ac:dyDescent="0.25">
      <c r="A46" s="34" t="s">
        <v>73</v>
      </c>
      <c r="B46" s="16">
        <v>2.1000000000000001E-2</v>
      </c>
      <c r="C46" s="8">
        <v>0</v>
      </c>
      <c r="D46" s="8">
        <v>15.145</v>
      </c>
      <c r="E46" s="8">
        <v>2.1999999999999999E-2</v>
      </c>
      <c r="F46" s="8">
        <v>1.081</v>
      </c>
      <c r="G46" s="8">
        <v>1.0999999999999999E-2</v>
      </c>
      <c r="H46" s="8">
        <v>-8.5999999999999993E-2</v>
      </c>
      <c r="I46" s="8">
        <v>0.02</v>
      </c>
      <c r="J46" s="8">
        <v>0.12</v>
      </c>
      <c r="K46" s="38">
        <f t="shared" si="0"/>
        <v>0.17299999999999999</v>
      </c>
      <c r="L46" s="38">
        <f t="shared" si="1"/>
        <v>34.766086999999999</v>
      </c>
      <c r="M46" s="29">
        <f t="shared" si="2"/>
        <v>89.78781436595213</v>
      </c>
      <c r="N46" s="29">
        <f t="shared" si="3"/>
        <v>3.2430380334402463E+24</v>
      </c>
      <c r="O46" s="35">
        <f t="shared" si="4"/>
        <v>105.09970498733203</v>
      </c>
      <c r="P46" s="35">
        <f t="shared" si="5"/>
        <v>35.108007484872246</v>
      </c>
      <c r="Q46" s="35">
        <f t="shared" si="6"/>
        <v>-0.34192048487224724</v>
      </c>
      <c r="R46" s="35">
        <f t="shared" si="9"/>
        <v>3.9062320149444578</v>
      </c>
      <c r="S46" s="18">
        <v>87.04126115863663</v>
      </c>
      <c r="T46" s="35">
        <f t="shared" si="7"/>
        <v>34.698625874906362</v>
      </c>
      <c r="U46" s="35">
        <f t="shared" si="8"/>
        <v>6.7461125093636554E-2</v>
      </c>
      <c r="V46" s="35">
        <f t="shared" si="10"/>
        <v>0.1520599886030031</v>
      </c>
    </row>
    <row r="47" spans="1:22" x14ac:dyDescent="0.25">
      <c r="A47" s="34" t="s">
        <v>74</v>
      </c>
      <c r="B47" s="16">
        <v>0.02</v>
      </c>
      <c r="C47" s="8">
        <v>0</v>
      </c>
      <c r="D47" s="8">
        <v>15.779</v>
      </c>
      <c r="E47" s="8">
        <v>3.3000000000000002E-2</v>
      </c>
      <c r="F47" s="8">
        <v>0.85299999999999998</v>
      </c>
      <c r="G47" s="8">
        <v>2.5999999999999999E-2</v>
      </c>
      <c r="H47" s="8">
        <v>2.5999999999999999E-2</v>
      </c>
      <c r="I47" s="8">
        <v>2.5000000000000001E-2</v>
      </c>
      <c r="J47" s="8">
        <v>0.12</v>
      </c>
      <c r="K47" s="38">
        <f t="shared" si="0"/>
        <v>0.20399999999999999</v>
      </c>
      <c r="L47" s="38">
        <f t="shared" si="1"/>
        <v>35.016010999999999</v>
      </c>
      <c r="M47" s="29">
        <f t="shared" si="2"/>
        <v>100.74005879745931</v>
      </c>
      <c r="N47" s="29">
        <f t="shared" si="3"/>
        <v>3.0871100860682811E+24</v>
      </c>
      <c r="O47" s="35">
        <f t="shared" si="4"/>
        <v>100.04642436000333</v>
      </c>
      <c r="P47" s="35">
        <f t="shared" si="5"/>
        <v>35.001007858240996</v>
      </c>
      <c r="Q47" s="35">
        <f t="shared" si="6"/>
        <v>1.5003141759002858E-2</v>
      </c>
      <c r="R47" s="35">
        <f t="shared" si="9"/>
        <v>5.4088394521514659E-3</v>
      </c>
      <c r="S47" s="18">
        <v>82.83401394652347</v>
      </c>
      <c r="T47" s="35">
        <f t="shared" si="7"/>
        <v>34.591043533921791</v>
      </c>
      <c r="U47" s="35">
        <f t="shared" si="8"/>
        <v>0.42496746607820768</v>
      </c>
      <c r="V47" s="35">
        <f t="shared" si="10"/>
        <v>4.3396133031750441</v>
      </c>
    </row>
    <row r="48" spans="1:22" x14ac:dyDescent="0.25">
      <c r="A48" s="34" t="s">
        <v>75</v>
      </c>
      <c r="B48" s="16">
        <v>2.1999999999999999E-2</v>
      </c>
      <c r="C48" s="8">
        <v>0</v>
      </c>
      <c r="D48" s="8">
        <v>15.912000000000001</v>
      </c>
      <c r="E48" s="8">
        <v>2.5000000000000001E-2</v>
      </c>
      <c r="F48" s="8">
        <v>0.85199999999999998</v>
      </c>
      <c r="G48" s="8">
        <v>2.1999999999999999E-2</v>
      </c>
      <c r="H48" s="8">
        <v>1.0999999999999999E-2</v>
      </c>
      <c r="I48" s="8">
        <v>2.4E-2</v>
      </c>
      <c r="J48" s="8">
        <v>0.12</v>
      </c>
      <c r="K48" s="38">
        <f t="shared" si="0"/>
        <v>0.191</v>
      </c>
      <c r="L48" s="38">
        <f t="shared" si="1"/>
        <v>35.195813999999999</v>
      </c>
      <c r="M48" s="29">
        <f t="shared" si="2"/>
        <v>109.43665245601915</v>
      </c>
      <c r="N48" s="29">
        <f t="shared" si="3"/>
        <v>3.3991141078969973E+24</v>
      </c>
      <c r="O48" s="35">
        <f t="shared" si="4"/>
        <v>110.15778608654885</v>
      </c>
      <c r="P48" s="35">
        <f t="shared" si="5"/>
        <v>35.210075995174208</v>
      </c>
      <c r="Q48" s="35">
        <f t="shared" si="6"/>
        <v>-1.4261995174209119E-2</v>
      </c>
      <c r="R48" s="35">
        <f t="shared" si="9"/>
        <v>5.5756285833492561E-3</v>
      </c>
      <c r="S48" s="18">
        <v>91.254702069891636</v>
      </c>
      <c r="T48" s="35">
        <f t="shared" si="7"/>
        <v>34.801276257719024</v>
      </c>
      <c r="U48" s="35">
        <f t="shared" si="8"/>
        <v>0.39453774228097416</v>
      </c>
      <c r="V48" s="35">
        <f t="shared" si="10"/>
        <v>4.2668794738128994</v>
      </c>
    </row>
    <row r="49" spans="1:22" x14ac:dyDescent="0.25">
      <c r="A49" s="34" t="s">
        <v>76</v>
      </c>
      <c r="B49" s="16">
        <v>2.1999999999999999E-2</v>
      </c>
      <c r="C49" s="8">
        <v>1E-3</v>
      </c>
      <c r="D49" s="8">
        <v>15.757999999999999</v>
      </c>
      <c r="E49" s="8">
        <v>0.03</v>
      </c>
      <c r="F49" s="8">
        <v>1.109</v>
      </c>
      <c r="G49" s="8">
        <v>2.8000000000000001E-2</v>
      </c>
      <c r="H49" s="8">
        <v>-8.0000000000000002E-3</v>
      </c>
      <c r="I49" s="8">
        <v>2.1999999999999999E-2</v>
      </c>
      <c r="J49" s="8">
        <v>0.12</v>
      </c>
      <c r="K49" s="38">
        <f t="shared" si="0"/>
        <v>0.19999999999999998</v>
      </c>
      <c r="L49" s="38">
        <f t="shared" si="1"/>
        <v>35.139063</v>
      </c>
      <c r="M49" s="29">
        <f t="shared" si="2"/>
        <v>106.61359795451364</v>
      </c>
      <c r="N49" s="29">
        <f t="shared" si="3"/>
        <v>3.3991141078969973E+24</v>
      </c>
      <c r="O49" s="35">
        <f t="shared" si="4"/>
        <v>110.15778608654885</v>
      </c>
      <c r="P49" s="35">
        <f t="shared" si="5"/>
        <v>35.210075995174208</v>
      </c>
      <c r="Q49" s="35">
        <f t="shared" si="6"/>
        <v>-7.101299517420756E-2</v>
      </c>
      <c r="R49" s="35">
        <f t="shared" si="9"/>
        <v>0.12607113709030068</v>
      </c>
      <c r="S49" s="18">
        <v>91.254702069891636</v>
      </c>
      <c r="T49" s="35">
        <f t="shared" si="7"/>
        <v>34.801276257719024</v>
      </c>
      <c r="U49" s="35">
        <f t="shared" si="8"/>
        <v>0.33778674228097572</v>
      </c>
      <c r="V49" s="35">
        <f t="shared" si="10"/>
        <v>2.852497081519858</v>
      </c>
    </row>
    <row r="50" spans="1:22" x14ac:dyDescent="0.25">
      <c r="A50" s="34" t="s">
        <v>77</v>
      </c>
      <c r="B50" s="16">
        <v>2.1999999999999999E-2</v>
      </c>
      <c r="C50" s="8">
        <v>0</v>
      </c>
      <c r="D50" s="8">
        <v>15.739000000000001</v>
      </c>
      <c r="E50" s="8">
        <v>2.3E-2</v>
      </c>
      <c r="F50" s="8">
        <v>1.034</v>
      </c>
      <c r="G50" s="8">
        <v>1.4999999999999999E-2</v>
      </c>
      <c r="H50" s="8">
        <v>1.2999999999999999E-2</v>
      </c>
      <c r="I50" s="8">
        <v>0.02</v>
      </c>
      <c r="J50" s="8">
        <v>0.12</v>
      </c>
      <c r="K50" s="38">
        <f t="shared" si="0"/>
        <v>0.17799999999999999</v>
      </c>
      <c r="L50" s="38">
        <f t="shared" si="1"/>
        <v>35.043308000000003</v>
      </c>
      <c r="M50" s="29">
        <f t="shared" si="2"/>
        <v>102.01442828239168</v>
      </c>
      <c r="N50" s="29">
        <f t="shared" si="3"/>
        <v>3.3991141078969973E+24</v>
      </c>
      <c r="O50" s="35">
        <f t="shared" si="4"/>
        <v>110.15778608654885</v>
      </c>
      <c r="P50" s="35">
        <f t="shared" si="5"/>
        <v>35.210075995174208</v>
      </c>
      <c r="Q50" s="35">
        <f t="shared" si="6"/>
        <v>-0.16676799517420449</v>
      </c>
      <c r="R50" s="35">
        <f t="shared" si="9"/>
        <v>0.877779453807079</v>
      </c>
      <c r="S50" s="18">
        <v>91.254702069891636</v>
      </c>
      <c r="T50" s="35">
        <f t="shared" si="7"/>
        <v>34.801276257719024</v>
      </c>
      <c r="U50" s="35">
        <f t="shared" si="8"/>
        <v>0.24203174228097879</v>
      </c>
      <c r="V50" s="35">
        <f t="shared" si="10"/>
        <v>1.8488626521766869</v>
      </c>
    </row>
    <row r="51" spans="1:22" x14ac:dyDescent="0.25">
      <c r="A51" s="34" t="s">
        <v>78</v>
      </c>
      <c r="B51" s="16">
        <v>2.1999999999999999E-2</v>
      </c>
      <c r="C51" s="8">
        <v>0</v>
      </c>
      <c r="D51" s="8">
        <v>16.190999999999999</v>
      </c>
      <c r="E51" s="8">
        <v>3.3000000000000002E-2</v>
      </c>
      <c r="F51" s="8">
        <v>0.84799999999999998</v>
      </c>
      <c r="G51" s="8">
        <v>1.7999999999999999E-2</v>
      </c>
      <c r="H51" s="8">
        <v>7.9000000000000001E-2</v>
      </c>
      <c r="I51" s="8">
        <v>0.02</v>
      </c>
      <c r="J51" s="8">
        <v>0.12</v>
      </c>
      <c r="K51" s="38">
        <f t="shared" si="0"/>
        <v>0.191</v>
      </c>
      <c r="L51" s="38">
        <f t="shared" si="1"/>
        <v>35.261386000000002</v>
      </c>
      <c r="M51" s="29">
        <f t="shared" si="2"/>
        <v>112.7917149578883</v>
      </c>
      <c r="N51" s="29">
        <f t="shared" si="3"/>
        <v>3.3991141078969973E+24</v>
      </c>
      <c r="O51" s="35">
        <f t="shared" si="4"/>
        <v>110.15778608654885</v>
      </c>
      <c r="P51" s="35">
        <f t="shared" si="5"/>
        <v>35.210075995174208</v>
      </c>
      <c r="Q51" s="35">
        <f t="shared" si="6"/>
        <v>5.1310004825793953E-2</v>
      </c>
      <c r="R51" s="35">
        <f t="shared" si="9"/>
        <v>7.2166788060168269E-2</v>
      </c>
      <c r="S51" s="18">
        <v>91.254702069891636</v>
      </c>
      <c r="T51" s="35">
        <f t="shared" si="7"/>
        <v>34.801276257719024</v>
      </c>
      <c r="U51" s="35">
        <f t="shared" si="8"/>
        <v>0.46010974228097723</v>
      </c>
      <c r="V51" s="35">
        <f t="shared" si="10"/>
        <v>5.803047475175223</v>
      </c>
    </row>
    <row r="52" spans="1:22" x14ac:dyDescent="0.25">
      <c r="A52" s="34" t="s">
        <v>79</v>
      </c>
      <c r="B52" s="16">
        <v>2.1999999999999999E-2</v>
      </c>
      <c r="C52" s="8">
        <v>0</v>
      </c>
      <c r="D52" s="8">
        <v>16.003</v>
      </c>
      <c r="E52" s="8">
        <v>0.03</v>
      </c>
      <c r="F52" s="8">
        <v>1.1100000000000001</v>
      </c>
      <c r="G52" s="8">
        <v>3.9E-2</v>
      </c>
      <c r="H52" s="8">
        <v>0.16600000000000001</v>
      </c>
      <c r="I52" s="8">
        <v>2.5999999999999999E-2</v>
      </c>
      <c r="J52" s="8">
        <v>0.12</v>
      </c>
      <c r="K52" s="38">
        <f t="shared" si="0"/>
        <v>0.215</v>
      </c>
      <c r="L52" s="38">
        <f t="shared" si="1"/>
        <v>34.839590000000001</v>
      </c>
      <c r="M52" s="29">
        <f t="shared" si="2"/>
        <v>92.879100335706866</v>
      </c>
      <c r="N52" s="29">
        <f t="shared" si="3"/>
        <v>3.3991141078969973E+24</v>
      </c>
      <c r="O52" s="35">
        <f t="shared" si="4"/>
        <v>110.15778608654885</v>
      </c>
      <c r="P52" s="35">
        <f t="shared" si="5"/>
        <v>35.210075995174208</v>
      </c>
      <c r="Q52" s="35">
        <f t="shared" si="6"/>
        <v>-0.37048599517420655</v>
      </c>
      <c r="R52" s="35">
        <f t="shared" si="9"/>
        <v>2.9693861031957214</v>
      </c>
      <c r="S52" s="18">
        <v>91.254702069891636</v>
      </c>
      <c r="T52" s="35">
        <f t="shared" si="7"/>
        <v>34.801276257719024</v>
      </c>
      <c r="U52" s="35">
        <f t="shared" si="8"/>
        <v>3.8313742280976726E-2</v>
      </c>
      <c r="V52" s="35">
        <f t="shared" si="10"/>
        <v>3.1756470472106085E-2</v>
      </c>
    </row>
    <row r="53" spans="1:22" x14ac:dyDescent="0.25">
      <c r="A53" s="34" t="s">
        <v>80</v>
      </c>
      <c r="B53" s="16">
        <v>2.3E-2</v>
      </c>
      <c r="C53" s="8">
        <v>0</v>
      </c>
      <c r="D53" s="8">
        <v>16.015000000000001</v>
      </c>
      <c r="E53" s="8">
        <v>3.1E-2</v>
      </c>
      <c r="F53" s="8">
        <v>1.052</v>
      </c>
      <c r="G53" s="8">
        <v>1.4999999999999999E-2</v>
      </c>
      <c r="H53" s="8">
        <v>9.9000000000000005E-2</v>
      </c>
      <c r="I53" s="8">
        <v>2.1999999999999999E-2</v>
      </c>
      <c r="J53" s="8">
        <v>0.12</v>
      </c>
      <c r="K53" s="38">
        <f t="shared" si="0"/>
        <v>0.188</v>
      </c>
      <c r="L53" s="38">
        <f t="shared" si="1"/>
        <v>35.052773999999999</v>
      </c>
      <c r="M53" s="29">
        <f t="shared" si="2"/>
        <v>102.46010580194832</v>
      </c>
      <c r="N53" s="29">
        <f t="shared" si="3"/>
        <v>3.5553380897740484E+24</v>
      </c>
      <c r="O53" s="35">
        <f t="shared" si="4"/>
        <v>115.22066053881264</v>
      </c>
      <c r="P53" s="35">
        <f t="shared" si="5"/>
        <v>35.307651803139365</v>
      </c>
      <c r="Q53" s="35">
        <f t="shared" si="6"/>
        <v>-0.25487780313936526</v>
      </c>
      <c r="R53" s="35">
        <f t="shared" si="9"/>
        <v>1.8380119548763305</v>
      </c>
      <c r="S53" s="18">
        <v>95.474330029266582</v>
      </c>
      <c r="T53" s="35">
        <f t="shared" si="7"/>
        <v>34.899433097436074</v>
      </c>
      <c r="U53" s="35">
        <f t="shared" si="8"/>
        <v>0.15334090256392585</v>
      </c>
      <c r="V53" s="35">
        <f t="shared" si="10"/>
        <v>0.6652736645291818</v>
      </c>
    </row>
    <row r="54" spans="1:22" x14ac:dyDescent="0.25">
      <c r="A54" s="34" t="s">
        <v>81</v>
      </c>
      <c r="B54" s="16">
        <v>2.3E-2</v>
      </c>
      <c r="C54" s="8">
        <v>0</v>
      </c>
      <c r="D54" s="8">
        <v>16.486000000000001</v>
      </c>
      <c r="E54" s="8">
        <v>2.5999999999999999E-2</v>
      </c>
      <c r="F54" s="8">
        <v>0.90300000000000002</v>
      </c>
      <c r="G54" s="8">
        <v>2.9000000000000001E-2</v>
      </c>
      <c r="H54" s="8">
        <v>0.128</v>
      </c>
      <c r="I54" s="8">
        <v>2.3E-2</v>
      </c>
      <c r="J54" s="8">
        <v>0.12</v>
      </c>
      <c r="K54" s="38">
        <f t="shared" si="0"/>
        <v>0.19800000000000001</v>
      </c>
      <c r="L54" s="38">
        <f t="shared" si="1"/>
        <v>35.411101000000002</v>
      </c>
      <c r="M54" s="29">
        <f t="shared" si="2"/>
        <v>120.84263873124272</v>
      </c>
      <c r="N54" s="29">
        <f t="shared" si="3"/>
        <v>3.5553380897740484E+24</v>
      </c>
      <c r="O54" s="35">
        <f t="shared" si="4"/>
        <v>115.22066053881264</v>
      </c>
      <c r="P54" s="35">
        <f t="shared" si="5"/>
        <v>35.307651803139365</v>
      </c>
      <c r="Q54" s="35">
        <f t="shared" si="6"/>
        <v>0.10344919686063747</v>
      </c>
      <c r="R54" s="35">
        <f t="shared" si="9"/>
        <v>0.2729756231790359</v>
      </c>
      <c r="S54" s="18">
        <v>95.474330029266582</v>
      </c>
      <c r="T54" s="35">
        <f t="shared" si="7"/>
        <v>34.899433097436074</v>
      </c>
      <c r="U54" s="35">
        <f t="shared" si="8"/>
        <v>0.51166790256392858</v>
      </c>
      <c r="V54" s="35">
        <f t="shared" si="10"/>
        <v>6.6779931260628986</v>
      </c>
    </row>
    <row r="55" spans="1:22" x14ac:dyDescent="0.25">
      <c r="A55" s="34" t="s">
        <v>82</v>
      </c>
      <c r="B55" s="16">
        <v>2.1999999999999999E-2</v>
      </c>
      <c r="C55" s="8">
        <v>0</v>
      </c>
      <c r="D55" s="8">
        <v>15.981999999999999</v>
      </c>
      <c r="E55" s="8">
        <v>7.1999999999999995E-2</v>
      </c>
      <c r="F55" s="8">
        <v>0.85</v>
      </c>
      <c r="G55" s="8">
        <v>4.9000000000000002E-2</v>
      </c>
      <c r="H55" s="8">
        <v>1.0999999999999999E-2</v>
      </c>
      <c r="I55" s="8">
        <v>3.6999999999999998E-2</v>
      </c>
      <c r="J55" s="8">
        <v>0.12</v>
      </c>
      <c r="K55" s="38">
        <f t="shared" si="0"/>
        <v>0.27800000000000002</v>
      </c>
      <c r="L55" s="38">
        <f t="shared" si="1"/>
        <v>35.265519999999995</v>
      </c>
      <c r="M55" s="29">
        <f t="shared" si="2"/>
        <v>113.00664979976912</v>
      </c>
      <c r="N55" s="29">
        <f t="shared" si="3"/>
        <v>3.3991141078969973E+24</v>
      </c>
      <c r="O55" s="35">
        <f t="shared" si="4"/>
        <v>110.15778608654885</v>
      </c>
      <c r="P55" s="35">
        <f t="shared" si="5"/>
        <v>35.210075995174208</v>
      </c>
      <c r="Q55" s="35">
        <f t="shared" si="6"/>
        <v>5.5444004825787374E-2</v>
      </c>
      <c r="R55" s="35">
        <f t="shared" si="9"/>
        <v>3.9775861382976202E-2</v>
      </c>
      <c r="S55" s="18">
        <v>91.254702069891636</v>
      </c>
      <c r="T55" s="35">
        <f t="shared" si="7"/>
        <v>34.801276257719024</v>
      </c>
      <c r="U55" s="35">
        <f t="shared" si="8"/>
        <v>0.46424374228097065</v>
      </c>
      <c r="V55" s="35">
        <f t="shared" si="10"/>
        <v>2.7887046768676602</v>
      </c>
    </row>
    <row r="56" spans="1:22" x14ac:dyDescent="0.25">
      <c r="A56" s="34" t="s">
        <v>83</v>
      </c>
      <c r="B56" s="16">
        <v>2.3E-2</v>
      </c>
      <c r="C56" s="8">
        <v>2E-3</v>
      </c>
      <c r="D56" s="8">
        <v>16.009</v>
      </c>
      <c r="E56" s="8">
        <v>2.4E-2</v>
      </c>
      <c r="F56" s="8">
        <v>1.0920000000000001</v>
      </c>
      <c r="G56" s="8">
        <v>2.1999999999999999E-2</v>
      </c>
      <c r="H56" s="8">
        <v>3.5999999999999997E-2</v>
      </c>
      <c r="I56" s="8">
        <v>2.1999999999999999E-2</v>
      </c>
      <c r="J56" s="8">
        <v>0.12</v>
      </c>
      <c r="K56" s="38">
        <f t="shared" si="0"/>
        <v>0.188</v>
      </c>
      <c r="L56" s="38">
        <f t="shared" si="1"/>
        <v>35.249844000000003</v>
      </c>
      <c r="M56" s="29">
        <f t="shared" si="2"/>
        <v>112.19378506567409</v>
      </c>
      <c r="N56" s="29">
        <f t="shared" si="3"/>
        <v>3.5553380897740484E+24</v>
      </c>
      <c r="O56" s="35">
        <f t="shared" si="4"/>
        <v>115.22066053881264</v>
      </c>
      <c r="P56" s="35">
        <f t="shared" si="5"/>
        <v>35.307651803139365</v>
      </c>
      <c r="Q56" s="35">
        <f t="shared" si="6"/>
        <v>-5.7807803139361624E-2</v>
      </c>
      <c r="R56" s="35">
        <f t="shared" si="9"/>
        <v>9.4549063597758817E-2</v>
      </c>
      <c r="S56" s="18">
        <v>95.474330029266582</v>
      </c>
      <c r="T56" s="35">
        <f t="shared" si="7"/>
        <v>34.899433097436074</v>
      </c>
      <c r="U56" s="35">
        <f t="shared" si="8"/>
        <v>0.35041090256392948</v>
      </c>
      <c r="V56" s="35">
        <f t="shared" si="10"/>
        <v>3.4740776549249572</v>
      </c>
    </row>
    <row r="57" spans="1:22" x14ac:dyDescent="0.25">
      <c r="A57" s="34" t="s">
        <v>84</v>
      </c>
      <c r="B57" s="16">
        <v>2.5000000000000001E-2</v>
      </c>
      <c r="C57" s="8">
        <v>1E-3</v>
      </c>
      <c r="D57" s="8">
        <v>15.833</v>
      </c>
      <c r="E57" s="8">
        <v>2.5999999999999999E-2</v>
      </c>
      <c r="F57" s="8">
        <v>1.044</v>
      </c>
      <c r="G57" s="8">
        <v>1.9E-2</v>
      </c>
      <c r="H57" s="8">
        <v>-3.0000000000000001E-3</v>
      </c>
      <c r="I57" s="8">
        <v>0.02</v>
      </c>
      <c r="J57" s="8">
        <v>0.12</v>
      </c>
      <c r="K57" s="38">
        <f t="shared" si="0"/>
        <v>0.185</v>
      </c>
      <c r="L57" s="38">
        <f t="shared" si="1"/>
        <v>35.188857999999996</v>
      </c>
      <c r="M57" s="29">
        <f t="shared" si="2"/>
        <v>109.08664874961777</v>
      </c>
      <c r="N57" s="29">
        <f t="shared" si="3"/>
        <v>3.8682288993006393E+24</v>
      </c>
      <c r="O57" s="35">
        <f t="shared" si="4"/>
        <v>125.36076109742612</v>
      </c>
      <c r="P57" s="35">
        <f t="shared" si="5"/>
        <v>35.490808100910236</v>
      </c>
      <c r="Q57" s="35">
        <f t="shared" si="6"/>
        <v>-0.30195010091023988</v>
      </c>
      <c r="R57" s="35">
        <f t="shared" si="9"/>
        <v>2.6639551041549758</v>
      </c>
      <c r="S57" s="18">
        <v>103.93212049511982</v>
      </c>
      <c r="T57" s="35">
        <f t="shared" si="7"/>
        <v>35.08374894076762</v>
      </c>
      <c r="U57" s="35">
        <f t="shared" si="8"/>
        <v>0.10510905923237601</v>
      </c>
      <c r="V57" s="35">
        <f t="shared" si="10"/>
        <v>0.3228024640676444</v>
      </c>
    </row>
    <row r="58" spans="1:22" x14ac:dyDescent="0.25">
      <c r="A58" s="34" t="s">
        <v>85</v>
      </c>
      <c r="B58" s="16">
        <v>2.3E-2</v>
      </c>
      <c r="C58" s="8">
        <v>0</v>
      </c>
      <c r="D58" s="8">
        <v>16.193000000000001</v>
      </c>
      <c r="E58" s="8">
        <v>2.1999999999999999E-2</v>
      </c>
      <c r="F58" s="8">
        <v>0.89500000000000002</v>
      </c>
      <c r="G58" s="8">
        <v>1.2E-2</v>
      </c>
      <c r="H58" s="8">
        <v>0.08</v>
      </c>
      <c r="I58" s="8">
        <v>0.02</v>
      </c>
      <c r="J58" s="8">
        <v>0.12</v>
      </c>
      <c r="K58" s="38">
        <f t="shared" si="0"/>
        <v>0.17399999999999999</v>
      </c>
      <c r="L58" s="38">
        <f t="shared" si="1"/>
        <v>35.267164999999999</v>
      </c>
      <c r="M58" s="29">
        <f t="shared" si="2"/>
        <v>113.09229047780407</v>
      </c>
      <c r="N58" s="29">
        <f t="shared" si="3"/>
        <v>3.5553380897740484E+24</v>
      </c>
      <c r="O58" s="35">
        <f t="shared" si="4"/>
        <v>115.22066053881264</v>
      </c>
      <c r="P58" s="35">
        <f t="shared" si="5"/>
        <v>35.307651803139365</v>
      </c>
      <c r="Q58" s="35">
        <f t="shared" si="6"/>
        <v>-4.0486803139366145E-2</v>
      </c>
      <c r="R58" s="35">
        <f t="shared" si="9"/>
        <v>5.4141274555614627E-2</v>
      </c>
      <c r="S58" s="18">
        <v>95.474330029266582</v>
      </c>
      <c r="T58" s="35">
        <f t="shared" si="7"/>
        <v>34.899433097436074</v>
      </c>
      <c r="U58" s="35">
        <f t="shared" si="8"/>
        <v>0.36773190256392496</v>
      </c>
      <c r="V58" s="35">
        <f t="shared" si="10"/>
        <v>4.4664669098719783</v>
      </c>
    </row>
    <row r="59" spans="1:22" x14ac:dyDescent="0.25">
      <c r="A59" s="34" t="s">
        <v>86</v>
      </c>
      <c r="B59" s="16">
        <v>2.5000000000000001E-2</v>
      </c>
      <c r="C59" s="8">
        <v>0</v>
      </c>
      <c r="D59" s="8">
        <v>16.277999999999999</v>
      </c>
      <c r="E59" s="8">
        <v>3.9E-2</v>
      </c>
      <c r="F59" s="8">
        <v>0.83</v>
      </c>
      <c r="G59" s="8">
        <v>2.4E-2</v>
      </c>
      <c r="H59" s="8">
        <v>4.2999999999999997E-2</v>
      </c>
      <c r="I59" s="8">
        <v>2.5000000000000001E-2</v>
      </c>
      <c r="J59" s="8">
        <v>0.12</v>
      </c>
      <c r="K59" s="38">
        <f t="shared" si="0"/>
        <v>0.20799999999999999</v>
      </c>
      <c r="L59" s="38">
        <f t="shared" si="1"/>
        <v>35.458420000000004</v>
      </c>
      <c r="M59" s="29">
        <f t="shared" si="2"/>
        <v>123.50484643097693</v>
      </c>
      <c r="N59" s="29">
        <f t="shared" si="3"/>
        <v>3.8682288993006393E+24</v>
      </c>
      <c r="O59" s="35">
        <f t="shared" si="4"/>
        <v>125.36076109742612</v>
      </c>
      <c r="P59" s="35">
        <f t="shared" si="5"/>
        <v>35.490808100910236</v>
      </c>
      <c r="Q59" s="35">
        <f t="shared" si="6"/>
        <v>-3.2388100910232254E-2</v>
      </c>
      <c r="R59" s="35">
        <f t="shared" si="9"/>
        <v>2.4246234295751373E-2</v>
      </c>
      <c r="S59" s="18">
        <v>103.93212049511982</v>
      </c>
      <c r="T59" s="35">
        <f t="shared" si="7"/>
        <v>35.08374894076762</v>
      </c>
      <c r="U59" s="35">
        <f t="shared" si="8"/>
        <v>0.37467105923238364</v>
      </c>
      <c r="V59" s="35">
        <f t="shared" si="10"/>
        <v>3.2446931080417052</v>
      </c>
    </row>
    <row r="60" spans="1:22" x14ac:dyDescent="0.25">
      <c r="A60" s="34" t="s">
        <v>87</v>
      </c>
      <c r="B60" s="16">
        <v>2.4E-2</v>
      </c>
      <c r="C60" s="8">
        <v>0</v>
      </c>
      <c r="D60" s="8">
        <v>16.553999999999998</v>
      </c>
      <c r="E60" s="8">
        <v>2.9000000000000001E-2</v>
      </c>
      <c r="F60" s="8">
        <v>0.755</v>
      </c>
      <c r="G60" s="8">
        <v>1.7999999999999999E-2</v>
      </c>
      <c r="H60" s="8">
        <v>0.115</v>
      </c>
      <c r="I60" s="8">
        <v>2.1999999999999999E-2</v>
      </c>
      <c r="J60" s="8">
        <v>0.12</v>
      </c>
      <c r="K60" s="38">
        <f t="shared" si="0"/>
        <v>0.189</v>
      </c>
      <c r="L60" s="38">
        <f t="shared" si="1"/>
        <v>35.498035000000002</v>
      </c>
      <c r="M60" s="29">
        <f t="shared" si="2"/>
        <v>125.77867054143005</v>
      </c>
      <c r="N60" s="29">
        <f t="shared" si="3"/>
        <v>3.7117097598410359E+24</v>
      </c>
      <c r="O60" s="35">
        <f t="shared" si="4"/>
        <v>120.28832123935113</v>
      </c>
      <c r="P60" s="35">
        <f t="shared" si="5"/>
        <v>35.401117319262902</v>
      </c>
      <c r="Q60" s="35">
        <f t="shared" si="6"/>
        <v>9.6917680737099943E-2</v>
      </c>
      <c r="R60" s="35">
        <f t="shared" si="9"/>
        <v>0.2629555958528158</v>
      </c>
      <c r="S60" s="18">
        <v>99.700138387100452</v>
      </c>
      <c r="T60" s="35">
        <f t="shared" si="7"/>
        <v>34.99347880563613</v>
      </c>
      <c r="U60" s="35">
        <f t="shared" si="8"/>
        <v>0.50455619436387167</v>
      </c>
      <c r="V60" s="35">
        <f t="shared" si="10"/>
        <v>7.1268148503948101</v>
      </c>
    </row>
    <row r="61" spans="1:22" x14ac:dyDescent="0.25">
      <c r="A61" s="34" t="s">
        <v>88</v>
      </c>
      <c r="B61" s="16">
        <v>2.4E-2</v>
      </c>
      <c r="C61" s="8">
        <v>0</v>
      </c>
      <c r="D61" s="8">
        <v>15.914</v>
      </c>
      <c r="E61" s="8">
        <v>3.6999999999999998E-2</v>
      </c>
      <c r="F61" s="8">
        <v>1.0589999999999999</v>
      </c>
      <c r="G61" s="8">
        <v>0.01</v>
      </c>
      <c r="H61" s="8">
        <v>-0.02</v>
      </c>
      <c r="I61" s="8">
        <v>0.02</v>
      </c>
      <c r="J61" s="8">
        <v>0.12</v>
      </c>
      <c r="K61" s="38">
        <f t="shared" si="0"/>
        <v>0.187</v>
      </c>
      <c r="L61" s="38">
        <f t="shared" si="1"/>
        <v>35.325272999999996</v>
      </c>
      <c r="M61" s="29">
        <f t="shared" si="2"/>
        <v>116.15946416703835</v>
      </c>
      <c r="N61" s="29">
        <f t="shared" si="3"/>
        <v>3.7117097598410359E+24</v>
      </c>
      <c r="O61" s="35">
        <f t="shared" si="4"/>
        <v>120.28832123935113</v>
      </c>
      <c r="P61" s="35">
        <f t="shared" si="5"/>
        <v>35.401117319262902</v>
      </c>
      <c r="Q61" s="35">
        <f t="shared" si="6"/>
        <v>-7.5844319262905913E-2</v>
      </c>
      <c r="R61" s="35">
        <f t="shared" si="9"/>
        <v>0.1644988636922303</v>
      </c>
      <c r="S61" s="18">
        <v>99.700138387100452</v>
      </c>
      <c r="T61" s="35">
        <f t="shared" si="7"/>
        <v>34.99347880563613</v>
      </c>
      <c r="U61" s="35">
        <f t="shared" si="8"/>
        <v>0.33179419436386581</v>
      </c>
      <c r="V61" s="35">
        <f t="shared" si="10"/>
        <v>3.1481422806933788</v>
      </c>
    </row>
    <row r="62" spans="1:22" x14ac:dyDescent="0.25">
      <c r="A62" s="34" t="s">
        <v>89</v>
      </c>
      <c r="B62" s="16">
        <v>2.3E-2</v>
      </c>
      <c r="C62" s="8">
        <v>0</v>
      </c>
      <c r="D62" s="8">
        <v>15.606</v>
      </c>
      <c r="E62" s="8">
        <v>2.9000000000000001E-2</v>
      </c>
      <c r="F62" s="8">
        <v>1.0620000000000001</v>
      </c>
      <c r="G62" s="8">
        <v>2.4E-2</v>
      </c>
      <c r="H62" s="8">
        <v>-7.2999999999999995E-2</v>
      </c>
      <c r="I62" s="8">
        <v>2.1000000000000001E-2</v>
      </c>
      <c r="J62" s="8">
        <v>0.12</v>
      </c>
      <c r="K62" s="38">
        <f t="shared" si="0"/>
        <v>0.19400000000000001</v>
      </c>
      <c r="L62" s="38">
        <f t="shared" si="1"/>
        <v>35.183604000000003</v>
      </c>
      <c r="M62" s="29">
        <f t="shared" si="2"/>
        <v>108.82302650182643</v>
      </c>
      <c r="N62" s="29">
        <f t="shared" si="3"/>
        <v>3.5553380897740484E+24</v>
      </c>
      <c r="O62" s="35">
        <f t="shared" si="4"/>
        <v>115.22066053881264</v>
      </c>
      <c r="P62" s="35">
        <f t="shared" si="5"/>
        <v>35.307651803139365</v>
      </c>
      <c r="Q62" s="35">
        <f t="shared" si="6"/>
        <v>-0.12404780313936214</v>
      </c>
      <c r="R62" s="35">
        <f t="shared" si="9"/>
        <v>0.40886006652412432</v>
      </c>
      <c r="S62" s="18">
        <v>95.474330029266582</v>
      </c>
      <c r="T62" s="35">
        <f t="shared" si="7"/>
        <v>34.899433097436074</v>
      </c>
      <c r="U62" s="35">
        <f t="shared" si="8"/>
        <v>0.28417090256392896</v>
      </c>
      <c r="V62" s="35">
        <f t="shared" si="10"/>
        <v>2.1456345484110426</v>
      </c>
    </row>
    <row r="63" spans="1:22" x14ac:dyDescent="0.25">
      <c r="A63" s="34" t="s">
        <v>90</v>
      </c>
      <c r="B63" s="16">
        <v>2.4E-2</v>
      </c>
      <c r="C63" s="8">
        <v>1E-3</v>
      </c>
      <c r="D63" s="8">
        <v>16.074000000000002</v>
      </c>
      <c r="E63" s="8">
        <v>2.3E-2</v>
      </c>
      <c r="F63" s="8">
        <v>1.0589999999999999</v>
      </c>
      <c r="G63" s="8">
        <v>8.0000000000000002E-3</v>
      </c>
      <c r="H63" s="8">
        <v>6.7000000000000004E-2</v>
      </c>
      <c r="I63" s="8">
        <v>0.02</v>
      </c>
      <c r="J63" s="8">
        <v>0.12</v>
      </c>
      <c r="K63" s="38">
        <f t="shared" si="0"/>
        <v>0.17099999999999999</v>
      </c>
      <c r="L63" s="38">
        <f t="shared" si="1"/>
        <v>35.212963000000002</v>
      </c>
      <c r="M63" s="29">
        <f t="shared" si="2"/>
        <v>110.30433990069987</v>
      </c>
      <c r="N63" s="29">
        <f t="shared" si="3"/>
        <v>3.7117097598410359E+24</v>
      </c>
      <c r="O63" s="35">
        <f t="shared" si="4"/>
        <v>120.28832123935113</v>
      </c>
      <c r="P63" s="35">
        <f t="shared" si="5"/>
        <v>35.401117319262902</v>
      </c>
      <c r="Q63" s="35">
        <f t="shared" si="6"/>
        <v>-0.18815431926289961</v>
      </c>
      <c r="R63" s="35">
        <f t="shared" si="9"/>
        <v>1.2106989452236638</v>
      </c>
      <c r="S63" s="18">
        <v>99.700138387100452</v>
      </c>
      <c r="T63" s="35">
        <f t="shared" si="7"/>
        <v>34.99347880563613</v>
      </c>
      <c r="U63" s="35">
        <f t="shared" si="8"/>
        <v>0.21948419436387212</v>
      </c>
      <c r="V63" s="35">
        <f t="shared" si="10"/>
        <v>1.647457733167744</v>
      </c>
    </row>
    <row r="64" spans="1:22" x14ac:dyDescent="0.25">
      <c r="A64" s="34" t="s">
        <v>91</v>
      </c>
      <c r="B64" s="16">
        <v>2.4E-2</v>
      </c>
      <c r="C64" s="8">
        <v>0</v>
      </c>
      <c r="D64" s="8">
        <v>16.157</v>
      </c>
      <c r="E64" s="8">
        <v>3.4000000000000002E-2</v>
      </c>
      <c r="F64" s="8">
        <v>0.85199999999999998</v>
      </c>
      <c r="G64" s="8">
        <v>1.9E-2</v>
      </c>
      <c r="H64" s="8">
        <v>1.0999999999999999E-2</v>
      </c>
      <c r="I64" s="8">
        <v>2.1999999999999999E-2</v>
      </c>
      <c r="J64" s="8">
        <v>0.12</v>
      </c>
      <c r="K64" s="38">
        <f t="shared" si="0"/>
        <v>0.19500000000000001</v>
      </c>
      <c r="L64" s="38">
        <f t="shared" si="1"/>
        <v>35.440814000000003</v>
      </c>
      <c r="M64" s="29">
        <f t="shared" si="2"/>
        <v>122.50753459909662</v>
      </c>
      <c r="N64" s="29">
        <f t="shared" si="3"/>
        <v>3.7117097598410359E+24</v>
      </c>
      <c r="O64" s="35">
        <f t="shared" si="4"/>
        <v>120.28832123935113</v>
      </c>
      <c r="P64" s="35">
        <f t="shared" si="5"/>
        <v>35.401117319262902</v>
      </c>
      <c r="Q64" s="35">
        <f t="shared" si="6"/>
        <v>3.9696680737101531E-2</v>
      </c>
      <c r="R64" s="35">
        <f t="shared" si="9"/>
        <v>4.1441853032041225E-2</v>
      </c>
      <c r="S64" s="18">
        <v>99.700138387100452</v>
      </c>
      <c r="T64" s="35">
        <f t="shared" si="7"/>
        <v>34.99347880563613</v>
      </c>
      <c r="U64" s="35">
        <f t="shared" si="8"/>
        <v>0.44733519436387326</v>
      </c>
      <c r="V64" s="35">
        <f t="shared" si="10"/>
        <v>5.2625582147682906</v>
      </c>
    </row>
    <row r="65" spans="1:22" x14ac:dyDescent="0.25">
      <c r="A65" s="34" t="s">
        <v>92</v>
      </c>
      <c r="B65" s="16">
        <v>2.4E-2</v>
      </c>
      <c r="C65" s="8">
        <v>0</v>
      </c>
      <c r="D65" s="8">
        <v>16.765999999999998</v>
      </c>
      <c r="E65" s="8">
        <v>3.3000000000000002E-2</v>
      </c>
      <c r="F65" s="8">
        <v>0.72599999999999998</v>
      </c>
      <c r="G65" s="8">
        <v>1.4999999999999999E-2</v>
      </c>
      <c r="H65" s="8">
        <v>0.17899999999999999</v>
      </c>
      <c r="I65" s="8">
        <v>2.5000000000000001E-2</v>
      </c>
      <c r="J65" s="8">
        <v>0.12</v>
      </c>
      <c r="K65" s="38">
        <f t="shared" si="0"/>
        <v>0.193</v>
      </c>
      <c r="L65" s="38">
        <f t="shared" si="1"/>
        <v>35.505451999999998</v>
      </c>
      <c r="M65" s="29">
        <f t="shared" si="2"/>
        <v>126.20902159892788</v>
      </c>
      <c r="N65" s="29">
        <f t="shared" si="3"/>
        <v>3.7117097598410359E+24</v>
      </c>
      <c r="O65" s="35">
        <f t="shared" si="4"/>
        <v>120.28832123935113</v>
      </c>
      <c r="P65" s="35">
        <f t="shared" si="5"/>
        <v>35.401117319262902</v>
      </c>
      <c r="Q65" s="35">
        <f t="shared" si="6"/>
        <v>0.10433468073709662</v>
      </c>
      <c r="R65" s="35">
        <f t="shared" si="9"/>
        <v>0.29224208984165695</v>
      </c>
      <c r="S65" s="18">
        <v>99.700138387100452</v>
      </c>
      <c r="T65" s="35">
        <f t="shared" si="7"/>
        <v>34.99347880563613</v>
      </c>
      <c r="U65" s="35">
        <f t="shared" si="8"/>
        <v>0.51197319436386834</v>
      </c>
      <c r="V65" s="35">
        <f t="shared" si="10"/>
        <v>7.0368748623357211</v>
      </c>
    </row>
    <row r="66" spans="1:22" x14ac:dyDescent="0.25">
      <c r="A66" s="34" t="s">
        <v>93</v>
      </c>
      <c r="B66" s="16">
        <v>2.5000000000000001E-2</v>
      </c>
      <c r="C66" s="8">
        <v>0</v>
      </c>
      <c r="D66" s="8">
        <v>16.358000000000001</v>
      </c>
      <c r="E66" s="8">
        <v>5.0999999999999997E-2</v>
      </c>
      <c r="F66" s="8">
        <v>0.93600000000000005</v>
      </c>
      <c r="G66" s="8">
        <v>0.03</v>
      </c>
      <c r="H66" s="8">
        <v>0.16900000000000001</v>
      </c>
      <c r="I66" s="8">
        <v>3.1E-2</v>
      </c>
      <c r="J66" s="8">
        <v>0.12</v>
      </c>
      <c r="K66" s="38">
        <f t="shared" si="0"/>
        <v>0.23199999999999998</v>
      </c>
      <c r="L66" s="38">
        <f t="shared" si="1"/>
        <v>35.159621999999999</v>
      </c>
      <c r="M66" s="29">
        <f t="shared" si="2"/>
        <v>107.62778437903465</v>
      </c>
      <c r="N66" s="29">
        <f t="shared" si="3"/>
        <v>3.8682288993006393E+24</v>
      </c>
      <c r="O66" s="35">
        <f t="shared" si="4"/>
        <v>125.36076109742612</v>
      </c>
      <c r="P66" s="35">
        <f t="shared" si="5"/>
        <v>35.490808100910236</v>
      </c>
      <c r="Q66" s="35">
        <f t="shared" si="6"/>
        <v>-0.33118610091023726</v>
      </c>
      <c r="R66" s="35">
        <f t="shared" si="9"/>
        <v>2.0378313287032896</v>
      </c>
      <c r="S66" s="18">
        <v>103.93212049511982</v>
      </c>
      <c r="T66" s="35">
        <f t="shared" si="7"/>
        <v>35.08374894076762</v>
      </c>
      <c r="U66" s="35">
        <f t="shared" si="8"/>
        <v>7.5873059232378637E-2</v>
      </c>
      <c r="V66" s="35">
        <f t="shared" si="10"/>
        <v>0.10695453918846683</v>
      </c>
    </row>
    <row r="67" spans="1:22" x14ac:dyDescent="0.25">
      <c r="A67" s="34" t="s">
        <v>94</v>
      </c>
      <c r="B67" s="16">
        <v>2.5000000000000001E-2</v>
      </c>
      <c r="C67" s="8">
        <v>0</v>
      </c>
      <c r="D67" s="8">
        <v>16.271000000000001</v>
      </c>
      <c r="E67" s="8">
        <v>4.2999999999999997E-2</v>
      </c>
      <c r="F67" s="8">
        <v>0.82</v>
      </c>
      <c r="G67" s="8">
        <v>2.1999999999999999E-2</v>
      </c>
      <c r="H67" s="8">
        <v>-1.2E-2</v>
      </c>
      <c r="I67" s="8">
        <v>2.9000000000000001E-2</v>
      </c>
      <c r="J67" s="8">
        <v>0.12</v>
      </c>
      <c r="K67" s="38">
        <f t="shared" si="0"/>
        <v>0.214</v>
      </c>
      <c r="L67" s="38">
        <f t="shared" si="1"/>
        <v>35.622100000000003</v>
      </c>
      <c r="M67" s="29">
        <f t="shared" si="2"/>
        <v>133.17417038297521</v>
      </c>
      <c r="N67" s="29">
        <f t="shared" si="3"/>
        <v>3.8682288993006393E+24</v>
      </c>
      <c r="O67" s="35">
        <f t="shared" si="4"/>
        <v>125.36076109742612</v>
      </c>
      <c r="P67" s="35">
        <f t="shared" si="5"/>
        <v>35.490808100910236</v>
      </c>
      <c r="Q67" s="35">
        <f t="shared" si="6"/>
        <v>0.13129189908976713</v>
      </c>
      <c r="R67" s="35">
        <f t="shared" si="9"/>
        <v>0.3763988725346667</v>
      </c>
      <c r="S67" s="18">
        <v>103.93212049511982</v>
      </c>
      <c r="T67" s="35">
        <f t="shared" si="7"/>
        <v>35.08374894076762</v>
      </c>
      <c r="U67" s="35">
        <f t="shared" si="8"/>
        <v>0.53835105923238302</v>
      </c>
      <c r="V67" s="35">
        <f t="shared" si="10"/>
        <v>6.3285409856019914</v>
      </c>
    </row>
    <row r="68" spans="1:22" x14ac:dyDescent="0.25">
      <c r="A68" s="34" t="s">
        <v>95</v>
      </c>
      <c r="B68" s="16">
        <v>2.5000000000000001E-2</v>
      </c>
      <c r="C68" s="8">
        <v>2E-3</v>
      </c>
      <c r="D68" s="8">
        <v>16.355</v>
      </c>
      <c r="E68" s="8">
        <v>4.1000000000000002E-2</v>
      </c>
      <c r="F68" s="8">
        <v>0.95</v>
      </c>
      <c r="G68" s="8">
        <v>3.3000000000000002E-2</v>
      </c>
      <c r="H68" s="8">
        <v>0.18</v>
      </c>
      <c r="I68" s="8">
        <v>3.6999999999999998E-2</v>
      </c>
      <c r="J68" s="8">
        <v>0.12</v>
      </c>
      <c r="K68" s="38">
        <f t="shared" si="0"/>
        <v>0.23100000000000001</v>
      </c>
      <c r="L68" s="38">
        <f t="shared" si="1"/>
        <v>35.124250000000004</v>
      </c>
      <c r="M68" s="29">
        <f t="shared" si="2"/>
        <v>105.88879350750462</v>
      </c>
      <c r="N68" s="29">
        <f t="shared" si="3"/>
        <v>3.8682288993006393E+24</v>
      </c>
      <c r="O68" s="35">
        <f t="shared" si="4"/>
        <v>125.36076109742612</v>
      </c>
      <c r="P68" s="35">
        <f t="shared" si="5"/>
        <v>35.490808100910236</v>
      </c>
      <c r="Q68" s="35">
        <f t="shared" si="6"/>
        <v>-0.36655810091023255</v>
      </c>
      <c r="R68" s="35">
        <f t="shared" si="9"/>
        <v>2.5180345447595851</v>
      </c>
      <c r="S68" s="18">
        <v>103.93212049511982</v>
      </c>
      <c r="T68" s="35">
        <f t="shared" si="7"/>
        <v>35.08374894076762</v>
      </c>
      <c r="U68" s="35">
        <f t="shared" si="8"/>
        <v>4.0501059232383341E-2</v>
      </c>
      <c r="V68" s="35">
        <f t="shared" si="10"/>
        <v>3.0740349673825895E-2</v>
      </c>
    </row>
    <row r="69" spans="1:22" x14ac:dyDescent="0.25">
      <c r="A69" s="34" t="s">
        <v>96</v>
      </c>
      <c r="B69" s="16">
        <v>2.7E-2</v>
      </c>
      <c r="C69" s="8">
        <v>0</v>
      </c>
      <c r="D69" s="8">
        <v>16.18</v>
      </c>
      <c r="E69" s="8">
        <v>2.4E-2</v>
      </c>
      <c r="F69" s="8">
        <v>1.0449999999999999</v>
      </c>
      <c r="G69" s="8">
        <v>1.6E-2</v>
      </c>
      <c r="H69" s="8">
        <v>-0.01</v>
      </c>
      <c r="I69" s="8">
        <v>2.1000000000000001E-2</v>
      </c>
      <c r="J69" s="8">
        <v>0.12</v>
      </c>
      <c r="K69" s="38">
        <f t="shared" si="0"/>
        <v>0.18099999999999999</v>
      </c>
      <c r="L69" s="38">
        <f t="shared" si="1"/>
        <v>35.557915000000001</v>
      </c>
      <c r="M69" s="29">
        <f t="shared" si="2"/>
        <v>129.29537794920287</v>
      </c>
      <c r="N69" s="29">
        <f t="shared" si="3"/>
        <v>4.1817087133672496E+24</v>
      </c>
      <c r="O69" s="35">
        <f t="shared" si="4"/>
        <v>135.51994999319567</v>
      </c>
      <c r="P69" s="35">
        <f t="shared" si="5"/>
        <v>35.660016163660906</v>
      </c>
      <c r="Q69" s="35">
        <f t="shared" si="6"/>
        <v>-0.1021011636609046</v>
      </c>
      <c r="R69" s="35">
        <f t="shared" si="9"/>
        <v>0.31820297368550493</v>
      </c>
      <c r="S69" s="18">
        <v>112.41457937571926</v>
      </c>
      <c r="T69" s="35">
        <f t="shared" si="7"/>
        <v>35.254113199039573</v>
      </c>
      <c r="U69" s="35">
        <f t="shared" si="8"/>
        <v>0.30380180096042864</v>
      </c>
      <c r="V69" s="35">
        <f t="shared" si="10"/>
        <v>2.8172380045419829</v>
      </c>
    </row>
    <row r="70" spans="1:22" x14ac:dyDescent="0.25">
      <c r="A70" s="34" t="s">
        <v>97</v>
      </c>
      <c r="B70" s="16">
        <v>2.8000000000000001E-2</v>
      </c>
      <c r="C70" s="8">
        <v>0</v>
      </c>
      <c r="D70" s="8">
        <v>16.097000000000001</v>
      </c>
      <c r="E70" s="8">
        <v>3.2000000000000001E-2</v>
      </c>
      <c r="F70" s="8">
        <v>1.079</v>
      </c>
      <c r="G70" s="8">
        <v>8.4000000000000005E-2</v>
      </c>
      <c r="H70" s="8">
        <v>-6.3E-2</v>
      </c>
      <c r="I70" s="8">
        <v>3.5000000000000003E-2</v>
      </c>
      <c r="J70" s="8">
        <v>0.12</v>
      </c>
      <c r="K70" s="38">
        <f t="shared" si="0"/>
        <v>0.27100000000000002</v>
      </c>
      <c r="L70" s="38">
        <f t="shared" si="1"/>
        <v>35.645803000000001</v>
      </c>
      <c r="M70" s="29">
        <f t="shared" si="2"/>
        <v>134.63581387424148</v>
      </c>
      <c r="N70" s="29">
        <f t="shared" si="3"/>
        <v>4.3386689525352566E+24</v>
      </c>
      <c r="O70" s="35">
        <f t="shared" si="4"/>
        <v>140.60668491927328</v>
      </c>
      <c r="P70" s="35">
        <f t="shared" si="5"/>
        <v>35.740029845045513</v>
      </c>
      <c r="Q70" s="35">
        <f t="shared" si="6"/>
        <v>-9.4226845045511709E-2</v>
      </c>
      <c r="R70" s="35">
        <f t="shared" si="9"/>
        <v>0.12089566219456263</v>
      </c>
      <c r="S70" s="18">
        <v>116.66504285893015</v>
      </c>
      <c r="T70" s="35">
        <f t="shared" si="7"/>
        <v>35.334703724625321</v>
      </c>
      <c r="U70" s="35">
        <f t="shared" si="8"/>
        <v>0.31109927537467996</v>
      </c>
      <c r="V70" s="35">
        <f t="shared" si="10"/>
        <v>1.3178300831776657</v>
      </c>
    </row>
    <row r="71" spans="1:22" x14ac:dyDescent="0.25">
      <c r="A71" s="34" t="s">
        <v>98</v>
      </c>
      <c r="B71" s="16">
        <v>2.5000000000000001E-2</v>
      </c>
      <c r="C71" s="8">
        <v>0</v>
      </c>
      <c r="D71" s="8">
        <v>15.85</v>
      </c>
      <c r="E71" s="8">
        <v>3.7999999999999999E-2</v>
      </c>
      <c r="F71" s="8">
        <v>0.93799999999999994</v>
      </c>
      <c r="G71" s="8">
        <v>1.7999999999999999E-2</v>
      </c>
      <c r="H71" s="8">
        <v>3.0000000000000001E-3</v>
      </c>
      <c r="I71" s="8">
        <v>2.1999999999999999E-2</v>
      </c>
      <c r="J71" s="8">
        <v>0.12</v>
      </c>
      <c r="K71" s="38">
        <f t="shared" ref="K71:K134" si="11">PeakMagnitudeError+StretchError+ColorError+ScatterError</f>
        <v>0.19799999999999998</v>
      </c>
      <c r="L71" s="38">
        <f t="shared" ref="L71:L134" si="12">PeakMagnitude+α*(Stretch-1)-β*Color-Mb</f>
        <v>35.171495999999998</v>
      </c>
      <c r="M71" s="29">
        <f t="shared" ref="M71:M134" si="13">10^((ObservedDistanceModuli-25)/5)</f>
        <v>108.2179244030648</v>
      </c>
      <c r="N71" s="29">
        <f t="shared" ref="N71:N134" si="14">(RedShift*Age*(2*InitialTangentVelocity-UniverseAcceleration*Age))/(2+RedShift)*(1+RedShift)</f>
        <v>3.8682288993006393E+24</v>
      </c>
      <c r="O71" s="35">
        <f t="shared" ref="O71:O134" si="15">N71/Mpc</f>
        <v>125.36076109742612</v>
      </c>
      <c r="P71" s="35">
        <f t="shared" ref="P71:P134" si="16">(LOG10(T2LuminousDistance)*5+25)</f>
        <v>35.490808100910236</v>
      </c>
      <c r="Q71" s="35">
        <f t="shared" ref="Q71:Q134" si="17">ObservedDistanceModuli-T2DistanceModuli</f>
        <v>-0.31931210091023843</v>
      </c>
      <c r="R71" s="35">
        <f t="shared" ref="R71:R134" si="18">(ObservedDistanceModuli-T2DistanceModuli)^2/TotalError^2</f>
        <v>2.6007605802395242</v>
      </c>
      <c r="S71" s="18">
        <v>103.93212049511982</v>
      </c>
      <c r="T71" s="35">
        <f t="shared" ref="T71:T134" si="19">(LOG10(ΛCDMLuminousDistance)*5+25)</f>
        <v>35.08374894076762</v>
      </c>
      <c r="U71" s="35">
        <f t="shared" ref="U71:U134" si="20">ObservedDistanceModuli-ΛCDMDistanceModuli</f>
        <v>8.7747059232377467E-2</v>
      </c>
      <c r="V71" s="35">
        <f t="shared" ref="V71:V134" si="21">(ObservedDistanceModuli-ΛCDMDistanceModuli)^2/TotalError^2</f>
        <v>0.19639695959418324</v>
      </c>
    </row>
    <row r="72" spans="1:22" x14ac:dyDescent="0.25">
      <c r="A72" s="34" t="s">
        <v>99</v>
      </c>
      <c r="B72" s="16">
        <v>2.7E-2</v>
      </c>
      <c r="C72" s="8">
        <v>0</v>
      </c>
      <c r="D72" s="8">
        <v>15.933999999999999</v>
      </c>
      <c r="E72" s="8">
        <v>0.03</v>
      </c>
      <c r="F72" s="8">
        <v>0.95</v>
      </c>
      <c r="G72" s="8">
        <v>1.2E-2</v>
      </c>
      <c r="H72" s="8">
        <v>-7.8E-2</v>
      </c>
      <c r="I72" s="8">
        <v>2.1000000000000001E-2</v>
      </c>
      <c r="J72" s="8">
        <v>0.12</v>
      </c>
      <c r="K72" s="38">
        <f t="shared" si="11"/>
        <v>0.183</v>
      </c>
      <c r="L72" s="38">
        <f t="shared" si="12"/>
        <v>35.51079</v>
      </c>
      <c r="M72" s="29">
        <f t="shared" si="13"/>
        <v>126.51965529429147</v>
      </c>
      <c r="N72" s="29">
        <f t="shared" si="14"/>
        <v>4.1817087133672496E+24</v>
      </c>
      <c r="O72" s="35">
        <f t="shared" si="15"/>
        <v>135.51994999319567</v>
      </c>
      <c r="P72" s="35">
        <f t="shared" si="16"/>
        <v>35.660016163660906</v>
      </c>
      <c r="Q72" s="35">
        <f t="shared" si="17"/>
        <v>-0.1492261636609058</v>
      </c>
      <c r="R72" s="35">
        <f t="shared" si="18"/>
        <v>0.66494812986208729</v>
      </c>
      <c r="S72" s="18">
        <v>112.41457937571926</v>
      </c>
      <c r="T72" s="35">
        <f t="shared" si="19"/>
        <v>35.254113199039573</v>
      </c>
      <c r="U72" s="35">
        <f t="shared" si="20"/>
        <v>0.25667680096042744</v>
      </c>
      <c r="V72" s="35">
        <f t="shared" si="21"/>
        <v>1.9673021037140221</v>
      </c>
    </row>
    <row r="73" spans="1:22" x14ac:dyDescent="0.25">
      <c r="A73" s="34" t="s">
        <v>100</v>
      </c>
      <c r="B73" s="16">
        <v>2.7E-2</v>
      </c>
      <c r="C73" s="8">
        <v>1E-3</v>
      </c>
      <c r="D73" s="8">
        <v>17.146000000000001</v>
      </c>
      <c r="E73" s="8">
        <v>2.1999999999999999E-2</v>
      </c>
      <c r="F73" s="8">
        <v>0.76800000000000002</v>
      </c>
      <c r="G73" s="8">
        <v>8.9999999999999993E-3</v>
      </c>
      <c r="H73" s="8">
        <v>0.16700000000000001</v>
      </c>
      <c r="I73" s="8">
        <v>2.1000000000000001E-2</v>
      </c>
      <c r="J73" s="8">
        <v>0.12</v>
      </c>
      <c r="K73" s="38">
        <f t="shared" si="11"/>
        <v>0.17199999999999999</v>
      </c>
      <c r="L73" s="38">
        <f t="shared" si="12"/>
        <v>35.929186000000001</v>
      </c>
      <c r="M73" s="29">
        <f t="shared" si="13"/>
        <v>153.40418227771059</v>
      </c>
      <c r="N73" s="29">
        <f t="shared" si="14"/>
        <v>4.1817087133672496E+24</v>
      </c>
      <c r="O73" s="35">
        <f t="shared" si="15"/>
        <v>135.51994999319567</v>
      </c>
      <c r="P73" s="35">
        <f t="shared" si="16"/>
        <v>35.660016163660906</v>
      </c>
      <c r="Q73" s="35">
        <f t="shared" si="17"/>
        <v>0.26916983633909553</v>
      </c>
      <c r="R73" s="35">
        <f t="shared" si="18"/>
        <v>2.4490400484997119</v>
      </c>
      <c r="S73" s="18">
        <v>112.41457937571926</v>
      </c>
      <c r="T73" s="35">
        <f t="shared" si="19"/>
        <v>35.254113199039573</v>
      </c>
      <c r="U73" s="35">
        <f t="shared" si="20"/>
        <v>0.67507280096042876</v>
      </c>
      <c r="V73" s="35">
        <f t="shared" si="21"/>
        <v>15.404383673491035</v>
      </c>
    </row>
    <row r="74" spans="1:22" x14ac:dyDescent="0.25">
      <c r="A74" s="34" t="s">
        <v>101</v>
      </c>
      <c r="B74" s="16">
        <v>2.7E-2</v>
      </c>
      <c r="C74" s="8">
        <v>0</v>
      </c>
      <c r="D74" s="8">
        <v>16.044</v>
      </c>
      <c r="E74" s="8">
        <v>2.5999999999999999E-2</v>
      </c>
      <c r="F74" s="8">
        <v>1.1819999999999999</v>
      </c>
      <c r="G74" s="8">
        <v>1.4E-2</v>
      </c>
      <c r="H74" s="8">
        <v>2.9000000000000001E-2</v>
      </c>
      <c r="I74" s="8">
        <v>2.5999999999999999E-2</v>
      </c>
      <c r="J74" s="8">
        <v>0.12</v>
      </c>
      <c r="K74" s="38">
        <f t="shared" si="11"/>
        <v>0.186</v>
      </c>
      <c r="L74" s="38">
        <f t="shared" si="12"/>
        <v>35.319984000000005</v>
      </c>
      <c r="M74" s="29">
        <f t="shared" si="13"/>
        <v>115.87688179994919</v>
      </c>
      <c r="N74" s="29">
        <f t="shared" si="14"/>
        <v>4.1817087133672496E+24</v>
      </c>
      <c r="O74" s="35">
        <f t="shared" si="15"/>
        <v>135.51994999319567</v>
      </c>
      <c r="P74" s="35">
        <f t="shared" si="16"/>
        <v>35.660016163660906</v>
      </c>
      <c r="Q74" s="35">
        <f t="shared" si="17"/>
        <v>-0.34003216366090072</v>
      </c>
      <c r="R74" s="35">
        <f t="shared" si="18"/>
        <v>3.3420589757172383</v>
      </c>
      <c r="S74" s="18">
        <v>112.41457937571926</v>
      </c>
      <c r="T74" s="35">
        <f t="shared" si="19"/>
        <v>35.254113199039573</v>
      </c>
      <c r="U74" s="35">
        <f t="shared" si="20"/>
        <v>6.5870800960432518E-2</v>
      </c>
      <c r="V74" s="35">
        <f t="shared" si="21"/>
        <v>0.12541803732133533</v>
      </c>
    </row>
    <row r="75" spans="1:22" x14ac:dyDescent="0.25">
      <c r="A75" s="34" t="s">
        <v>102</v>
      </c>
      <c r="B75" s="16">
        <v>2.7E-2</v>
      </c>
      <c r="C75" s="8">
        <v>0</v>
      </c>
      <c r="D75" s="8">
        <v>16.491</v>
      </c>
      <c r="E75" s="8">
        <v>3.6999999999999998E-2</v>
      </c>
      <c r="F75" s="8">
        <v>0.96399999999999997</v>
      </c>
      <c r="G75" s="8">
        <v>0.01</v>
      </c>
      <c r="H75" s="8">
        <v>9.8000000000000004E-2</v>
      </c>
      <c r="I75" s="8">
        <v>1.9E-2</v>
      </c>
      <c r="J75" s="8">
        <v>0.12</v>
      </c>
      <c r="K75" s="38">
        <f t="shared" si="11"/>
        <v>0.186</v>
      </c>
      <c r="L75" s="38">
        <f t="shared" si="12"/>
        <v>35.518968000000001</v>
      </c>
      <c r="M75" s="29">
        <f t="shared" si="13"/>
        <v>126.99704038047254</v>
      </c>
      <c r="N75" s="29">
        <f t="shared" si="14"/>
        <v>4.1817087133672496E+24</v>
      </c>
      <c r="O75" s="35">
        <f t="shared" si="15"/>
        <v>135.51994999319567</v>
      </c>
      <c r="P75" s="35">
        <f t="shared" si="16"/>
        <v>35.660016163660906</v>
      </c>
      <c r="Q75" s="35">
        <f t="shared" si="17"/>
        <v>-0.14104816366090489</v>
      </c>
      <c r="R75" s="35">
        <f t="shared" si="18"/>
        <v>0.57505447080915162</v>
      </c>
      <c r="S75" s="18">
        <v>112.41457937571926</v>
      </c>
      <c r="T75" s="35">
        <f t="shared" si="19"/>
        <v>35.254113199039573</v>
      </c>
      <c r="U75" s="35">
        <f t="shared" si="20"/>
        <v>0.26485480096042835</v>
      </c>
      <c r="V75" s="35">
        <f t="shared" si="21"/>
        <v>2.0276351483347241</v>
      </c>
    </row>
    <row r="76" spans="1:22" x14ac:dyDescent="0.25">
      <c r="A76" s="34" t="s">
        <v>103</v>
      </c>
      <c r="B76" s="16">
        <v>2.8000000000000001E-2</v>
      </c>
      <c r="C76" s="8">
        <v>0</v>
      </c>
      <c r="D76" s="8">
        <v>16.088999999999999</v>
      </c>
      <c r="E76" s="8">
        <v>0.03</v>
      </c>
      <c r="F76" s="8">
        <v>0.98199999999999998</v>
      </c>
      <c r="G76" s="8">
        <v>1.9E-2</v>
      </c>
      <c r="H76" s="8">
        <v>6.6000000000000003E-2</v>
      </c>
      <c r="I76" s="8">
        <v>2.5000000000000001E-2</v>
      </c>
      <c r="J76" s="8">
        <v>0.12</v>
      </c>
      <c r="K76" s="38">
        <f t="shared" si="11"/>
        <v>0.19400000000000001</v>
      </c>
      <c r="L76" s="38">
        <f t="shared" si="12"/>
        <v>35.219774000000001</v>
      </c>
      <c r="M76" s="29">
        <f t="shared" si="13"/>
        <v>110.65086160575582</v>
      </c>
      <c r="N76" s="29">
        <f t="shared" si="14"/>
        <v>4.3386689525352566E+24</v>
      </c>
      <c r="O76" s="35">
        <f t="shared" si="15"/>
        <v>140.60668491927328</v>
      </c>
      <c r="P76" s="35">
        <f t="shared" si="16"/>
        <v>35.740029845045513</v>
      </c>
      <c r="Q76" s="35">
        <f t="shared" si="17"/>
        <v>-0.52025584504551148</v>
      </c>
      <c r="R76" s="35">
        <f t="shared" si="18"/>
        <v>7.191682014667319</v>
      </c>
      <c r="S76" s="18">
        <v>116.66504285893015</v>
      </c>
      <c r="T76" s="35">
        <f t="shared" si="19"/>
        <v>35.334703724625321</v>
      </c>
      <c r="U76" s="35">
        <f t="shared" si="20"/>
        <v>-0.11492972462531981</v>
      </c>
      <c r="V76" s="35">
        <f t="shared" si="21"/>
        <v>0.35096295043181641</v>
      </c>
    </row>
    <row r="77" spans="1:22" x14ac:dyDescent="0.25">
      <c r="A77" s="34" t="s">
        <v>104</v>
      </c>
      <c r="B77" s="16">
        <v>2.8000000000000001E-2</v>
      </c>
      <c r="C77" s="8">
        <v>0</v>
      </c>
      <c r="D77" s="8">
        <v>16.699000000000002</v>
      </c>
      <c r="E77" s="8">
        <v>2.4E-2</v>
      </c>
      <c r="F77" s="8">
        <v>1.0620000000000001</v>
      </c>
      <c r="G77" s="8">
        <v>5.7000000000000002E-2</v>
      </c>
      <c r="H77" s="8">
        <v>0.13900000000000001</v>
      </c>
      <c r="I77" s="8">
        <v>2.1999999999999999E-2</v>
      </c>
      <c r="J77" s="8">
        <v>0.12</v>
      </c>
      <c r="K77" s="38">
        <f t="shared" si="11"/>
        <v>0.223</v>
      </c>
      <c r="L77" s="38">
        <f t="shared" si="12"/>
        <v>35.613044000000002</v>
      </c>
      <c r="M77" s="29">
        <f t="shared" si="13"/>
        <v>132.61993172687821</v>
      </c>
      <c r="N77" s="29">
        <f t="shared" si="14"/>
        <v>4.3386689525352566E+24</v>
      </c>
      <c r="O77" s="35">
        <f t="shared" si="15"/>
        <v>140.60668491927328</v>
      </c>
      <c r="P77" s="35">
        <f t="shared" si="16"/>
        <v>35.740029845045513</v>
      </c>
      <c r="Q77" s="35">
        <f t="shared" si="17"/>
        <v>-0.12698584504551036</v>
      </c>
      <c r="R77" s="35">
        <f t="shared" si="18"/>
        <v>0.3242656164797677</v>
      </c>
      <c r="S77" s="18">
        <v>116.66504285893015</v>
      </c>
      <c r="T77" s="35">
        <f t="shared" si="19"/>
        <v>35.334703724625321</v>
      </c>
      <c r="U77" s="35">
        <f t="shared" si="20"/>
        <v>0.27834027537468131</v>
      </c>
      <c r="V77" s="35">
        <f t="shared" si="21"/>
        <v>1.5579100503861614</v>
      </c>
    </row>
    <row r="78" spans="1:22" x14ac:dyDescent="0.25">
      <c r="A78" s="34" t="s">
        <v>105</v>
      </c>
      <c r="B78" s="16">
        <v>2.9000000000000001E-2</v>
      </c>
      <c r="C78" s="8">
        <v>1E-3</v>
      </c>
      <c r="D78" s="8">
        <v>16.521000000000001</v>
      </c>
      <c r="E78" s="8">
        <v>3.9E-2</v>
      </c>
      <c r="F78" s="8">
        <v>0.79100000000000004</v>
      </c>
      <c r="G78" s="8">
        <v>3.5999999999999997E-2</v>
      </c>
      <c r="H78" s="8">
        <v>3.0000000000000001E-3</v>
      </c>
      <c r="I78" s="8">
        <v>3.2000000000000001E-2</v>
      </c>
      <c r="J78" s="8">
        <v>0.12</v>
      </c>
      <c r="K78" s="38">
        <f t="shared" si="11"/>
        <v>0.22699999999999998</v>
      </c>
      <c r="L78" s="38">
        <f t="shared" si="12"/>
        <v>35.820886999999999</v>
      </c>
      <c r="M78" s="29">
        <f t="shared" si="13"/>
        <v>145.94102763971043</v>
      </c>
      <c r="N78" s="29">
        <f t="shared" si="14"/>
        <v>4.4957757902157551E+24</v>
      </c>
      <c r="O78" s="35">
        <f t="shared" si="15"/>
        <v>145.69817077958467</v>
      </c>
      <c r="P78" s="35">
        <f t="shared" si="16"/>
        <v>35.817270496484838</v>
      </c>
      <c r="Q78" s="35">
        <f t="shared" si="17"/>
        <v>3.6165035151611846E-3</v>
      </c>
      <c r="R78" s="35">
        <f t="shared" si="18"/>
        <v>2.5382013381150824E-4</v>
      </c>
      <c r="S78" s="18">
        <v>120.92165351364117</v>
      </c>
      <c r="T78" s="35">
        <f t="shared" si="19"/>
        <v>35.412520386001454</v>
      </c>
      <c r="U78" s="35">
        <f t="shared" si="20"/>
        <v>0.40836661399854535</v>
      </c>
      <c r="V78" s="35">
        <f t="shared" si="21"/>
        <v>3.2362997812617547</v>
      </c>
    </row>
    <row r="79" spans="1:22" x14ac:dyDescent="0.25">
      <c r="A79" s="34" t="s">
        <v>106</v>
      </c>
      <c r="B79" s="16">
        <v>2.9000000000000001E-2</v>
      </c>
      <c r="C79" s="8">
        <v>0</v>
      </c>
      <c r="D79" s="8">
        <v>16.321999999999999</v>
      </c>
      <c r="E79" s="8">
        <v>0.03</v>
      </c>
      <c r="F79" s="8">
        <v>1.159</v>
      </c>
      <c r="G79" s="8">
        <v>1.4E-2</v>
      </c>
      <c r="H79" s="8">
        <v>2.5999999999999999E-2</v>
      </c>
      <c r="I79" s="8">
        <v>0.02</v>
      </c>
      <c r="J79" s="8">
        <v>0.12</v>
      </c>
      <c r="K79" s="38">
        <f t="shared" si="11"/>
        <v>0.184</v>
      </c>
      <c r="L79" s="38">
        <f t="shared" si="12"/>
        <v>35.603993000000003</v>
      </c>
      <c r="M79" s="29">
        <f t="shared" si="13"/>
        <v>132.06830377604587</v>
      </c>
      <c r="N79" s="29">
        <f t="shared" si="14"/>
        <v>4.4957757902157551E+24</v>
      </c>
      <c r="O79" s="35">
        <f t="shared" si="15"/>
        <v>145.69817077958467</v>
      </c>
      <c r="P79" s="35">
        <f t="shared" si="16"/>
        <v>35.817270496484838</v>
      </c>
      <c r="Q79" s="35">
        <f t="shared" si="17"/>
        <v>-0.21327749648483518</v>
      </c>
      <c r="R79" s="35">
        <f t="shared" si="18"/>
        <v>1.343551822626385</v>
      </c>
      <c r="S79" s="18">
        <v>120.92165351364117</v>
      </c>
      <c r="T79" s="35">
        <f t="shared" si="19"/>
        <v>35.412520386001454</v>
      </c>
      <c r="U79" s="35">
        <f t="shared" si="20"/>
        <v>0.19147261399854898</v>
      </c>
      <c r="V79" s="35">
        <f t="shared" si="21"/>
        <v>1.0828734023935886</v>
      </c>
    </row>
    <row r="80" spans="1:22" x14ac:dyDescent="0.25">
      <c r="A80" s="34" t="s">
        <v>107</v>
      </c>
      <c r="B80" s="16">
        <v>0.03</v>
      </c>
      <c r="C80" s="8">
        <v>0</v>
      </c>
      <c r="D80" s="8">
        <v>16.244</v>
      </c>
      <c r="E80" s="8">
        <v>2.9000000000000001E-2</v>
      </c>
      <c r="F80" s="8">
        <v>1.008</v>
      </c>
      <c r="G80" s="8">
        <v>1.6E-2</v>
      </c>
      <c r="H80" s="8">
        <v>-9.5000000000000001E-2</v>
      </c>
      <c r="I80" s="8">
        <v>3.1E-2</v>
      </c>
      <c r="J80" s="8">
        <v>0.12</v>
      </c>
      <c r="K80" s="38">
        <f t="shared" si="11"/>
        <v>0.19600000000000001</v>
      </c>
      <c r="L80" s="38">
        <f t="shared" si="12"/>
        <v>35.882525999999999</v>
      </c>
      <c r="M80" s="29">
        <f t="shared" si="13"/>
        <v>150.1430382936847</v>
      </c>
      <c r="N80" s="29">
        <f t="shared" si="14"/>
        <v>4.6530290097606972E+24</v>
      </c>
      <c r="O80" s="35">
        <f t="shared" si="15"/>
        <v>150.79440055304474</v>
      </c>
      <c r="P80" s="35">
        <f t="shared" si="16"/>
        <v>35.891926075902731</v>
      </c>
      <c r="Q80" s="35">
        <f t="shared" si="17"/>
        <v>-9.4000759027323966E-3</v>
      </c>
      <c r="R80" s="35">
        <f t="shared" si="18"/>
        <v>2.3001204440110958E-3</v>
      </c>
      <c r="S80" s="18">
        <v>125.18440469891527</v>
      </c>
      <c r="T80" s="35">
        <f t="shared" si="19"/>
        <v>35.487751142172783</v>
      </c>
      <c r="U80" s="35">
        <f t="shared" si="20"/>
        <v>0.39477485782721544</v>
      </c>
      <c r="V80" s="35">
        <f t="shared" si="21"/>
        <v>4.0568301846235464</v>
      </c>
    </row>
    <row r="81" spans="1:22" x14ac:dyDescent="0.25">
      <c r="A81" s="34" t="s">
        <v>108</v>
      </c>
      <c r="B81" s="16">
        <v>3.1E-2</v>
      </c>
      <c r="C81" s="8">
        <v>0</v>
      </c>
      <c r="D81" s="8">
        <v>16.654</v>
      </c>
      <c r="E81" s="8">
        <v>3.4000000000000002E-2</v>
      </c>
      <c r="F81" s="8">
        <v>1.073</v>
      </c>
      <c r="G81" s="8">
        <v>2.9000000000000001E-2</v>
      </c>
      <c r="H81" s="8">
        <v>8.6999999999999994E-2</v>
      </c>
      <c r="I81" s="8">
        <v>2.5000000000000001E-2</v>
      </c>
      <c r="J81" s="8">
        <v>0.12</v>
      </c>
      <c r="K81" s="38">
        <f t="shared" si="11"/>
        <v>0.20799999999999999</v>
      </c>
      <c r="L81" s="38">
        <f t="shared" si="12"/>
        <v>35.732421000000002</v>
      </c>
      <c r="M81" s="29">
        <f t="shared" si="13"/>
        <v>140.11486090431177</v>
      </c>
      <c r="N81" s="29">
        <f t="shared" si="14"/>
        <v>4.8104283949487175E+24</v>
      </c>
      <c r="O81" s="35">
        <f t="shared" si="15"/>
        <v>155.89536723239627</v>
      </c>
      <c r="P81" s="35">
        <f t="shared" si="16"/>
        <v>35.964166046909533</v>
      </c>
      <c r="Q81" s="35">
        <f t="shared" si="17"/>
        <v>-0.23174504690953057</v>
      </c>
      <c r="R81" s="35">
        <f t="shared" si="18"/>
        <v>1.2413500084851268</v>
      </c>
      <c r="S81" s="18">
        <v>129.45328977536229</v>
      </c>
      <c r="T81" s="35">
        <f t="shared" si="19"/>
        <v>35.560565457830208</v>
      </c>
      <c r="U81" s="35">
        <f t="shared" si="20"/>
        <v>0.17185554216979426</v>
      </c>
      <c r="V81" s="35">
        <f t="shared" si="21"/>
        <v>0.68265364678425333</v>
      </c>
    </row>
    <row r="82" spans="1:22" x14ac:dyDescent="0.25">
      <c r="A82" s="34" t="s">
        <v>109</v>
      </c>
      <c r="B82" s="16">
        <v>0.03</v>
      </c>
      <c r="C82" s="8">
        <v>0</v>
      </c>
      <c r="D82" s="8">
        <v>16.864999999999998</v>
      </c>
      <c r="E82" s="8">
        <v>2.5999999999999999E-2</v>
      </c>
      <c r="F82" s="8">
        <v>1.048</v>
      </c>
      <c r="G82" s="8">
        <v>1.2E-2</v>
      </c>
      <c r="H82" s="8">
        <v>0.192</v>
      </c>
      <c r="I82" s="8">
        <v>2.1999999999999999E-2</v>
      </c>
      <c r="J82" s="8">
        <v>0.12</v>
      </c>
      <c r="K82" s="38">
        <f t="shared" si="11"/>
        <v>0.18</v>
      </c>
      <c r="L82" s="38">
        <f t="shared" si="12"/>
        <v>35.611095999999996</v>
      </c>
      <c r="M82" s="29">
        <f t="shared" si="13"/>
        <v>132.50101343800554</v>
      </c>
      <c r="N82" s="29">
        <f t="shared" si="14"/>
        <v>4.6530290097606972E+24</v>
      </c>
      <c r="O82" s="35">
        <f t="shared" si="15"/>
        <v>150.79440055304474</v>
      </c>
      <c r="P82" s="35">
        <f t="shared" si="16"/>
        <v>35.891926075902731</v>
      </c>
      <c r="Q82" s="35">
        <f t="shared" si="17"/>
        <v>-0.28083007590273468</v>
      </c>
      <c r="R82" s="35">
        <f t="shared" si="18"/>
        <v>2.4341213435659173</v>
      </c>
      <c r="S82" s="18">
        <v>125.18440469891527</v>
      </c>
      <c r="T82" s="35">
        <f t="shared" si="19"/>
        <v>35.487751142172783</v>
      </c>
      <c r="U82" s="35">
        <f t="shared" si="20"/>
        <v>0.12334485782721316</v>
      </c>
      <c r="V82" s="35">
        <f t="shared" si="21"/>
        <v>0.46956648001282186</v>
      </c>
    </row>
    <row r="83" spans="1:22" x14ac:dyDescent="0.25">
      <c r="A83" s="34" t="s">
        <v>110</v>
      </c>
      <c r="B83" s="16">
        <v>0.03</v>
      </c>
      <c r="C83" s="8">
        <v>1E-3</v>
      </c>
      <c r="D83" s="8">
        <v>16.725000000000001</v>
      </c>
      <c r="E83" s="8">
        <v>3.1E-2</v>
      </c>
      <c r="F83" s="8">
        <v>0.84199999999999997</v>
      </c>
      <c r="G83" s="8">
        <v>2.5999999999999999E-2</v>
      </c>
      <c r="H83" s="8">
        <v>-1E-3</v>
      </c>
      <c r="I83" s="8">
        <v>2.3E-2</v>
      </c>
      <c r="J83" s="8">
        <v>0.12</v>
      </c>
      <c r="K83" s="38">
        <f t="shared" si="11"/>
        <v>0.19999999999999998</v>
      </c>
      <c r="L83" s="38">
        <f t="shared" si="12"/>
        <v>36.044904000000002</v>
      </c>
      <c r="M83" s="29">
        <f t="shared" si="13"/>
        <v>161.80085044984077</v>
      </c>
      <c r="N83" s="29">
        <f t="shared" si="14"/>
        <v>4.6530290097606972E+24</v>
      </c>
      <c r="O83" s="35">
        <f t="shared" si="15"/>
        <v>150.79440055304474</v>
      </c>
      <c r="P83" s="35">
        <f t="shared" si="16"/>
        <v>35.891926075902731</v>
      </c>
      <c r="Q83" s="35">
        <f t="shared" si="17"/>
        <v>0.15297792409727151</v>
      </c>
      <c r="R83" s="35">
        <f t="shared" si="18"/>
        <v>0.58505613152776414</v>
      </c>
      <c r="S83" s="18">
        <v>125.18440469891527</v>
      </c>
      <c r="T83" s="35">
        <f t="shared" si="19"/>
        <v>35.487751142172783</v>
      </c>
      <c r="U83" s="35">
        <f t="shared" si="20"/>
        <v>0.55715285782721935</v>
      </c>
      <c r="V83" s="35">
        <f t="shared" si="21"/>
        <v>7.7604826746259441</v>
      </c>
    </row>
    <row r="84" spans="1:22" x14ac:dyDescent="0.25">
      <c r="A84" s="34" t="s">
        <v>111</v>
      </c>
      <c r="B84" s="16">
        <v>0.03</v>
      </c>
      <c r="C84" s="8">
        <v>0</v>
      </c>
      <c r="D84" s="8">
        <v>16.266999999999999</v>
      </c>
      <c r="E84" s="8">
        <v>4.2000000000000003E-2</v>
      </c>
      <c r="F84" s="8">
        <v>1.0469999999999999</v>
      </c>
      <c r="G84" s="8">
        <v>3.6999999999999998E-2</v>
      </c>
      <c r="H84" s="8">
        <v>-1.7999999999999999E-2</v>
      </c>
      <c r="I84" s="8">
        <v>0.03</v>
      </c>
      <c r="J84" s="8">
        <v>0.12</v>
      </c>
      <c r="K84" s="38">
        <f t="shared" si="11"/>
        <v>0.22899999999999998</v>
      </c>
      <c r="L84" s="38">
        <f t="shared" si="12"/>
        <v>35.670248999999998</v>
      </c>
      <c r="M84" s="29">
        <f t="shared" si="13"/>
        <v>136.16008065601477</v>
      </c>
      <c r="N84" s="29">
        <f t="shared" si="14"/>
        <v>4.6530290097606972E+24</v>
      </c>
      <c r="O84" s="35">
        <f t="shared" si="15"/>
        <v>150.79440055304474</v>
      </c>
      <c r="P84" s="35">
        <f t="shared" si="16"/>
        <v>35.891926075902731</v>
      </c>
      <c r="Q84" s="35">
        <f t="shared" si="17"/>
        <v>-0.22167707590273267</v>
      </c>
      <c r="R84" s="35">
        <f t="shared" si="18"/>
        <v>0.93706691292663957</v>
      </c>
      <c r="S84" s="18">
        <v>125.18440469891527</v>
      </c>
      <c r="T84" s="35">
        <f t="shared" si="19"/>
        <v>35.487751142172783</v>
      </c>
      <c r="U84" s="35">
        <f t="shared" si="20"/>
        <v>0.18249785782721517</v>
      </c>
      <c r="V84" s="35">
        <f t="shared" si="21"/>
        <v>0.63510360426998813</v>
      </c>
    </row>
    <row r="85" spans="1:22" x14ac:dyDescent="0.25">
      <c r="A85" s="34" t="s">
        <v>112</v>
      </c>
      <c r="B85" s="16">
        <v>3.1E-2</v>
      </c>
      <c r="C85" s="8">
        <v>0</v>
      </c>
      <c r="D85" s="8">
        <v>16.84</v>
      </c>
      <c r="E85" s="8">
        <v>3.4000000000000002E-2</v>
      </c>
      <c r="F85" s="8">
        <v>0.94099999999999995</v>
      </c>
      <c r="G85" s="8">
        <v>3.6999999999999998E-2</v>
      </c>
      <c r="H85" s="8">
        <v>-2.4E-2</v>
      </c>
      <c r="I85" s="8">
        <v>2.4E-2</v>
      </c>
      <c r="J85" s="8">
        <v>0.12</v>
      </c>
      <c r="K85" s="38">
        <f t="shared" si="11"/>
        <v>0.215</v>
      </c>
      <c r="L85" s="38">
        <f t="shared" si="12"/>
        <v>36.246446999999996</v>
      </c>
      <c r="M85" s="29">
        <f t="shared" si="13"/>
        <v>177.53721382083666</v>
      </c>
      <c r="N85" s="29">
        <f t="shared" si="14"/>
        <v>4.8104283949487175E+24</v>
      </c>
      <c r="O85" s="35">
        <f t="shared" si="15"/>
        <v>155.89536723239627</v>
      </c>
      <c r="P85" s="35">
        <f t="shared" si="16"/>
        <v>35.964166046909533</v>
      </c>
      <c r="Q85" s="35">
        <f t="shared" si="17"/>
        <v>0.28228095309046353</v>
      </c>
      <c r="R85" s="35">
        <f t="shared" si="18"/>
        <v>1.7237974359688584</v>
      </c>
      <c r="S85" s="18">
        <v>129.45328977536229</v>
      </c>
      <c r="T85" s="35">
        <f t="shared" si="19"/>
        <v>35.560565457830208</v>
      </c>
      <c r="U85" s="35">
        <f t="shared" si="20"/>
        <v>0.68588154216978836</v>
      </c>
      <c r="V85" s="35">
        <f t="shared" si="21"/>
        <v>10.177036017073169</v>
      </c>
    </row>
    <row r="86" spans="1:22" x14ac:dyDescent="0.25">
      <c r="A86" s="34" t="s">
        <v>113</v>
      </c>
      <c r="B86" s="16">
        <v>3.1E-2</v>
      </c>
      <c r="C86" s="8">
        <v>0</v>
      </c>
      <c r="D86" s="8">
        <v>16.516999999999999</v>
      </c>
      <c r="E86" s="8">
        <v>0.02</v>
      </c>
      <c r="F86" s="8">
        <v>0.85799999999999998</v>
      </c>
      <c r="G86" s="8">
        <v>8.9999999999999993E-3</v>
      </c>
      <c r="H86" s="8">
        <v>-6.4000000000000001E-2</v>
      </c>
      <c r="I86" s="8">
        <v>1.9E-2</v>
      </c>
      <c r="J86" s="8">
        <v>0.12</v>
      </c>
      <c r="K86" s="38">
        <f t="shared" si="11"/>
        <v>0.16799999999999998</v>
      </c>
      <c r="L86" s="38">
        <f t="shared" si="12"/>
        <v>36.036445999999998</v>
      </c>
      <c r="M86" s="29">
        <f t="shared" si="13"/>
        <v>161.17185335479141</v>
      </c>
      <c r="N86" s="29">
        <f t="shared" si="14"/>
        <v>4.8104283949487175E+24</v>
      </c>
      <c r="O86" s="35">
        <f t="shared" si="15"/>
        <v>155.89536723239627</v>
      </c>
      <c r="P86" s="35">
        <f t="shared" si="16"/>
        <v>35.964166046909533</v>
      </c>
      <c r="Q86" s="35">
        <f t="shared" si="17"/>
        <v>7.2279953090465199E-2</v>
      </c>
      <c r="R86" s="35">
        <f t="shared" si="18"/>
        <v>0.18510457832907634</v>
      </c>
      <c r="S86" s="18">
        <v>129.45328977536229</v>
      </c>
      <c r="T86" s="35">
        <f t="shared" si="19"/>
        <v>35.560565457830208</v>
      </c>
      <c r="U86" s="35">
        <f t="shared" si="20"/>
        <v>0.47588054216979003</v>
      </c>
      <c r="V86" s="35">
        <f t="shared" si="21"/>
        <v>8.0237489518074465</v>
      </c>
    </row>
    <row r="87" spans="1:22" x14ac:dyDescent="0.25">
      <c r="A87" s="34" t="s">
        <v>114</v>
      </c>
      <c r="B87" s="16">
        <v>3.3000000000000002E-2</v>
      </c>
      <c r="C87" s="8">
        <v>0</v>
      </c>
      <c r="D87" s="8">
        <v>17.010999999999999</v>
      </c>
      <c r="E87" s="8">
        <v>2.5000000000000001E-2</v>
      </c>
      <c r="F87" s="8">
        <v>1.0489999999999999</v>
      </c>
      <c r="G87" s="8">
        <v>3.1E-2</v>
      </c>
      <c r="H87" s="8">
        <v>7.6999999999999999E-2</v>
      </c>
      <c r="I87" s="8">
        <v>2.4E-2</v>
      </c>
      <c r="J87" s="8">
        <v>0.12</v>
      </c>
      <c r="K87" s="38">
        <f t="shared" si="11"/>
        <v>0.2</v>
      </c>
      <c r="L87" s="38">
        <f t="shared" si="12"/>
        <v>36.117193</v>
      </c>
      <c r="M87" s="29">
        <f t="shared" si="13"/>
        <v>167.27791243008363</v>
      </c>
      <c r="N87" s="29">
        <f t="shared" si="14"/>
        <v>5.1256647994956487E+24</v>
      </c>
      <c r="O87" s="35">
        <f t="shared" si="15"/>
        <v>166.11148334867991</v>
      </c>
      <c r="P87" s="35">
        <f t="shared" si="16"/>
        <v>36.101998282141963</v>
      </c>
      <c r="Q87" s="35">
        <f t="shared" si="17"/>
        <v>1.5194717858037166E-2</v>
      </c>
      <c r="R87" s="35">
        <f t="shared" si="18"/>
        <v>5.7719862696338376E-3</v>
      </c>
      <c r="S87" s="18">
        <v>138.00943505210341</v>
      </c>
      <c r="T87" s="35">
        <f t="shared" si="19"/>
        <v>35.69954389037558</v>
      </c>
      <c r="U87" s="35">
        <f t="shared" si="20"/>
        <v>0.41764910962442059</v>
      </c>
      <c r="V87" s="35">
        <f t="shared" si="21"/>
        <v>4.3607694692517818</v>
      </c>
    </row>
    <row r="88" spans="1:22" x14ac:dyDescent="0.25">
      <c r="A88" s="34" t="s">
        <v>115</v>
      </c>
      <c r="B88" s="16">
        <v>3.2000000000000001E-2</v>
      </c>
      <c r="C88" s="8">
        <v>0</v>
      </c>
      <c r="D88" s="8">
        <v>16.614000000000001</v>
      </c>
      <c r="E88" s="8">
        <v>2.4E-2</v>
      </c>
      <c r="F88" s="8">
        <v>0.84399999999999997</v>
      </c>
      <c r="G88" s="8">
        <v>1.4E-2</v>
      </c>
      <c r="H88" s="8">
        <v>-2.1000000000000001E-2</v>
      </c>
      <c r="I88" s="8">
        <v>2.1999999999999999E-2</v>
      </c>
      <c r="J88" s="8">
        <v>0.12</v>
      </c>
      <c r="K88" s="38">
        <f t="shared" si="11"/>
        <v>0.18</v>
      </c>
      <c r="L88" s="38">
        <f t="shared" si="12"/>
        <v>35.996797999999998</v>
      </c>
      <c r="M88" s="29">
        <f t="shared" si="13"/>
        <v>158.25578700273803</v>
      </c>
      <c r="N88" s="29">
        <f t="shared" si="14"/>
        <v>4.9679737299840838E+24</v>
      </c>
      <c r="O88" s="35">
        <f t="shared" si="15"/>
        <v>161.00106382417582</v>
      </c>
      <c r="P88" s="35">
        <f t="shared" si="16"/>
        <v>36.034143728340702</v>
      </c>
      <c r="Q88" s="35">
        <f t="shared" si="17"/>
        <v>-3.7345728340703488E-2</v>
      </c>
      <c r="R88" s="35">
        <f t="shared" si="18"/>
        <v>4.304640201535876E-2</v>
      </c>
      <c r="S88" s="18">
        <v>133.7283021051646</v>
      </c>
      <c r="T88" s="35">
        <f t="shared" si="19"/>
        <v>35.631116652889332</v>
      </c>
      <c r="U88" s="35">
        <f t="shared" si="20"/>
        <v>0.36568134711066591</v>
      </c>
      <c r="V88" s="35">
        <f t="shared" si="21"/>
        <v>4.12724838347751</v>
      </c>
    </row>
    <row r="89" spans="1:22" x14ac:dyDescent="0.25">
      <c r="A89" s="34" t="s">
        <v>116</v>
      </c>
      <c r="B89" s="16">
        <v>3.2000000000000001E-2</v>
      </c>
      <c r="C89" s="8">
        <v>0</v>
      </c>
      <c r="D89" s="8">
        <v>16.783000000000001</v>
      </c>
      <c r="E89" s="8">
        <v>0.02</v>
      </c>
      <c r="F89" s="8">
        <v>0.81200000000000006</v>
      </c>
      <c r="G89" s="8">
        <v>1.4999999999999999E-2</v>
      </c>
      <c r="H89" s="8">
        <v>1.4999999999999999E-2</v>
      </c>
      <c r="I89" s="8">
        <v>1.9E-2</v>
      </c>
      <c r="J89" s="8">
        <v>0.12</v>
      </c>
      <c r="K89" s="38">
        <f t="shared" si="11"/>
        <v>0.17399999999999999</v>
      </c>
      <c r="L89" s="38">
        <f t="shared" si="12"/>
        <v>36.048414000000001</v>
      </c>
      <c r="M89" s="29">
        <f t="shared" si="13"/>
        <v>162.06259921898123</v>
      </c>
      <c r="N89" s="29">
        <f t="shared" si="14"/>
        <v>4.9679737299840838E+24</v>
      </c>
      <c r="O89" s="35">
        <f t="shared" si="15"/>
        <v>161.00106382417582</v>
      </c>
      <c r="P89" s="35">
        <f t="shared" si="16"/>
        <v>36.034143728340702</v>
      </c>
      <c r="Q89" s="35">
        <f t="shared" si="17"/>
        <v>1.4270271659299283E-2</v>
      </c>
      <c r="R89" s="35">
        <f t="shared" si="18"/>
        <v>6.726141274613566E-3</v>
      </c>
      <c r="S89" s="18">
        <v>133.7283021051646</v>
      </c>
      <c r="T89" s="35">
        <f t="shared" si="19"/>
        <v>35.631116652889332</v>
      </c>
      <c r="U89" s="35">
        <f t="shared" si="20"/>
        <v>0.41729734711066868</v>
      </c>
      <c r="V89" s="35">
        <f t="shared" si="21"/>
        <v>5.7516539802352327</v>
      </c>
    </row>
    <row r="90" spans="1:22" x14ac:dyDescent="0.25">
      <c r="A90" s="34" t="s">
        <v>117</v>
      </c>
      <c r="B90" s="16">
        <v>3.3000000000000002E-2</v>
      </c>
      <c r="C90" s="8">
        <v>0</v>
      </c>
      <c r="D90" s="8">
        <v>16.898</v>
      </c>
      <c r="E90" s="8">
        <v>0.02</v>
      </c>
      <c r="F90" s="8">
        <v>1.1120000000000001</v>
      </c>
      <c r="G90" s="8">
        <v>1.2999999999999999E-2</v>
      </c>
      <c r="H90" s="8">
        <v>7.3999999999999996E-2</v>
      </c>
      <c r="I90" s="8">
        <v>1.9E-2</v>
      </c>
      <c r="J90" s="8">
        <v>0.12</v>
      </c>
      <c r="K90" s="38">
        <f t="shared" si="11"/>
        <v>0.17199999999999999</v>
      </c>
      <c r="L90" s="38">
        <f t="shared" si="12"/>
        <v>36.022843999999999</v>
      </c>
      <c r="M90" s="29">
        <f t="shared" si="13"/>
        <v>160.16543588947061</v>
      </c>
      <c r="N90" s="29">
        <f t="shared" si="14"/>
        <v>5.1256647994956487E+24</v>
      </c>
      <c r="O90" s="35">
        <f t="shared" si="15"/>
        <v>166.11148334867991</v>
      </c>
      <c r="P90" s="35">
        <f t="shared" si="16"/>
        <v>36.101998282141963</v>
      </c>
      <c r="Q90" s="35">
        <f t="shared" si="17"/>
        <v>-7.9154282141963961E-2</v>
      </c>
      <c r="R90" s="35">
        <f t="shared" si="18"/>
        <v>0.21178340932293252</v>
      </c>
      <c r="S90" s="18">
        <v>138.00943505210341</v>
      </c>
      <c r="T90" s="35">
        <f t="shared" si="19"/>
        <v>35.69954389037558</v>
      </c>
      <c r="U90" s="35">
        <f t="shared" si="20"/>
        <v>0.32330010962441946</v>
      </c>
      <c r="V90" s="35">
        <f t="shared" si="21"/>
        <v>3.5330908897769624</v>
      </c>
    </row>
    <row r="91" spans="1:22" x14ac:dyDescent="0.25">
      <c r="A91" s="34" t="s">
        <v>118</v>
      </c>
      <c r="B91" s="16">
        <v>3.1E-2</v>
      </c>
      <c r="C91" s="8">
        <v>0</v>
      </c>
      <c r="D91" s="8">
        <v>16.971</v>
      </c>
      <c r="E91" s="8">
        <v>2.3E-2</v>
      </c>
      <c r="F91" s="8">
        <v>1.0109999999999999</v>
      </c>
      <c r="G91" s="8">
        <v>1.9E-2</v>
      </c>
      <c r="H91" s="8">
        <v>0.13</v>
      </c>
      <c r="I91" s="8">
        <v>1.9E-2</v>
      </c>
      <c r="J91" s="8">
        <v>0.12</v>
      </c>
      <c r="K91" s="38">
        <f t="shared" si="11"/>
        <v>0.18099999999999999</v>
      </c>
      <c r="L91" s="38">
        <f t="shared" si="12"/>
        <v>35.905716999999996</v>
      </c>
      <c r="M91" s="29">
        <f t="shared" si="13"/>
        <v>151.75513660936366</v>
      </c>
      <c r="N91" s="29">
        <f t="shared" si="14"/>
        <v>4.8104283949487175E+24</v>
      </c>
      <c r="O91" s="35">
        <f t="shared" si="15"/>
        <v>155.89536723239627</v>
      </c>
      <c r="P91" s="35">
        <f t="shared" si="16"/>
        <v>35.964166046909533</v>
      </c>
      <c r="Q91" s="35">
        <f t="shared" si="17"/>
        <v>-5.8449046909537117E-2</v>
      </c>
      <c r="R91" s="35">
        <f t="shared" si="18"/>
        <v>0.10427920651485824</v>
      </c>
      <c r="S91" s="18">
        <v>129.45328977536229</v>
      </c>
      <c r="T91" s="35">
        <f t="shared" si="19"/>
        <v>35.560565457830208</v>
      </c>
      <c r="U91" s="35">
        <f t="shared" si="20"/>
        <v>0.34515154216978772</v>
      </c>
      <c r="V91" s="35">
        <f t="shared" si="21"/>
        <v>3.6363232826282093</v>
      </c>
    </row>
    <row r="92" spans="1:22" x14ac:dyDescent="0.25">
      <c r="A92" s="34" t="s">
        <v>119</v>
      </c>
      <c r="B92" s="16">
        <v>3.3000000000000002E-2</v>
      </c>
      <c r="C92" s="8">
        <v>0</v>
      </c>
      <c r="D92" s="8">
        <v>17.385000000000002</v>
      </c>
      <c r="E92" s="8">
        <v>4.7E-2</v>
      </c>
      <c r="F92" s="8">
        <v>0.92500000000000004</v>
      </c>
      <c r="G92" s="8">
        <v>3.6999999999999998E-2</v>
      </c>
      <c r="H92" s="8">
        <v>0.192</v>
      </c>
      <c r="I92" s="8">
        <v>0.03</v>
      </c>
      <c r="J92" s="8">
        <v>0.12</v>
      </c>
      <c r="K92" s="38">
        <f t="shared" si="11"/>
        <v>0.23399999999999999</v>
      </c>
      <c r="L92" s="38">
        <f t="shared" si="12"/>
        <v>36.113015000000004</v>
      </c>
      <c r="M92" s="29">
        <f t="shared" si="13"/>
        <v>166.95637244521023</v>
      </c>
      <c r="N92" s="29">
        <f t="shared" si="14"/>
        <v>5.1256647994956487E+24</v>
      </c>
      <c r="O92" s="35">
        <f t="shared" si="15"/>
        <v>166.11148334867991</v>
      </c>
      <c r="P92" s="35">
        <f t="shared" si="16"/>
        <v>36.101998282141963</v>
      </c>
      <c r="Q92" s="35">
        <f t="shared" si="17"/>
        <v>1.1016717858041147E-2</v>
      </c>
      <c r="R92" s="35">
        <f t="shared" si="18"/>
        <v>2.2165255380904875E-3</v>
      </c>
      <c r="S92" s="18">
        <v>138.00943505210341</v>
      </c>
      <c r="T92" s="35">
        <f t="shared" si="19"/>
        <v>35.69954389037558</v>
      </c>
      <c r="U92" s="35">
        <f t="shared" si="20"/>
        <v>0.41347110962442457</v>
      </c>
      <c r="V92" s="35">
        <f t="shared" si="21"/>
        <v>3.1221849385282514</v>
      </c>
    </row>
    <row r="93" spans="1:22" x14ac:dyDescent="0.25">
      <c r="A93" s="34" t="s">
        <v>120</v>
      </c>
      <c r="B93" s="16">
        <v>3.4000000000000002E-2</v>
      </c>
      <c r="C93" s="8">
        <v>0</v>
      </c>
      <c r="D93" s="8">
        <v>16.760000000000002</v>
      </c>
      <c r="E93" s="8">
        <v>0.02</v>
      </c>
      <c r="F93" s="8">
        <v>0.878</v>
      </c>
      <c r="G93" s="8">
        <v>8.9999999999999993E-3</v>
      </c>
      <c r="H93" s="8">
        <v>-8.5000000000000006E-2</v>
      </c>
      <c r="I93" s="8">
        <v>2.1000000000000001E-2</v>
      </c>
      <c r="J93" s="8">
        <v>0.12</v>
      </c>
      <c r="K93" s="38">
        <f t="shared" si="11"/>
        <v>0.16999999999999998</v>
      </c>
      <c r="L93" s="38">
        <f t="shared" si="12"/>
        <v>36.348116000000005</v>
      </c>
      <c r="M93" s="29">
        <f t="shared" si="13"/>
        <v>186.04722643207745</v>
      </c>
      <c r="N93" s="29">
        <f t="shared" si="14"/>
        <v>5.2835013885358076E+24</v>
      </c>
      <c r="O93" s="35">
        <f t="shared" si="15"/>
        <v>171.22661883993104</v>
      </c>
      <c r="P93" s="35">
        <f t="shared" si="16"/>
        <v>36.167856404411886</v>
      </c>
      <c r="Q93" s="35">
        <f t="shared" si="17"/>
        <v>0.18025959558811877</v>
      </c>
      <c r="R93" s="35">
        <f t="shared" si="18"/>
        <v>1.1243433149339839</v>
      </c>
      <c r="S93" s="18">
        <v>142.29668198158512</v>
      </c>
      <c r="T93" s="35">
        <f t="shared" si="19"/>
        <v>35.765973867466798</v>
      </c>
      <c r="U93" s="35">
        <f t="shared" si="20"/>
        <v>0.58214213253320679</v>
      </c>
      <c r="V93" s="35">
        <f t="shared" si="21"/>
        <v>11.726278978211411</v>
      </c>
    </row>
    <row r="94" spans="1:22" x14ac:dyDescent="0.25">
      <c r="A94" s="34" t="s">
        <v>121</v>
      </c>
      <c r="B94" s="16">
        <v>3.5000000000000003E-2</v>
      </c>
      <c r="C94" s="8">
        <v>0</v>
      </c>
      <c r="D94" s="8">
        <v>17.03</v>
      </c>
      <c r="E94" s="8">
        <v>4.7E-2</v>
      </c>
      <c r="F94" s="8">
        <v>0.74099999999999999</v>
      </c>
      <c r="G94" s="8">
        <v>5.5E-2</v>
      </c>
      <c r="H94" s="8">
        <v>-0.04</v>
      </c>
      <c r="I94" s="8">
        <v>2.8000000000000001E-2</v>
      </c>
      <c r="J94" s="8">
        <v>0.12</v>
      </c>
      <c r="K94" s="38">
        <f t="shared" si="11"/>
        <v>0.25</v>
      </c>
      <c r="L94" s="38">
        <f t="shared" si="12"/>
        <v>36.457127</v>
      </c>
      <c r="M94" s="29">
        <f t="shared" si="13"/>
        <v>195.62547076303255</v>
      </c>
      <c r="N94" s="29">
        <f t="shared" si="14"/>
        <v>5.4414832825794534E+24</v>
      </c>
      <c r="O94" s="35">
        <f t="shared" si="15"/>
        <v>176.34646334564397</v>
      </c>
      <c r="P94" s="35">
        <f t="shared" si="16"/>
        <v>36.231833771254486</v>
      </c>
      <c r="Q94" s="35">
        <f t="shared" si="17"/>
        <v>0.22529322874551383</v>
      </c>
      <c r="R94" s="35">
        <f t="shared" si="18"/>
        <v>0.8121126226972547</v>
      </c>
      <c r="S94" s="18">
        <v>146.59003626066703</v>
      </c>
      <c r="T94" s="35">
        <f t="shared" si="19"/>
        <v>35.83052226134587</v>
      </c>
      <c r="U94" s="35">
        <f t="shared" si="20"/>
        <v>0.62660473865413024</v>
      </c>
      <c r="V94" s="35">
        <f t="shared" si="21"/>
        <v>6.2821359760609736</v>
      </c>
    </row>
    <row r="95" spans="1:22" x14ac:dyDescent="0.25">
      <c r="A95" s="34" t="s">
        <v>122</v>
      </c>
      <c r="B95" s="16">
        <v>3.4000000000000002E-2</v>
      </c>
      <c r="C95" s="8">
        <v>0</v>
      </c>
      <c r="D95" s="8">
        <v>17.009</v>
      </c>
      <c r="E95" s="8">
        <v>3.1E-2</v>
      </c>
      <c r="F95" s="8">
        <v>1.103</v>
      </c>
      <c r="G95" s="8">
        <v>1.2999999999999999E-2</v>
      </c>
      <c r="H95" s="8">
        <v>0.1</v>
      </c>
      <c r="I95" s="8">
        <v>0.02</v>
      </c>
      <c r="J95" s="8">
        <v>0.12</v>
      </c>
      <c r="K95" s="38">
        <f t="shared" si="11"/>
        <v>0.184</v>
      </c>
      <c r="L95" s="38">
        <f t="shared" si="12"/>
        <v>36.051141000000001</v>
      </c>
      <c r="M95" s="29">
        <f t="shared" si="13"/>
        <v>162.26625012701302</v>
      </c>
      <c r="N95" s="29">
        <f t="shared" si="14"/>
        <v>5.2835013885358076E+24</v>
      </c>
      <c r="O95" s="35">
        <f t="shared" si="15"/>
        <v>171.22661883993104</v>
      </c>
      <c r="P95" s="35">
        <f t="shared" si="16"/>
        <v>36.167856404411886</v>
      </c>
      <c r="Q95" s="35">
        <f t="shared" si="17"/>
        <v>-0.11671540441188455</v>
      </c>
      <c r="R95" s="35">
        <f t="shared" si="18"/>
        <v>0.40236547811406431</v>
      </c>
      <c r="S95" s="18">
        <v>142.29668198158512</v>
      </c>
      <c r="T95" s="35">
        <f t="shared" si="19"/>
        <v>35.765973867466798</v>
      </c>
      <c r="U95" s="35">
        <f t="shared" si="20"/>
        <v>0.28516713253320347</v>
      </c>
      <c r="V95" s="35">
        <f t="shared" si="21"/>
        <v>2.4019462865432906</v>
      </c>
    </row>
    <row r="96" spans="1:22" x14ac:dyDescent="0.25">
      <c r="A96" s="34" t="s">
        <v>123</v>
      </c>
      <c r="B96" s="16">
        <v>3.5000000000000003E-2</v>
      </c>
      <c r="C96" s="8">
        <v>0</v>
      </c>
      <c r="D96" s="8">
        <v>16.521000000000001</v>
      </c>
      <c r="E96" s="8">
        <v>4.9000000000000002E-2</v>
      </c>
      <c r="F96" s="8">
        <v>1.101</v>
      </c>
      <c r="G96" s="8">
        <v>1.4E-2</v>
      </c>
      <c r="H96" s="8">
        <v>-2.7E-2</v>
      </c>
      <c r="I96" s="8">
        <v>0.03</v>
      </c>
      <c r="J96" s="8">
        <v>0.12</v>
      </c>
      <c r="K96" s="38">
        <f t="shared" si="11"/>
        <v>0.21299999999999999</v>
      </c>
      <c r="L96" s="38">
        <f t="shared" si="12"/>
        <v>35.960357000000002</v>
      </c>
      <c r="M96" s="29">
        <f t="shared" si="13"/>
        <v>155.62214605035953</v>
      </c>
      <c r="N96" s="29">
        <f t="shared" si="14"/>
        <v>5.4414832825794534E+24</v>
      </c>
      <c r="O96" s="35">
        <f t="shared" si="15"/>
        <v>176.34646334564397</v>
      </c>
      <c r="P96" s="35">
        <f t="shared" si="16"/>
        <v>36.231833771254486</v>
      </c>
      <c r="Q96" s="35">
        <f t="shared" si="17"/>
        <v>-0.27147677125448411</v>
      </c>
      <c r="R96" s="35">
        <f t="shared" si="18"/>
        <v>1.6244492347364827</v>
      </c>
      <c r="S96" s="18">
        <v>146.59003626066703</v>
      </c>
      <c r="T96" s="35">
        <f t="shared" si="19"/>
        <v>35.83052226134587</v>
      </c>
      <c r="U96" s="35">
        <f t="shared" si="20"/>
        <v>0.12983473865413231</v>
      </c>
      <c r="V96" s="35">
        <f t="shared" si="21"/>
        <v>0.37155457165436395</v>
      </c>
    </row>
    <row r="97" spans="1:22" x14ac:dyDescent="0.25">
      <c r="A97" s="34" t="s">
        <v>124</v>
      </c>
      <c r="B97" s="16">
        <v>3.5999999999999997E-2</v>
      </c>
      <c r="C97" s="8">
        <v>0</v>
      </c>
      <c r="D97" s="8">
        <v>16.867000000000001</v>
      </c>
      <c r="E97" s="8">
        <v>5.7000000000000002E-2</v>
      </c>
      <c r="F97" s="8">
        <v>0.85799999999999998</v>
      </c>
      <c r="G97" s="8">
        <v>0.17599999999999999</v>
      </c>
      <c r="H97" s="8">
        <v>8.1000000000000003E-2</v>
      </c>
      <c r="I97" s="8">
        <v>2.4E-2</v>
      </c>
      <c r="J97" s="8">
        <v>0.12</v>
      </c>
      <c r="K97" s="38">
        <f t="shared" si="11"/>
        <v>0.377</v>
      </c>
      <c r="L97" s="38">
        <f t="shared" si="12"/>
        <v>35.932596000000004</v>
      </c>
      <c r="M97" s="29">
        <f t="shared" si="13"/>
        <v>153.64527178421153</v>
      </c>
      <c r="N97" s="29">
        <f t="shared" si="14"/>
        <v>5.5996102675229519E+24</v>
      </c>
      <c r="O97" s="35">
        <f t="shared" si="15"/>
        <v>181.47100992719245</v>
      </c>
      <c r="P97" s="35">
        <f t="shared" si="16"/>
        <v>36.294036280903519</v>
      </c>
      <c r="Q97" s="35">
        <f t="shared" si="17"/>
        <v>-0.36144028090351554</v>
      </c>
      <c r="R97" s="35">
        <f t="shared" si="18"/>
        <v>0.91915848742770456</v>
      </c>
      <c r="S97" s="18">
        <v>150.88949125808367</v>
      </c>
      <c r="T97" s="35">
        <f t="shared" si="19"/>
        <v>35.893294971324963</v>
      </c>
      <c r="U97" s="35">
        <f t="shared" si="20"/>
        <v>3.9301028675041039E-2</v>
      </c>
      <c r="V97" s="35">
        <f t="shared" si="21"/>
        <v>1.0867387056240444E-2</v>
      </c>
    </row>
    <row r="98" spans="1:22" x14ac:dyDescent="0.25">
      <c r="A98" s="34" t="s">
        <v>125</v>
      </c>
      <c r="B98" s="16">
        <v>3.5000000000000003E-2</v>
      </c>
      <c r="C98" s="8">
        <v>0</v>
      </c>
      <c r="D98" s="8">
        <v>16.748999999999999</v>
      </c>
      <c r="E98" s="8">
        <v>7.6999999999999999E-2</v>
      </c>
      <c r="F98" s="8">
        <v>0.95599999999999996</v>
      </c>
      <c r="G98" s="8">
        <v>4.2999999999999997E-2</v>
      </c>
      <c r="H98" s="8">
        <v>-3.6999999999999998E-2</v>
      </c>
      <c r="I98" s="8">
        <v>4.1000000000000002E-2</v>
      </c>
      <c r="J98" s="8">
        <v>0.12</v>
      </c>
      <c r="K98" s="38">
        <f t="shared" si="11"/>
        <v>0.28100000000000003</v>
      </c>
      <c r="L98" s="38">
        <f t="shared" si="12"/>
        <v>36.198341999999997</v>
      </c>
      <c r="M98" s="29">
        <f t="shared" si="13"/>
        <v>173.64744595717264</v>
      </c>
      <c r="N98" s="29">
        <f t="shared" si="14"/>
        <v>5.4414832825794534E+24</v>
      </c>
      <c r="O98" s="35">
        <f t="shared" si="15"/>
        <v>176.34646334564397</v>
      </c>
      <c r="P98" s="35">
        <f t="shared" si="16"/>
        <v>36.231833771254486</v>
      </c>
      <c r="Q98" s="35">
        <f t="shared" si="17"/>
        <v>-3.3491771254489322E-2</v>
      </c>
      <c r="R98" s="35">
        <f t="shared" si="18"/>
        <v>1.4205731206076886E-2</v>
      </c>
      <c r="S98" s="18">
        <v>146.59003626066703</v>
      </c>
      <c r="T98" s="35">
        <f t="shared" si="19"/>
        <v>35.83052226134587</v>
      </c>
      <c r="U98" s="35">
        <f t="shared" si="20"/>
        <v>0.36781973865412709</v>
      </c>
      <c r="V98" s="35">
        <f t="shared" si="21"/>
        <v>1.7133947156645728</v>
      </c>
    </row>
    <row r="99" spans="1:22" x14ac:dyDescent="0.25">
      <c r="A99" s="34" t="s">
        <v>126</v>
      </c>
      <c r="B99" s="16">
        <v>3.5000000000000003E-2</v>
      </c>
      <c r="C99" s="8">
        <v>0</v>
      </c>
      <c r="D99" s="8">
        <v>16.677</v>
      </c>
      <c r="E99" s="8">
        <v>3.9E-2</v>
      </c>
      <c r="F99" s="8">
        <v>0.97899999999999998</v>
      </c>
      <c r="G99" s="8">
        <v>2.1999999999999999E-2</v>
      </c>
      <c r="H99" s="8">
        <v>6.0000000000000001E-3</v>
      </c>
      <c r="I99" s="8">
        <v>2.5000000000000001E-2</v>
      </c>
      <c r="J99" s="8">
        <v>0.12</v>
      </c>
      <c r="K99" s="38">
        <f t="shared" si="11"/>
        <v>0.20599999999999999</v>
      </c>
      <c r="L99" s="38">
        <f t="shared" si="12"/>
        <v>35.995132999999996</v>
      </c>
      <c r="M99" s="29">
        <f t="shared" si="13"/>
        <v>158.13448917235462</v>
      </c>
      <c r="N99" s="29">
        <f t="shared" si="14"/>
        <v>5.4414832825794534E+24</v>
      </c>
      <c r="O99" s="35">
        <f t="shared" si="15"/>
        <v>176.34646334564397</v>
      </c>
      <c r="P99" s="35">
        <f t="shared" si="16"/>
        <v>36.231833771254486</v>
      </c>
      <c r="Q99" s="35">
        <f t="shared" si="17"/>
        <v>-0.23670077125449041</v>
      </c>
      <c r="R99" s="35">
        <f t="shared" si="18"/>
        <v>1.3202765367252003</v>
      </c>
      <c r="S99" s="18">
        <v>146.59003626066703</v>
      </c>
      <c r="T99" s="35">
        <f t="shared" si="19"/>
        <v>35.83052226134587</v>
      </c>
      <c r="U99" s="35">
        <f t="shared" si="20"/>
        <v>0.16461073865412601</v>
      </c>
      <c r="V99" s="35">
        <f t="shared" si="21"/>
        <v>0.6385308530553534</v>
      </c>
    </row>
    <row r="100" spans="1:22" x14ac:dyDescent="0.25">
      <c r="A100" s="34" t="s">
        <v>127</v>
      </c>
      <c r="B100" s="16">
        <v>3.6999999999999998E-2</v>
      </c>
      <c r="C100" s="8">
        <v>0</v>
      </c>
      <c r="D100" s="8">
        <v>17.05</v>
      </c>
      <c r="E100" s="8">
        <v>3.1E-2</v>
      </c>
      <c r="F100" s="8">
        <v>0.91600000000000004</v>
      </c>
      <c r="G100" s="8">
        <v>0.02</v>
      </c>
      <c r="H100" s="8">
        <v>-2.3E-2</v>
      </c>
      <c r="I100" s="8">
        <v>2.1999999999999999E-2</v>
      </c>
      <c r="J100" s="8">
        <v>0.12</v>
      </c>
      <c r="K100" s="38">
        <f t="shared" si="11"/>
        <v>0.193</v>
      </c>
      <c r="L100" s="38">
        <f t="shared" si="12"/>
        <v>36.449641999999997</v>
      </c>
      <c r="M100" s="29">
        <f t="shared" si="13"/>
        <v>194.95231649448533</v>
      </c>
      <c r="N100" s="29">
        <f t="shared" si="14"/>
        <v>5.757882129683089E+24</v>
      </c>
      <c r="O100" s="35">
        <f t="shared" si="15"/>
        <v>186.60025165957518</v>
      </c>
      <c r="P100" s="35">
        <f t="shared" si="16"/>
        <v>36.354561125623981</v>
      </c>
      <c r="Q100" s="35">
        <f t="shared" si="17"/>
        <v>9.5080874376016311E-2</v>
      </c>
      <c r="R100" s="35">
        <f t="shared" si="18"/>
        <v>0.2427010838440708</v>
      </c>
      <c r="S100" s="18">
        <v>155.195040344272</v>
      </c>
      <c r="T100" s="35">
        <f t="shared" si="19"/>
        <v>35.954389190747058</v>
      </c>
      <c r="U100" s="35">
        <f t="shared" si="20"/>
        <v>0.49525280925293913</v>
      </c>
      <c r="V100" s="35">
        <f t="shared" si="21"/>
        <v>6.5847497938985766</v>
      </c>
    </row>
    <row r="101" spans="1:22" x14ac:dyDescent="0.25">
      <c r="A101" s="34" t="s">
        <v>128</v>
      </c>
      <c r="B101" s="16">
        <v>3.6999999999999998E-2</v>
      </c>
      <c r="C101" s="8">
        <v>0</v>
      </c>
      <c r="D101" s="8">
        <v>17.486000000000001</v>
      </c>
      <c r="E101" s="8">
        <v>3.6999999999999998E-2</v>
      </c>
      <c r="F101" s="8">
        <v>0.75900000000000001</v>
      </c>
      <c r="G101" s="8">
        <v>2.1999999999999999E-2</v>
      </c>
      <c r="H101" s="8">
        <v>6.5000000000000002E-2</v>
      </c>
      <c r="I101" s="8">
        <v>2.8000000000000001E-2</v>
      </c>
      <c r="J101" s="8">
        <v>0.12</v>
      </c>
      <c r="K101" s="38">
        <f t="shared" si="11"/>
        <v>0.20699999999999999</v>
      </c>
      <c r="L101" s="38">
        <f t="shared" si="12"/>
        <v>36.587123000000005</v>
      </c>
      <c r="M101" s="29">
        <f t="shared" si="13"/>
        <v>207.69431059661005</v>
      </c>
      <c r="N101" s="29">
        <f t="shared" si="14"/>
        <v>5.757882129683089E+24</v>
      </c>
      <c r="O101" s="35">
        <f t="shared" si="15"/>
        <v>186.60025165957518</v>
      </c>
      <c r="P101" s="35">
        <f t="shared" si="16"/>
        <v>36.354561125623981</v>
      </c>
      <c r="Q101" s="35">
        <f t="shared" si="17"/>
        <v>0.23256187437602449</v>
      </c>
      <c r="R101" s="35">
        <f t="shared" si="18"/>
        <v>1.2622237488223715</v>
      </c>
      <c r="S101" s="18">
        <v>155.195040344272</v>
      </c>
      <c r="T101" s="35">
        <f t="shared" si="19"/>
        <v>35.954389190747058</v>
      </c>
      <c r="U101" s="35">
        <f t="shared" si="20"/>
        <v>0.63273380925294731</v>
      </c>
      <c r="V101" s="35">
        <f t="shared" si="21"/>
        <v>9.3433236101599828</v>
      </c>
    </row>
    <row r="102" spans="1:22" x14ac:dyDescent="0.25">
      <c r="A102" s="34" t="s">
        <v>129</v>
      </c>
      <c r="B102" s="16">
        <v>3.6999999999999998E-2</v>
      </c>
      <c r="C102" s="8">
        <v>0</v>
      </c>
      <c r="D102" s="8">
        <v>16.667000000000002</v>
      </c>
      <c r="E102" s="8">
        <v>2.9000000000000001E-2</v>
      </c>
      <c r="F102" s="8">
        <v>1.1850000000000001</v>
      </c>
      <c r="G102" s="8">
        <v>2.7E-2</v>
      </c>
      <c r="H102" s="8">
        <v>-4.0000000000000001E-3</v>
      </c>
      <c r="I102" s="8">
        <v>2.1999999999999999E-2</v>
      </c>
      <c r="J102" s="8">
        <v>0.12</v>
      </c>
      <c r="K102" s="38">
        <f t="shared" si="11"/>
        <v>0.19800000000000001</v>
      </c>
      <c r="L102" s="38">
        <f t="shared" si="12"/>
        <v>36.046714999999999</v>
      </c>
      <c r="M102" s="29">
        <f t="shared" si="13"/>
        <v>161.93584804972488</v>
      </c>
      <c r="N102" s="29">
        <f t="shared" si="14"/>
        <v>5.757882129683089E+24</v>
      </c>
      <c r="O102" s="35">
        <f t="shared" si="15"/>
        <v>186.60025165957518</v>
      </c>
      <c r="P102" s="35">
        <f t="shared" si="16"/>
        <v>36.354561125623981</v>
      </c>
      <c r="Q102" s="35">
        <f t="shared" si="17"/>
        <v>-0.30784612562398195</v>
      </c>
      <c r="R102" s="35">
        <f t="shared" si="18"/>
        <v>2.4173359111747899</v>
      </c>
      <c r="S102" s="18">
        <v>155.195040344272</v>
      </c>
      <c r="T102" s="35">
        <f t="shared" si="19"/>
        <v>35.954389190747058</v>
      </c>
      <c r="U102" s="35">
        <f t="shared" si="20"/>
        <v>9.2325809252940871E-2</v>
      </c>
      <c r="V102" s="35">
        <f t="shared" si="21"/>
        <v>0.21742819748521633</v>
      </c>
    </row>
    <row r="103" spans="1:22" x14ac:dyDescent="0.25">
      <c r="A103" s="34" t="s">
        <v>130</v>
      </c>
      <c r="B103" s="16">
        <v>3.9E-2</v>
      </c>
      <c r="C103" s="8">
        <v>1E-3</v>
      </c>
      <c r="D103" s="8">
        <v>16.791</v>
      </c>
      <c r="E103" s="8">
        <v>2.4E-2</v>
      </c>
      <c r="F103" s="8">
        <v>1.234</v>
      </c>
      <c r="G103" s="8">
        <v>1.6E-2</v>
      </c>
      <c r="H103" s="8">
        <v>-3.2000000000000001E-2</v>
      </c>
      <c r="I103" s="8">
        <v>2.1999999999999999E-2</v>
      </c>
      <c r="J103" s="8">
        <v>0.12</v>
      </c>
      <c r="K103" s="38">
        <f t="shared" si="11"/>
        <v>0.182</v>
      </c>
      <c r="L103" s="38">
        <f t="shared" si="12"/>
        <v>36.265557999999999</v>
      </c>
      <c r="M103" s="29">
        <f t="shared" si="13"/>
        <v>179.10660424536417</v>
      </c>
      <c r="N103" s="29">
        <f t="shared" si="14"/>
        <v>6.0748596330164026E+24</v>
      </c>
      <c r="O103" s="35">
        <f t="shared" si="15"/>
        <v>196.87279294476394</v>
      </c>
      <c r="P103" s="35">
        <f t="shared" si="16"/>
        <v>36.470928512372303</v>
      </c>
      <c r="Q103" s="35">
        <f t="shared" si="17"/>
        <v>-0.20537051237230486</v>
      </c>
      <c r="R103" s="35">
        <f t="shared" si="18"/>
        <v>1.2733077935051027</v>
      </c>
      <c r="S103" s="18">
        <v>163.82439427338207</v>
      </c>
      <c r="T103" s="35">
        <f t="shared" si="19"/>
        <v>36.071892854323117</v>
      </c>
      <c r="U103" s="35">
        <f t="shared" si="20"/>
        <v>0.19366514567688142</v>
      </c>
      <c r="V103" s="35">
        <f t="shared" si="21"/>
        <v>1.1322964814046523</v>
      </c>
    </row>
    <row r="104" spans="1:22" x14ac:dyDescent="0.25">
      <c r="A104" s="34" t="s">
        <v>131</v>
      </c>
      <c r="B104" s="16">
        <v>3.7999999999999999E-2</v>
      </c>
      <c r="C104" s="8">
        <v>1E-3</v>
      </c>
      <c r="D104" s="8">
        <v>16.690000000000001</v>
      </c>
      <c r="E104" s="8">
        <v>2.4E-2</v>
      </c>
      <c r="F104" s="8">
        <v>1.0449999999999999</v>
      </c>
      <c r="G104" s="8">
        <v>1.7999999999999999E-2</v>
      </c>
      <c r="H104" s="8">
        <v>-5.8000000000000003E-2</v>
      </c>
      <c r="I104" s="8">
        <v>2.1000000000000001E-2</v>
      </c>
      <c r="J104" s="8">
        <v>0.12</v>
      </c>
      <c r="K104" s="38">
        <f t="shared" si="11"/>
        <v>0.183</v>
      </c>
      <c r="L104" s="38">
        <f t="shared" si="12"/>
        <v>36.218154999999996</v>
      </c>
      <c r="M104" s="29">
        <f t="shared" si="13"/>
        <v>175.23909433286479</v>
      </c>
      <c r="N104" s="29">
        <f t="shared" si="14"/>
        <v>5.9162986557960543E+24</v>
      </c>
      <c r="O104" s="35">
        <f t="shared" si="15"/>
        <v>191.73418163138271</v>
      </c>
      <c r="P104" s="35">
        <f t="shared" si="16"/>
        <v>36.41349772063883</v>
      </c>
      <c r="Q104" s="35">
        <f t="shared" si="17"/>
        <v>-0.19534272063883407</v>
      </c>
      <c r="R104" s="35">
        <f t="shared" si="18"/>
        <v>1.139442160308805</v>
      </c>
      <c r="S104" s="18">
        <v>159.50667689139809</v>
      </c>
      <c r="T104" s="35">
        <f t="shared" si="19"/>
        <v>36.013894335912667</v>
      </c>
      <c r="U104" s="35">
        <f t="shared" si="20"/>
        <v>0.20426066408732879</v>
      </c>
      <c r="V104" s="35">
        <f t="shared" si="21"/>
        <v>1.2458544266295373</v>
      </c>
    </row>
    <row r="105" spans="1:22" x14ac:dyDescent="0.25">
      <c r="A105" s="34" t="s">
        <v>132</v>
      </c>
      <c r="B105" s="16">
        <v>3.9E-2</v>
      </c>
      <c r="C105" s="8">
        <v>1E-3</v>
      </c>
      <c r="D105" s="8">
        <v>16.763000000000002</v>
      </c>
      <c r="E105" s="8">
        <v>2.5999999999999999E-2</v>
      </c>
      <c r="F105" s="8">
        <v>1.1519999999999999</v>
      </c>
      <c r="G105" s="8">
        <v>1.4999999999999999E-2</v>
      </c>
      <c r="H105" s="8">
        <v>-0.01</v>
      </c>
      <c r="I105" s="8">
        <v>2.1000000000000001E-2</v>
      </c>
      <c r="J105" s="8">
        <v>0.12</v>
      </c>
      <c r="K105" s="38">
        <f t="shared" si="11"/>
        <v>0.182</v>
      </c>
      <c r="L105" s="38">
        <f t="shared" si="12"/>
        <v>36.156644</v>
      </c>
      <c r="M105" s="29">
        <f t="shared" si="13"/>
        <v>170.34476834928009</v>
      </c>
      <c r="N105" s="29">
        <f t="shared" si="14"/>
        <v>6.0748596330164026E+24</v>
      </c>
      <c r="O105" s="35">
        <f t="shared" si="15"/>
        <v>196.87279294476394</v>
      </c>
      <c r="P105" s="35">
        <f t="shared" si="16"/>
        <v>36.470928512372303</v>
      </c>
      <c r="Q105" s="35">
        <f t="shared" si="17"/>
        <v>-0.31428451237230348</v>
      </c>
      <c r="R105" s="35">
        <f t="shared" si="18"/>
        <v>2.9819694094039542</v>
      </c>
      <c r="S105" s="18">
        <v>163.82439427338207</v>
      </c>
      <c r="T105" s="35">
        <f t="shared" si="19"/>
        <v>36.071892854323117</v>
      </c>
      <c r="U105" s="35">
        <f t="shared" si="20"/>
        <v>8.47511456768828E-2</v>
      </c>
      <c r="V105" s="35">
        <f t="shared" si="21"/>
        <v>0.21684448416689439</v>
      </c>
    </row>
    <row r="106" spans="1:22" x14ac:dyDescent="0.25">
      <c r="A106" s="34" t="s">
        <v>133</v>
      </c>
      <c r="B106" s="16">
        <v>0.04</v>
      </c>
      <c r="C106" s="8">
        <v>0</v>
      </c>
      <c r="D106" s="8">
        <v>16.986000000000001</v>
      </c>
      <c r="E106" s="8">
        <v>4.7E-2</v>
      </c>
      <c r="F106" s="8">
        <v>1.1080000000000001</v>
      </c>
      <c r="G106" s="8">
        <v>6.6000000000000003E-2</v>
      </c>
      <c r="H106" s="8">
        <v>-4.9000000000000002E-2</v>
      </c>
      <c r="I106" s="8">
        <v>2.5999999999999999E-2</v>
      </c>
      <c r="J106" s="8">
        <v>0.12</v>
      </c>
      <c r="K106" s="38">
        <f t="shared" si="11"/>
        <v>0.25900000000000001</v>
      </c>
      <c r="L106" s="38">
        <f t="shared" si="12"/>
        <v>36.495245999999995</v>
      </c>
      <c r="M106" s="29">
        <f t="shared" si="13"/>
        <v>199.08988695437671</v>
      </c>
      <c r="N106" s="29">
        <f t="shared" si="14"/>
        <v>6.2335648489160371E+24</v>
      </c>
      <c r="O106" s="35">
        <f t="shared" si="15"/>
        <v>202.01607871539312</v>
      </c>
      <c r="P106" s="35">
        <f t="shared" si="16"/>
        <v>36.526929684348843</v>
      </c>
      <c r="Q106" s="35">
        <f t="shared" si="17"/>
        <v>-3.1683684348848828E-2</v>
      </c>
      <c r="R106" s="35">
        <f t="shared" si="18"/>
        <v>1.4964831381724903E-2</v>
      </c>
      <c r="S106" s="18">
        <v>168.14818586592432</v>
      </c>
      <c r="T106" s="35">
        <f t="shared" si="19"/>
        <v>36.128460930579507</v>
      </c>
      <c r="U106" s="35">
        <f t="shared" si="20"/>
        <v>0.36678506942048728</v>
      </c>
      <c r="V106" s="35">
        <f t="shared" si="21"/>
        <v>2.0055050930933001</v>
      </c>
    </row>
    <row r="107" spans="1:22" x14ac:dyDescent="0.25">
      <c r="A107" s="34" t="s">
        <v>134</v>
      </c>
      <c r="B107" s="16">
        <v>4.1000000000000002E-2</v>
      </c>
      <c r="C107" s="8">
        <v>0</v>
      </c>
      <c r="D107" s="8">
        <v>17.673999999999999</v>
      </c>
      <c r="E107" s="8">
        <v>3.5000000000000003E-2</v>
      </c>
      <c r="F107" s="8">
        <v>0.84399999999999997</v>
      </c>
      <c r="G107" s="8">
        <v>2.3E-2</v>
      </c>
      <c r="H107" s="8">
        <v>9.2999999999999999E-2</v>
      </c>
      <c r="I107" s="8">
        <v>2.3E-2</v>
      </c>
      <c r="J107" s="8">
        <v>0.12</v>
      </c>
      <c r="K107" s="38">
        <f t="shared" si="11"/>
        <v>0.20100000000000001</v>
      </c>
      <c r="L107" s="38">
        <f t="shared" si="12"/>
        <v>36.699978000000002</v>
      </c>
      <c r="M107" s="29">
        <f t="shared" si="13"/>
        <v>218.77394590297055</v>
      </c>
      <c r="N107" s="29">
        <f t="shared" si="14"/>
        <v>6.3924140914831787E+24</v>
      </c>
      <c r="O107" s="35">
        <f t="shared" si="15"/>
        <v>207.16403207243638</v>
      </c>
      <c r="P107" s="35">
        <f t="shared" si="16"/>
        <v>36.581571775915627</v>
      </c>
      <c r="Q107" s="35">
        <f t="shared" si="17"/>
        <v>0.1184062240843744</v>
      </c>
      <c r="R107" s="35">
        <f t="shared" si="18"/>
        <v>0.34702195247442097</v>
      </c>
      <c r="S107" s="18">
        <v>172.47804504653078</v>
      </c>
      <c r="T107" s="35">
        <f t="shared" si="19"/>
        <v>36.183669105105238</v>
      </c>
      <c r="U107" s="35">
        <f t="shared" si="20"/>
        <v>0.51630889489476317</v>
      </c>
      <c r="V107" s="35">
        <f t="shared" si="21"/>
        <v>6.5982246713559451</v>
      </c>
    </row>
    <row r="108" spans="1:22" x14ac:dyDescent="0.25">
      <c r="A108" s="34" t="s">
        <v>135</v>
      </c>
      <c r="B108" s="16">
        <v>4.2000000000000003E-2</v>
      </c>
      <c r="C108" s="8">
        <v>0</v>
      </c>
      <c r="D108" s="8">
        <v>17.344999999999999</v>
      </c>
      <c r="E108" s="8">
        <v>5.0999999999999997E-2</v>
      </c>
      <c r="F108" s="8">
        <v>0.81499999999999995</v>
      </c>
      <c r="G108" s="8">
        <v>2.9000000000000001E-2</v>
      </c>
      <c r="H108" s="8">
        <v>-3.5000000000000003E-2</v>
      </c>
      <c r="I108" s="8">
        <v>0.04</v>
      </c>
      <c r="J108" s="8">
        <v>0.12</v>
      </c>
      <c r="K108" s="38">
        <f t="shared" si="11"/>
        <v>0.24</v>
      </c>
      <c r="L108" s="38">
        <f t="shared" si="12"/>
        <v>36.767354999999995</v>
      </c>
      <c r="M108" s="29">
        <f t="shared" si="13"/>
        <v>225.66853003779119</v>
      </c>
      <c r="N108" s="29">
        <f t="shared" si="14"/>
        <v>6.5514071491213544E+24</v>
      </c>
      <c r="O108" s="35">
        <f t="shared" si="15"/>
        <v>212.31664615851909</v>
      </c>
      <c r="P108" s="35">
        <f t="shared" si="16"/>
        <v>36.634920226397192</v>
      </c>
      <c r="Q108" s="35">
        <f t="shared" si="17"/>
        <v>0.13243477360280309</v>
      </c>
      <c r="R108" s="35">
        <f t="shared" si="18"/>
        <v>0.30449599408377975</v>
      </c>
      <c r="S108" s="18">
        <v>176.81396519453855</v>
      </c>
      <c r="T108" s="35">
        <f t="shared" si="19"/>
        <v>36.237582818300602</v>
      </c>
      <c r="U108" s="35">
        <f t="shared" si="20"/>
        <v>0.52977218169939277</v>
      </c>
      <c r="V108" s="35">
        <f t="shared" si="21"/>
        <v>4.8725445226134454</v>
      </c>
    </row>
    <row r="109" spans="1:22" x14ac:dyDescent="0.25">
      <c r="A109" s="34" t="s">
        <v>136</v>
      </c>
      <c r="B109" s="16">
        <v>4.2000000000000003E-2</v>
      </c>
      <c r="C109" s="8">
        <v>0</v>
      </c>
      <c r="D109" s="8">
        <v>17.649000000000001</v>
      </c>
      <c r="E109" s="8">
        <v>0.03</v>
      </c>
      <c r="F109" s="8">
        <v>0.99</v>
      </c>
      <c r="G109" s="8">
        <v>2.9000000000000001E-2</v>
      </c>
      <c r="H109" s="8">
        <v>6.5000000000000002E-2</v>
      </c>
      <c r="I109" s="8">
        <v>3.5999999999999997E-2</v>
      </c>
      <c r="J109" s="8">
        <v>0.12</v>
      </c>
      <c r="K109" s="38">
        <f t="shared" si="11"/>
        <v>0.215</v>
      </c>
      <c r="L109" s="38">
        <f t="shared" si="12"/>
        <v>36.784080000000003</v>
      </c>
      <c r="M109" s="29">
        <f t="shared" si="13"/>
        <v>227.41337315354698</v>
      </c>
      <c r="N109" s="29">
        <f t="shared" si="14"/>
        <v>6.5514071491213544E+24</v>
      </c>
      <c r="O109" s="35">
        <f t="shared" si="15"/>
        <v>212.31664615851909</v>
      </c>
      <c r="P109" s="35">
        <f t="shared" si="16"/>
        <v>36.634920226397192</v>
      </c>
      <c r="Q109" s="35">
        <f t="shared" si="17"/>
        <v>0.14915977360281119</v>
      </c>
      <c r="R109" s="35">
        <f t="shared" si="18"/>
        <v>0.48131180229836429</v>
      </c>
      <c r="S109" s="18">
        <v>176.81396519453855</v>
      </c>
      <c r="T109" s="35">
        <f t="shared" si="19"/>
        <v>36.237582818300602</v>
      </c>
      <c r="U109" s="35">
        <f t="shared" si="20"/>
        <v>0.54649718169940087</v>
      </c>
      <c r="V109" s="35">
        <f t="shared" si="21"/>
        <v>6.4609879849732392</v>
      </c>
    </row>
    <row r="110" spans="1:22" x14ac:dyDescent="0.25">
      <c r="A110" s="34" t="s">
        <v>137</v>
      </c>
      <c r="B110" s="16">
        <v>4.7E-2</v>
      </c>
      <c r="C110" s="8">
        <v>1E-3</v>
      </c>
      <c r="D110" s="8">
        <v>17.439</v>
      </c>
      <c r="E110" s="8">
        <v>2.3E-2</v>
      </c>
      <c r="F110" s="8">
        <v>1.141</v>
      </c>
      <c r="G110" s="8">
        <v>1.2999999999999999E-2</v>
      </c>
      <c r="H110" s="8">
        <v>0.10100000000000001</v>
      </c>
      <c r="I110" s="8">
        <v>2.1999999999999999E-2</v>
      </c>
      <c r="J110" s="8">
        <v>0.12</v>
      </c>
      <c r="K110" s="38">
        <f t="shared" si="11"/>
        <v>0.17799999999999999</v>
      </c>
      <c r="L110" s="38">
        <f t="shared" si="12"/>
        <v>36.483597000000003</v>
      </c>
      <c r="M110" s="29">
        <f t="shared" si="13"/>
        <v>198.02471640461786</v>
      </c>
      <c r="N110" s="29">
        <f t="shared" si="14"/>
        <v>7.348522286444408E+24</v>
      </c>
      <c r="O110" s="35">
        <f t="shared" si="15"/>
        <v>238.14938845439607</v>
      </c>
      <c r="P110" s="35">
        <f t="shared" si="16"/>
        <v>36.88424735310489</v>
      </c>
      <c r="Q110" s="35">
        <f t="shared" si="17"/>
        <v>-0.40065035310488639</v>
      </c>
      <c r="R110" s="35">
        <f t="shared" si="18"/>
        <v>5.0663017751253054</v>
      </c>
      <c r="S110" s="18">
        <v>198.58424885377522</v>
      </c>
      <c r="T110" s="35">
        <f t="shared" si="19"/>
        <v>36.489723992519572</v>
      </c>
      <c r="U110" s="35">
        <f t="shared" si="20"/>
        <v>-6.1269925195688302E-3</v>
      </c>
      <c r="V110" s="35">
        <f t="shared" si="21"/>
        <v>1.1848263266902035E-3</v>
      </c>
    </row>
    <row r="111" spans="1:22" x14ac:dyDescent="0.25">
      <c r="A111" s="34" t="s">
        <v>138</v>
      </c>
      <c r="B111" s="16">
        <v>4.4999999999999998E-2</v>
      </c>
      <c r="C111" s="8">
        <v>0</v>
      </c>
      <c r="D111" s="8">
        <v>17.302</v>
      </c>
      <c r="E111" s="8">
        <v>2.5000000000000001E-2</v>
      </c>
      <c r="F111" s="8">
        <v>1.0780000000000001</v>
      </c>
      <c r="G111" s="8">
        <v>1.0999999999999999E-2</v>
      </c>
      <c r="H111" s="8">
        <v>-6.0000000000000001E-3</v>
      </c>
      <c r="I111" s="8">
        <v>2.4E-2</v>
      </c>
      <c r="J111" s="8">
        <v>0.12</v>
      </c>
      <c r="K111" s="38">
        <f t="shared" si="11"/>
        <v>0.18</v>
      </c>
      <c r="L111" s="38">
        <f t="shared" si="12"/>
        <v>36.672246000000001</v>
      </c>
      <c r="M111" s="29">
        <f t="shared" si="13"/>
        <v>215.99773645880614</v>
      </c>
      <c r="N111" s="29">
        <f t="shared" si="14"/>
        <v>7.0292471027055245E+24</v>
      </c>
      <c r="O111" s="35">
        <f t="shared" si="15"/>
        <v>227.80238441845</v>
      </c>
      <c r="P111" s="35">
        <f t="shared" si="16"/>
        <v>36.787791327739896</v>
      </c>
      <c r="Q111" s="35">
        <f t="shared" si="17"/>
        <v>-0.11554532773989479</v>
      </c>
      <c r="R111" s="35">
        <f t="shared" si="18"/>
        <v>0.41205934452221293</v>
      </c>
      <c r="S111" s="18">
        <v>189.85802526434165</v>
      </c>
      <c r="T111" s="35">
        <f t="shared" si="19"/>
        <v>36.392144797064525</v>
      </c>
      <c r="U111" s="35">
        <f t="shared" si="20"/>
        <v>0.28010120293547658</v>
      </c>
      <c r="V111" s="35">
        <f t="shared" si="21"/>
        <v>2.4215025890710198</v>
      </c>
    </row>
    <row r="112" spans="1:22" x14ac:dyDescent="0.25">
      <c r="A112" s="34" t="s">
        <v>139</v>
      </c>
      <c r="B112" s="16">
        <v>4.9000000000000002E-2</v>
      </c>
      <c r="C112" s="8">
        <v>0</v>
      </c>
      <c r="D112" s="8">
        <v>17.864999999999998</v>
      </c>
      <c r="E112" s="8">
        <v>4.2999999999999997E-2</v>
      </c>
      <c r="F112" s="8">
        <v>0.88400000000000001</v>
      </c>
      <c r="G112" s="8">
        <v>3.7999999999999999E-2</v>
      </c>
      <c r="H112" s="8">
        <v>8.5000000000000006E-2</v>
      </c>
      <c r="I112" s="8">
        <v>0.04</v>
      </c>
      <c r="J112" s="8">
        <v>0.12</v>
      </c>
      <c r="K112" s="38">
        <f t="shared" si="11"/>
        <v>0.24099999999999999</v>
      </c>
      <c r="L112" s="38">
        <f t="shared" si="12"/>
        <v>36.921897999999999</v>
      </c>
      <c r="M112" s="29">
        <f t="shared" si="13"/>
        <v>242.31460996174712</v>
      </c>
      <c r="N112" s="29">
        <f t="shared" si="14"/>
        <v>7.6683676872188104E+24</v>
      </c>
      <c r="O112" s="35">
        <f t="shared" si="15"/>
        <v>248.51487196594309</v>
      </c>
      <c r="P112" s="35">
        <f t="shared" si="16"/>
        <v>36.976761917449004</v>
      </c>
      <c r="Q112" s="35">
        <f t="shared" si="17"/>
        <v>-5.4863917449004873E-2</v>
      </c>
      <c r="R112" s="35">
        <f t="shared" si="18"/>
        <v>5.182502776899884E-2</v>
      </c>
      <c r="S112" s="18">
        <v>207.33455757840622</v>
      </c>
      <c r="T112" s="35">
        <f t="shared" si="19"/>
        <v>36.583358471752319</v>
      </c>
      <c r="U112" s="35">
        <f t="shared" si="20"/>
        <v>0.3385395282476793</v>
      </c>
      <c r="V112" s="35">
        <f t="shared" si="21"/>
        <v>1.9732616894709329</v>
      </c>
    </row>
    <row r="113" spans="1:22" x14ac:dyDescent="0.25">
      <c r="A113" s="34" t="s">
        <v>140</v>
      </c>
      <c r="B113" s="16">
        <v>4.9000000000000002E-2</v>
      </c>
      <c r="C113" s="8">
        <v>0</v>
      </c>
      <c r="D113" s="8">
        <v>17.091000000000001</v>
      </c>
      <c r="E113" s="8">
        <v>2.5999999999999999E-2</v>
      </c>
      <c r="F113" s="8">
        <v>1.085</v>
      </c>
      <c r="G113" s="8">
        <v>1.6E-2</v>
      </c>
      <c r="H113" s="8">
        <v>-1.2E-2</v>
      </c>
      <c r="I113" s="8">
        <v>2.1999999999999999E-2</v>
      </c>
      <c r="J113" s="8">
        <v>0.12</v>
      </c>
      <c r="K113" s="38">
        <f t="shared" si="11"/>
        <v>0.184</v>
      </c>
      <c r="L113" s="38">
        <f t="shared" si="12"/>
        <v>36.481054999999998</v>
      </c>
      <c r="M113" s="29">
        <f t="shared" si="13"/>
        <v>197.79303751909211</v>
      </c>
      <c r="N113" s="29">
        <f t="shared" si="14"/>
        <v>7.6683676872188104E+24</v>
      </c>
      <c r="O113" s="35">
        <f t="shared" si="15"/>
        <v>248.51487196594309</v>
      </c>
      <c r="P113" s="35">
        <f t="shared" si="16"/>
        <v>36.976761917449004</v>
      </c>
      <c r="Q113" s="35">
        <f t="shared" si="17"/>
        <v>-0.49570691744900586</v>
      </c>
      <c r="R113" s="35">
        <f t="shared" si="18"/>
        <v>7.2579556949077135</v>
      </c>
      <c r="S113" s="18">
        <v>207.33455757840622</v>
      </c>
      <c r="T113" s="35">
        <f t="shared" si="19"/>
        <v>36.583358471752319</v>
      </c>
      <c r="U113" s="35">
        <f t="shared" si="20"/>
        <v>-0.10230347175232168</v>
      </c>
      <c r="V113" s="35">
        <f t="shared" si="21"/>
        <v>0.30913280755488193</v>
      </c>
    </row>
    <row r="114" spans="1:22" x14ac:dyDescent="0.25">
      <c r="A114" s="34" t="s">
        <v>141</v>
      </c>
      <c r="B114" s="16">
        <v>0.05</v>
      </c>
      <c r="C114" s="8">
        <v>0</v>
      </c>
      <c r="D114" s="8">
        <v>17.795999999999999</v>
      </c>
      <c r="E114" s="8">
        <v>2.5999999999999999E-2</v>
      </c>
      <c r="F114" s="8">
        <v>0.74099999999999999</v>
      </c>
      <c r="G114" s="8">
        <v>1.7999999999999999E-2</v>
      </c>
      <c r="H114" s="8">
        <v>-6.0000000000000001E-3</v>
      </c>
      <c r="I114" s="8">
        <v>3.4000000000000002E-2</v>
      </c>
      <c r="J114" s="8">
        <v>0.12</v>
      </c>
      <c r="K114" s="38">
        <f t="shared" si="11"/>
        <v>0.19800000000000001</v>
      </c>
      <c r="L114" s="38">
        <f t="shared" si="12"/>
        <v>37.116706999999998</v>
      </c>
      <c r="M114" s="29">
        <f t="shared" si="13"/>
        <v>265.05829498656789</v>
      </c>
      <c r="N114" s="29">
        <f t="shared" si="14"/>
        <v>7.8285036974543593E+24</v>
      </c>
      <c r="O114" s="35">
        <f t="shared" si="15"/>
        <v>253.70452662310751</v>
      </c>
      <c r="P114" s="35">
        <f t="shared" si="16"/>
        <v>37.021641080095634</v>
      </c>
      <c r="Q114" s="35">
        <f t="shared" si="17"/>
        <v>9.5065919904364193E-2</v>
      </c>
      <c r="R114" s="35">
        <f t="shared" si="18"/>
        <v>0.23052568940064755</v>
      </c>
      <c r="S114" s="18">
        <v>211.71872734985874</v>
      </c>
      <c r="T114" s="35">
        <f t="shared" si="19"/>
        <v>36.628796373823747</v>
      </c>
      <c r="U114" s="35">
        <f t="shared" si="20"/>
        <v>0.48791062617625158</v>
      </c>
      <c r="V114" s="35">
        <f t="shared" si="21"/>
        <v>6.072257400665797</v>
      </c>
    </row>
    <row r="115" spans="1:22" x14ac:dyDescent="0.25">
      <c r="A115" s="34" t="s">
        <v>142</v>
      </c>
      <c r="B115" s="16">
        <v>5.2999999999999999E-2</v>
      </c>
      <c r="C115" s="8">
        <v>0</v>
      </c>
      <c r="D115" s="8">
        <v>17.655999999999999</v>
      </c>
      <c r="E115" s="8">
        <v>2.9000000000000001E-2</v>
      </c>
      <c r="F115" s="8">
        <v>0.90600000000000003</v>
      </c>
      <c r="G115" s="8">
        <v>1.2999999999999999E-2</v>
      </c>
      <c r="H115" s="8">
        <v>-7.2999999999999995E-2</v>
      </c>
      <c r="I115" s="8">
        <v>3.4000000000000002E-2</v>
      </c>
      <c r="J115" s="8">
        <v>0.12</v>
      </c>
      <c r="K115" s="38">
        <f t="shared" si="11"/>
        <v>0.19600000000000001</v>
      </c>
      <c r="L115" s="38">
        <f t="shared" si="12"/>
        <v>37.210672000000002</v>
      </c>
      <c r="M115" s="29">
        <f t="shared" si="13"/>
        <v>276.77980562582621</v>
      </c>
      <c r="N115" s="29">
        <f t="shared" si="14"/>
        <v>8.3097624739175846E+24</v>
      </c>
      <c r="O115" s="35">
        <f t="shared" si="15"/>
        <v>269.30106138689916</v>
      </c>
      <c r="P115" s="35">
        <f t="shared" si="16"/>
        <v>37.151190325423038</v>
      </c>
      <c r="Q115" s="35">
        <f t="shared" si="17"/>
        <v>5.9481674576964849E-2</v>
      </c>
      <c r="R115" s="35">
        <f t="shared" si="18"/>
        <v>9.2098854916699974E-2</v>
      </c>
      <c r="S115" s="18">
        <v>224.90721907052409</v>
      </c>
      <c r="T115" s="35">
        <f t="shared" si="19"/>
        <v>36.760016978204746</v>
      </c>
      <c r="U115" s="35">
        <f t="shared" si="20"/>
        <v>0.45065502179525652</v>
      </c>
      <c r="V115" s="35">
        <f t="shared" si="21"/>
        <v>5.2865979974303174</v>
      </c>
    </row>
    <row r="116" spans="1:22" x14ac:dyDescent="0.25">
      <c r="A116" s="34" t="s">
        <v>143</v>
      </c>
      <c r="B116" s="16">
        <v>5.5E-2</v>
      </c>
      <c r="C116" s="8">
        <v>1E-3</v>
      </c>
      <c r="D116" s="8">
        <v>17.905999999999999</v>
      </c>
      <c r="E116" s="8">
        <v>3.5000000000000003E-2</v>
      </c>
      <c r="F116" s="8">
        <v>0.95</v>
      </c>
      <c r="G116" s="8">
        <v>3.1E-2</v>
      </c>
      <c r="H116" s="8">
        <v>-1.7000000000000001E-2</v>
      </c>
      <c r="I116" s="8">
        <v>2.5999999999999999E-2</v>
      </c>
      <c r="J116" s="8">
        <v>0.12</v>
      </c>
      <c r="K116" s="38">
        <f t="shared" si="11"/>
        <v>0.21199999999999999</v>
      </c>
      <c r="L116" s="38">
        <f t="shared" si="12"/>
        <v>37.29186</v>
      </c>
      <c r="M116" s="29">
        <f t="shared" si="13"/>
        <v>287.32406360335602</v>
      </c>
      <c r="N116" s="29">
        <f t="shared" si="14"/>
        <v>8.63130854308254E+24</v>
      </c>
      <c r="O116" s="35">
        <f t="shared" si="15"/>
        <v>279.72165980745598</v>
      </c>
      <c r="P116" s="35">
        <f t="shared" si="16"/>
        <v>37.233630482923957</v>
      </c>
      <c r="Q116" s="35">
        <f t="shared" si="17"/>
        <v>5.822951707604318E-2</v>
      </c>
      <c r="R116" s="35">
        <f t="shared" si="18"/>
        <v>7.5442253891714231E-2</v>
      </c>
      <c r="S116" s="18">
        <v>233.72946623972933</v>
      </c>
      <c r="T116" s="35">
        <f t="shared" si="19"/>
        <v>36.843567336428904</v>
      </c>
      <c r="U116" s="35">
        <f t="shared" si="20"/>
        <v>0.44829266357109532</v>
      </c>
      <c r="V116" s="35">
        <f t="shared" si="21"/>
        <v>4.4714825607793536</v>
      </c>
    </row>
    <row r="117" spans="1:22" x14ac:dyDescent="0.25">
      <c r="A117" s="34" t="s">
        <v>144</v>
      </c>
      <c r="B117" s="16">
        <v>5.3999999999999999E-2</v>
      </c>
      <c r="C117" s="8">
        <v>0</v>
      </c>
      <c r="D117" s="8">
        <v>17.545999999999999</v>
      </c>
      <c r="E117" s="8">
        <v>4.2000000000000003E-2</v>
      </c>
      <c r="F117" s="8">
        <v>0.84399999999999997</v>
      </c>
      <c r="G117" s="8">
        <v>4.9000000000000002E-2</v>
      </c>
      <c r="H117" s="8">
        <v>-8.7999999999999995E-2</v>
      </c>
      <c r="I117" s="8">
        <v>2.9000000000000001E-2</v>
      </c>
      <c r="J117" s="8">
        <v>0.12</v>
      </c>
      <c r="K117" s="38">
        <f t="shared" si="11"/>
        <v>0.24</v>
      </c>
      <c r="L117" s="38">
        <f t="shared" si="12"/>
        <v>37.138508000000002</v>
      </c>
      <c r="M117" s="29">
        <f t="shared" si="13"/>
        <v>267.73281235916113</v>
      </c>
      <c r="N117" s="29">
        <f t="shared" si="14"/>
        <v>8.4704649576745971E+24</v>
      </c>
      <c r="O117" s="35">
        <f t="shared" si="15"/>
        <v>274.50907420063629</v>
      </c>
      <c r="P117" s="35">
        <f t="shared" si="16"/>
        <v>37.192783525535802</v>
      </c>
      <c r="Q117" s="35">
        <f t="shared" si="17"/>
        <v>-5.4275525535800284E-2</v>
      </c>
      <c r="R117" s="35">
        <f t="shared" si="18"/>
        <v>5.1142928336585222E-2</v>
      </c>
      <c r="S117" s="18">
        <v>229.31535511668108</v>
      </c>
      <c r="T117" s="35">
        <f t="shared" si="19"/>
        <v>36.802165681830459</v>
      </c>
      <c r="U117" s="35">
        <f t="shared" si="20"/>
        <v>0.33634231816954241</v>
      </c>
      <c r="V117" s="35">
        <f t="shared" si="21"/>
        <v>1.9639957463830158</v>
      </c>
    </row>
    <row r="118" spans="1:22" x14ac:dyDescent="0.25">
      <c r="A118" s="34" t="s">
        <v>145</v>
      </c>
      <c r="B118" s="16">
        <v>5.8999999999999997E-2</v>
      </c>
      <c r="C118" s="8">
        <v>0</v>
      </c>
      <c r="D118" s="8">
        <v>18.302</v>
      </c>
      <c r="E118" s="8">
        <v>2.5000000000000001E-2</v>
      </c>
      <c r="F118" s="8">
        <v>0.74099999999999999</v>
      </c>
      <c r="G118" s="8">
        <v>1.7999999999999999E-2</v>
      </c>
      <c r="H118" s="8">
        <v>2.1999999999999999E-2</v>
      </c>
      <c r="I118" s="8">
        <v>2.4E-2</v>
      </c>
      <c r="J118" s="8">
        <v>0.12</v>
      </c>
      <c r="K118" s="38">
        <f t="shared" si="11"/>
        <v>0.187</v>
      </c>
      <c r="L118" s="38">
        <f t="shared" si="12"/>
        <v>37.535066999999998</v>
      </c>
      <c r="M118" s="29">
        <f t="shared" si="13"/>
        <v>321.3759696509839</v>
      </c>
      <c r="N118" s="29">
        <f t="shared" si="14"/>
        <v>9.2760897894708338E+24</v>
      </c>
      <c r="O118" s="35">
        <f t="shared" si="15"/>
        <v>300.61759691272846</v>
      </c>
      <c r="P118" s="35">
        <f t="shared" si="16"/>
        <v>37.390071994002611</v>
      </c>
      <c r="Q118" s="35">
        <f t="shared" si="17"/>
        <v>0.14499500599738724</v>
      </c>
      <c r="R118" s="35">
        <f t="shared" si="18"/>
        <v>0.60120540376282883</v>
      </c>
      <c r="S118" s="18">
        <v>251.44552968626385</v>
      </c>
      <c r="T118" s="35">
        <f t="shared" si="19"/>
        <v>37.002219594697323</v>
      </c>
      <c r="U118" s="35">
        <f t="shared" si="20"/>
        <v>0.53284740530267527</v>
      </c>
      <c r="V118" s="35">
        <f t="shared" si="21"/>
        <v>8.1193730829532864</v>
      </c>
    </row>
    <row r="119" spans="1:22" x14ac:dyDescent="0.25">
      <c r="A119" s="34" t="s">
        <v>146</v>
      </c>
      <c r="B119" s="16">
        <v>5.8000000000000003E-2</v>
      </c>
      <c r="C119" s="8">
        <v>0</v>
      </c>
      <c r="D119" s="8">
        <v>17.954999999999998</v>
      </c>
      <c r="E119" s="8">
        <v>2.5999999999999999E-2</v>
      </c>
      <c r="F119" s="8">
        <v>1.131</v>
      </c>
      <c r="G119" s="8">
        <v>2.8000000000000001E-2</v>
      </c>
      <c r="H119" s="8">
        <v>2.3E-2</v>
      </c>
      <c r="I119" s="8">
        <v>2.1999999999999999E-2</v>
      </c>
      <c r="J119" s="8">
        <v>0.12</v>
      </c>
      <c r="K119" s="38">
        <f t="shared" si="11"/>
        <v>0.19600000000000001</v>
      </c>
      <c r="L119" s="38">
        <f t="shared" si="12"/>
        <v>37.242266999999998</v>
      </c>
      <c r="M119" s="29">
        <f t="shared" si="13"/>
        <v>280.83640178345036</v>
      </c>
      <c r="N119" s="29">
        <f t="shared" si="14"/>
        <v>9.1146838523366007E+24</v>
      </c>
      <c r="O119" s="35">
        <f t="shared" si="15"/>
        <v>295.38678672762052</v>
      </c>
      <c r="P119" s="35">
        <f t="shared" si="16"/>
        <v>37.351955322523068</v>
      </c>
      <c r="Q119" s="35">
        <f t="shared" si="17"/>
        <v>-0.10968832252306981</v>
      </c>
      <c r="R119" s="35">
        <f t="shared" si="18"/>
        <v>0.3131905481550652</v>
      </c>
      <c r="S119" s="18">
        <v>247.00758415737559</v>
      </c>
      <c r="T119" s="35">
        <f t="shared" si="19"/>
        <v>36.963551440531759</v>
      </c>
      <c r="U119" s="35">
        <f t="shared" si="20"/>
        <v>0.27871555946823889</v>
      </c>
      <c r="V119" s="35">
        <f t="shared" si="21"/>
        <v>2.0221356489403739</v>
      </c>
    </row>
    <row r="120" spans="1:22" x14ac:dyDescent="0.25">
      <c r="A120" s="34" t="s">
        <v>147</v>
      </c>
      <c r="B120" s="16">
        <v>6.3E-2</v>
      </c>
      <c r="C120" s="8">
        <v>0</v>
      </c>
      <c r="D120" s="8">
        <v>18.015000000000001</v>
      </c>
      <c r="E120" s="8">
        <v>2.5999999999999999E-2</v>
      </c>
      <c r="F120" s="8">
        <v>1.117</v>
      </c>
      <c r="G120" s="8">
        <v>0.01</v>
      </c>
      <c r="H120" s="8">
        <v>5.0999999999999997E-2</v>
      </c>
      <c r="I120" s="8">
        <v>2.4E-2</v>
      </c>
      <c r="J120" s="8">
        <v>0.12</v>
      </c>
      <c r="K120" s="38">
        <f t="shared" si="11"/>
        <v>0.18</v>
      </c>
      <c r="L120" s="38">
        <f t="shared" si="12"/>
        <v>37.212569000000002</v>
      </c>
      <c r="M120" s="29">
        <f t="shared" si="13"/>
        <v>277.02170632803131</v>
      </c>
      <c r="N120" s="29">
        <f t="shared" si="14"/>
        <v>9.923112263097039E+24</v>
      </c>
      <c r="O120" s="35">
        <f t="shared" si="15"/>
        <v>321.58616724619168</v>
      </c>
      <c r="P120" s="35">
        <f t="shared" si="16"/>
        <v>37.536486798363256</v>
      </c>
      <c r="Q120" s="35">
        <f t="shared" si="17"/>
        <v>-0.32391779836325441</v>
      </c>
      <c r="R120" s="35">
        <f t="shared" si="18"/>
        <v>3.2383561758178376</v>
      </c>
      <c r="S120" s="18">
        <v>269.25666737459142</v>
      </c>
      <c r="T120" s="35">
        <f t="shared" si="19"/>
        <v>37.150832330846249</v>
      </c>
      <c r="U120" s="35">
        <f t="shared" si="20"/>
        <v>6.1736669153752644E-2</v>
      </c>
      <c r="V120" s="35">
        <f t="shared" si="21"/>
        <v>0.11763630611728128</v>
      </c>
    </row>
    <row r="121" spans="1:22" x14ac:dyDescent="0.25">
      <c r="A121" s="34" t="s">
        <v>148</v>
      </c>
      <c r="B121" s="16">
        <v>6.3E-2</v>
      </c>
      <c r="C121" s="8">
        <v>0</v>
      </c>
      <c r="D121" s="8">
        <v>18.317</v>
      </c>
      <c r="E121" s="8">
        <v>0.04</v>
      </c>
      <c r="F121" s="8">
        <v>0.96599999999999997</v>
      </c>
      <c r="G121" s="8">
        <v>3.6999999999999998E-2</v>
      </c>
      <c r="H121" s="8">
        <v>-1.7999999999999999E-2</v>
      </c>
      <c r="I121" s="8">
        <v>0.04</v>
      </c>
      <c r="J121" s="8">
        <v>0.12</v>
      </c>
      <c r="K121" s="38">
        <f t="shared" si="11"/>
        <v>0.23699999999999999</v>
      </c>
      <c r="L121" s="38">
        <f t="shared" si="12"/>
        <v>37.708342000000002</v>
      </c>
      <c r="M121" s="29">
        <f t="shared" si="13"/>
        <v>348.07144804455714</v>
      </c>
      <c r="N121" s="29">
        <f t="shared" si="14"/>
        <v>9.923112263097039E+24</v>
      </c>
      <c r="O121" s="35">
        <f t="shared" si="15"/>
        <v>321.58616724619168</v>
      </c>
      <c r="P121" s="35">
        <f t="shared" si="16"/>
        <v>37.536486798363256</v>
      </c>
      <c r="Q121" s="35">
        <f t="shared" si="17"/>
        <v>0.17185520163674539</v>
      </c>
      <c r="R121" s="35">
        <f t="shared" si="18"/>
        <v>0.52580979418551899</v>
      </c>
      <c r="S121" s="18">
        <v>269.25666737459142</v>
      </c>
      <c r="T121" s="35">
        <f t="shared" si="19"/>
        <v>37.150832330846249</v>
      </c>
      <c r="U121" s="35">
        <f t="shared" si="20"/>
        <v>0.55750966915375244</v>
      </c>
      <c r="V121" s="35">
        <f t="shared" si="21"/>
        <v>5.5336045007019266</v>
      </c>
    </row>
    <row r="122" spans="1:22" x14ac:dyDescent="0.25">
      <c r="A122" s="34" t="s">
        <v>149</v>
      </c>
      <c r="B122" s="16">
        <v>6.5000000000000002E-2</v>
      </c>
      <c r="C122" s="8">
        <v>1E-3</v>
      </c>
      <c r="D122" s="8">
        <v>18.195</v>
      </c>
      <c r="E122" s="8">
        <v>3.5999999999999997E-2</v>
      </c>
      <c r="F122" s="8">
        <v>1.0609999999999999</v>
      </c>
      <c r="G122" s="8">
        <v>4.2000000000000003E-2</v>
      </c>
      <c r="H122" s="8">
        <v>1.6E-2</v>
      </c>
      <c r="I122" s="8">
        <v>2.4E-2</v>
      </c>
      <c r="J122" s="8">
        <v>0.12</v>
      </c>
      <c r="K122" s="38">
        <f t="shared" si="11"/>
        <v>0.222</v>
      </c>
      <c r="L122" s="38">
        <f t="shared" si="12"/>
        <v>37.493887000000001</v>
      </c>
      <c r="M122" s="29">
        <f t="shared" si="13"/>
        <v>315.33879229460251</v>
      </c>
      <c r="N122" s="29">
        <f t="shared" si="14"/>
        <v>1.024745989009911E+25</v>
      </c>
      <c r="O122" s="35">
        <f t="shared" si="15"/>
        <v>332.09755797295941</v>
      </c>
      <c r="P122" s="35">
        <f t="shared" si="16"/>
        <v>37.606328410470582</v>
      </c>
      <c r="Q122" s="35">
        <f t="shared" si="17"/>
        <v>-0.11244141047058065</v>
      </c>
      <c r="R122" s="35">
        <f t="shared" si="18"/>
        <v>0.25653499692828513</v>
      </c>
      <c r="S122" s="18">
        <v>278.19775748413133</v>
      </c>
      <c r="T122" s="35">
        <f t="shared" si="19"/>
        <v>37.221768124394572</v>
      </c>
      <c r="U122" s="35">
        <f t="shared" si="20"/>
        <v>0.27211887560542891</v>
      </c>
      <c r="V122" s="35">
        <f t="shared" si="21"/>
        <v>1.5024892959330185</v>
      </c>
    </row>
    <row r="123" spans="1:22" x14ac:dyDescent="0.25">
      <c r="A123" s="34" t="s">
        <v>150</v>
      </c>
      <c r="B123" s="16">
        <v>6.3E-2</v>
      </c>
      <c r="C123" s="8">
        <v>0</v>
      </c>
      <c r="D123" s="8">
        <v>17.832000000000001</v>
      </c>
      <c r="E123" s="8">
        <v>4.8000000000000001E-2</v>
      </c>
      <c r="F123" s="8">
        <v>1.198</v>
      </c>
      <c r="G123" s="8">
        <v>3.9E-2</v>
      </c>
      <c r="H123" s="8">
        <v>2E-3</v>
      </c>
      <c r="I123" s="8">
        <v>2.7E-2</v>
      </c>
      <c r="J123" s="8">
        <v>0.12</v>
      </c>
      <c r="K123" s="38">
        <f t="shared" si="11"/>
        <v>0.23399999999999999</v>
      </c>
      <c r="L123" s="38">
        <f t="shared" si="12"/>
        <v>37.194845999999998</v>
      </c>
      <c r="M123" s="29">
        <f t="shared" si="13"/>
        <v>274.76992804011155</v>
      </c>
      <c r="N123" s="29">
        <f t="shared" si="14"/>
        <v>9.923112263097039E+24</v>
      </c>
      <c r="O123" s="35">
        <f t="shared" si="15"/>
        <v>321.58616724619168</v>
      </c>
      <c r="P123" s="35">
        <f t="shared" si="16"/>
        <v>37.536486798363256</v>
      </c>
      <c r="Q123" s="35">
        <f t="shared" si="17"/>
        <v>-0.34164079836325811</v>
      </c>
      <c r="R123" s="35">
        <f t="shared" si="18"/>
        <v>2.1316099624933234</v>
      </c>
      <c r="S123" s="18">
        <v>269.25666737459142</v>
      </c>
      <c r="T123" s="35">
        <f t="shared" si="19"/>
        <v>37.150832330846249</v>
      </c>
      <c r="U123" s="35">
        <f t="shared" si="20"/>
        <v>4.4013669153748936E-2</v>
      </c>
      <c r="V123" s="35">
        <f t="shared" si="21"/>
        <v>3.5378827386508709E-2</v>
      </c>
    </row>
    <row r="124" spans="1:22" x14ac:dyDescent="0.25">
      <c r="A124" s="34" t="s">
        <v>7</v>
      </c>
      <c r="B124" s="16">
        <v>6.5000000000000002E-2</v>
      </c>
      <c r="C124" s="8">
        <v>0</v>
      </c>
      <c r="D124" s="8">
        <v>18.373000000000001</v>
      </c>
      <c r="E124" s="8">
        <v>2.9000000000000001E-2</v>
      </c>
      <c r="F124" s="8">
        <v>0.89100000000000001</v>
      </c>
      <c r="G124" s="8">
        <v>2.4E-2</v>
      </c>
      <c r="H124" s="8">
        <v>5.3999999999999999E-2</v>
      </c>
      <c r="I124" s="8">
        <v>2.7E-2</v>
      </c>
      <c r="J124" s="8">
        <v>0.12</v>
      </c>
      <c r="K124" s="38">
        <f t="shared" si="11"/>
        <v>0.2</v>
      </c>
      <c r="L124" s="38">
        <f t="shared" si="12"/>
        <v>37.527957000000001</v>
      </c>
      <c r="M124" s="29">
        <f t="shared" si="13"/>
        <v>320.32541686432074</v>
      </c>
      <c r="N124" s="29">
        <f t="shared" si="14"/>
        <v>1.024745989009911E+25</v>
      </c>
      <c r="O124" s="35">
        <f t="shared" si="15"/>
        <v>332.09755797295941</v>
      </c>
      <c r="P124" s="35">
        <f t="shared" si="16"/>
        <v>37.606328410470582</v>
      </c>
      <c r="Q124" s="35">
        <f t="shared" si="17"/>
        <v>-7.8371410470580827E-2</v>
      </c>
      <c r="R124" s="35">
        <f t="shared" si="18"/>
        <v>0.15355194947870662</v>
      </c>
      <c r="S124" s="18">
        <v>278.19775748413133</v>
      </c>
      <c r="T124" s="35">
        <f t="shared" si="19"/>
        <v>37.221768124394572</v>
      </c>
      <c r="U124" s="35">
        <f t="shared" si="20"/>
        <v>0.30618887560542873</v>
      </c>
      <c r="V124" s="35">
        <f t="shared" si="21"/>
        <v>2.3437906886129172</v>
      </c>
    </row>
    <row r="125" spans="1:22" x14ac:dyDescent="0.25">
      <c r="A125" s="34" t="s">
        <v>151</v>
      </c>
      <c r="B125" s="16">
        <v>6.7000000000000004E-2</v>
      </c>
      <c r="C125" s="8">
        <v>0</v>
      </c>
      <c r="D125" s="8">
        <v>18.640999999999998</v>
      </c>
      <c r="E125" s="8">
        <v>4.3999999999999997E-2</v>
      </c>
      <c r="F125" s="8">
        <v>0.94399999999999995</v>
      </c>
      <c r="G125" s="8">
        <v>1.6E-2</v>
      </c>
      <c r="H125" s="8">
        <v>0.129</v>
      </c>
      <c r="I125" s="8">
        <v>2.5999999999999999E-2</v>
      </c>
      <c r="J125" s="8">
        <v>0.12</v>
      </c>
      <c r="K125" s="38">
        <f t="shared" si="11"/>
        <v>0.20599999999999999</v>
      </c>
      <c r="L125" s="38">
        <f t="shared" si="12"/>
        <v>37.568997999999993</v>
      </c>
      <c r="M125" s="29">
        <f t="shared" si="13"/>
        <v>326.43716688306512</v>
      </c>
      <c r="N125" s="29">
        <f t="shared" si="14"/>
        <v>1.057236295248227E+25</v>
      </c>
      <c r="O125" s="35">
        <f t="shared" si="15"/>
        <v>342.62694913453242</v>
      </c>
      <c r="P125" s="35">
        <f t="shared" si="16"/>
        <v>37.674107595834663</v>
      </c>
      <c r="Q125" s="35">
        <f t="shared" si="17"/>
        <v>-0.10510959583466928</v>
      </c>
      <c r="R125" s="35">
        <f t="shared" si="18"/>
        <v>0.26034562957223883</v>
      </c>
      <c r="S125" s="18">
        <v>287.16245833955907</v>
      </c>
      <c r="T125" s="35">
        <f t="shared" si="19"/>
        <v>37.290638312919725</v>
      </c>
      <c r="U125" s="35">
        <f t="shared" si="20"/>
        <v>0.27835968708026826</v>
      </c>
      <c r="V125" s="35">
        <f t="shared" si="21"/>
        <v>1.8259052547701213</v>
      </c>
    </row>
    <row r="126" spans="1:22" x14ac:dyDescent="0.25">
      <c r="A126" s="34" t="s">
        <v>152</v>
      </c>
      <c r="B126" s="16">
        <v>6.9000000000000006E-2</v>
      </c>
      <c r="C126" s="8">
        <v>0</v>
      </c>
      <c r="D126" s="8">
        <v>18.484999999999999</v>
      </c>
      <c r="E126" s="8">
        <v>5.6000000000000001E-2</v>
      </c>
      <c r="F126" s="8">
        <v>0.80900000000000005</v>
      </c>
      <c r="G126" s="8">
        <v>0.04</v>
      </c>
      <c r="H126" s="8">
        <v>-6.3E-2</v>
      </c>
      <c r="I126" s="8">
        <v>3.2000000000000001E-2</v>
      </c>
      <c r="J126" s="8">
        <v>0.12</v>
      </c>
      <c r="K126" s="38">
        <f t="shared" si="11"/>
        <v>0.248</v>
      </c>
      <c r="L126" s="38">
        <f t="shared" si="12"/>
        <v>37.994112999999999</v>
      </c>
      <c r="M126" s="29">
        <f t="shared" si="13"/>
        <v>397.02933835530911</v>
      </c>
      <c r="N126" s="29">
        <f t="shared" si="14"/>
        <v>1.0897819839510769E+25</v>
      </c>
      <c r="O126" s="35">
        <f t="shared" si="15"/>
        <v>353.17428853052007</v>
      </c>
      <c r="P126" s="35">
        <f t="shared" si="16"/>
        <v>37.739945394746115</v>
      </c>
      <c r="Q126" s="35">
        <f t="shared" si="17"/>
        <v>0.25416760525388327</v>
      </c>
      <c r="R126" s="35">
        <f t="shared" si="18"/>
        <v>1.0503572379112551</v>
      </c>
      <c r="S126" s="18">
        <v>296.15071741630351</v>
      </c>
      <c r="T126" s="35">
        <f t="shared" si="19"/>
        <v>37.357563945218502</v>
      </c>
      <c r="U126" s="35">
        <f t="shared" si="20"/>
        <v>0.63654905478149715</v>
      </c>
      <c r="V126" s="35">
        <f t="shared" si="21"/>
        <v>6.5881031988686498</v>
      </c>
    </row>
    <row r="127" spans="1:22" x14ac:dyDescent="0.25">
      <c r="A127" s="34" t="s">
        <v>153</v>
      </c>
      <c r="B127" s="16">
        <v>7.0000000000000007E-2</v>
      </c>
      <c r="C127" s="8">
        <v>0</v>
      </c>
      <c r="D127" s="8">
        <v>18.497</v>
      </c>
      <c r="E127" s="8">
        <v>5.5E-2</v>
      </c>
      <c r="F127" s="8">
        <v>0.91400000000000003</v>
      </c>
      <c r="G127" s="8">
        <v>5.3999999999999999E-2</v>
      </c>
      <c r="H127" s="8">
        <v>5.7000000000000002E-2</v>
      </c>
      <c r="I127" s="8">
        <v>4.3999999999999997E-2</v>
      </c>
      <c r="J127" s="8">
        <v>0.12</v>
      </c>
      <c r="K127" s="38">
        <f t="shared" si="11"/>
        <v>0.27300000000000002</v>
      </c>
      <c r="L127" s="38">
        <f t="shared" si="12"/>
        <v>37.645948000000004</v>
      </c>
      <c r="M127" s="29">
        <f t="shared" si="13"/>
        <v>338.21245743786687</v>
      </c>
      <c r="N127" s="29">
        <f t="shared" si="14"/>
        <v>1.1060755465614259E+25</v>
      </c>
      <c r="O127" s="35">
        <f t="shared" si="15"/>
        <v>358.45467255896062</v>
      </c>
      <c r="P127" s="35">
        <f t="shared" si="16"/>
        <v>37.772171229557365</v>
      </c>
      <c r="Q127" s="35">
        <f t="shared" si="17"/>
        <v>-0.12622322955736109</v>
      </c>
      <c r="R127" s="35">
        <f t="shared" si="18"/>
        <v>0.21377321150009085</v>
      </c>
      <c r="S127" s="18">
        <v>300.65366488462064</v>
      </c>
      <c r="T127" s="35">
        <f t="shared" si="19"/>
        <v>37.390332510714117</v>
      </c>
      <c r="U127" s="35">
        <f t="shared" si="20"/>
        <v>0.25561548928588707</v>
      </c>
      <c r="V127" s="35">
        <f t="shared" si="21"/>
        <v>0.87669602923510903</v>
      </c>
    </row>
    <row r="128" spans="1:22" x14ac:dyDescent="0.25">
      <c r="A128" s="34" t="s">
        <v>154</v>
      </c>
      <c r="B128" s="16">
        <v>6.8000000000000005E-2</v>
      </c>
      <c r="C128" s="8">
        <v>0.01</v>
      </c>
      <c r="D128" s="8">
        <v>18.494</v>
      </c>
      <c r="E128" s="8">
        <v>6.0999999999999999E-2</v>
      </c>
      <c r="F128" s="8">
        <v>1.038</v>
      </c>
      <c r="G128" s="8">
        <v>8.5000000000000006E-2</v>
      </c>
      <c r="H128" s="8">
        <v>0.104</v>
      </c>
      <c r="I128" s="8">
        <v>4.3999999999999997E-2</v>
      </c>
      <c r="J128" s="8">
        <v>0.12</v>
      </c>
      <c r="K128" s="38">
        <f t="shared" si="11"/>
        <v>0.31</v>
      </c>
      <c r="L128" s="38">
        <f t="shared" si="12"/>
        <v>37.514066</v>
      </c>
      <c r="M128" s="29">
        <f t="shared" si="13"/>
        <v>318.28282199737731</v>
      </c>
      <c r="N128" s="29">
        <f t="shared" si="14"/>
        <v>1.0735022268343437E+25</v>
      </c>
      <c r="O128" s="35">
        <f t="shared" si="15"/>
        <v>347.89837855786078</v>
      </c>
      <c r="P128" s="35">
        <f t="shared" si="16"/>
        <v>37.707262023228964</v>
      </c>
      <c r="Q128" s="35">
        <f t="shared" si="17"/>
        <v>-0.19319602322896401</v>
      </c>
      <c r="R128" s="35">
        <f t="shared" si="18"/>
        <v>0.38839441614449943</v>
      </c>
      <c r="S128" s="18">
        <v>291.65364638150396</v>
      </c>
      <c r="T128" s="35">
        <f t="shared" si="19"/>
        <v>37.324337052698105</v>
      </c>
      <c r="U128" s="35">
        <f t="shared" si="20"/>
        <v>0.18972894730189438</v>
      </c>
      <c r="V128" s="35">
        <f t="shared" si="21"/>
        <v>0.374579328244381</v>
      </c>
    </row>
    <row r="129" spans="1:22" x14ac:dyDescent="0.25">
      <c r="A129" s="34" t="s">
        <v>155</v>
      </c>
      <c r="B129" s="16">
        <v>7.4999999999999997E-2</v>
      </c>
      <c r="C129" s="8">
        <v>0</v>
      </c>
      <c r="D129" s="8">
        <v>18.448</v>
      </c>
      <c r="E129" s="8">
        <v>5.3999999999999999E-2</v>
      </c>
      <c r="F129" s="8">
        <v>0.94399999999999995</v>
      </c>
      <c r="G129" s="8">
        <v>4.2999999999999997E-2</v>
      </c>
      <c r="H129" s="8">
        <v>-2.7E-2</v>
      </c>
      <c r="I129" s="8">
        <v>4.9000000000000002E-2</v>
      </c>
      <c r="J129" s="8">
        <v>0.12</v>
      </c>
      <c r="K129" s="38">
        <f t="shared" si="11"/>
        <v>0.26600000000000001</v>
      </c>
      <c r="L129" s="38">
        <f t="shared" si="12"/>
        <v>37.864277999999999</v>
      </c>
      <c r="M129" s="29">
        <f t="shared" si="13"/>
        <v>373.9862196897019</v>
      </c>
      <c r="N129" s="29">
        <f t="shared" si="14"/>
        <v>1.1877497434261643E+25</v>
      </c>
      <c r="O129" s="35">
        <f t="shared" si="15"/>
        <v>384.92347713987812</v>
      </c>
      <c r="P129" s="35">
        <f t="shared" si="16"/>
        <v>37.926872001320682</v>
      </c>
      <c r="Q129" s="35">
        <f t="shared" si="17"/>
        <v>-6.2594001320682935E-2</v>
      </c>
      <c r="R129" s="35">
        <f t="shared" si="18"/>
        <v>5.5373523112296576E-2</v>
      </c>
      <c r="S129" s="18">
        <v>323.25631933116341</v>
      </c>
      <c r="T129" s="35">
        <f t="shared" si="19"/>
        <v>37.547735118246734</v>
      </c>
      <c r="U129" s="35">
        <f t="shared" si="20"/>
        <v>0.31654288175326428</v>
      </c>
      <c r="V129" s="35">
        <f t="shared" si="21"/>
        <v>1.4161257842255219</v>
      </c>
    </row>
    <row r="130" spans="1:22" x14ac:dyDescent="0.25">
      <c r="A130" s="34" t="s">
        <v>156</v>
      </c>
      <c r="B130" s="16">
        <v>7.4999999999999997E-2</v>
      </c>
      <c r="C130" s="8">
        <v>0</v>
      </c>
      <c r="D130" s="8">
        <v>18.399999999999999</v>
      </c>
      <c r="E130" s="8">
        <v>0.02</v>
      </c>
      <c r="F130" s="8">
        <v>1.0429999999999999</v>
      </c>
      <c r="G130" s="8">
        <v>1.2E-2</v>
      </c>
      <c r="H130" s="8">
        <v>1.4E-2</v>
      </c>
      <c r="I130" s="8">
        <v>1.7999999999999999E-2</v>
      </c>
      <c r="J130" s="8">
        <v>0.12</v>
      </c>
      <c r="K130" s="38">
        <f t="shared" si="11"/>
        <v>0.16999999999999998</v>
      </c>
      <c r="L130" s="38">
        <f t="shared" si="12"/>
        <v>37.702500999999998</v>
      </c>
      <c r="M130" s="29">
        <f t="shared" si="13"/>
        <v>347.13643574989692</v>
      </c>
      <c r="N130" s="29">
        <f t="shared" si="14"/>
        <v>1.1877497434261643E+25</v>
      </c>
      <c r="O130" s="35">
        <f t="shared" si="15"/>
        <v>384.92347713987812</v>
      </c>
      <c r="P130" s="35">
        <f t="shared" si="16"/>
        <v>37.926872001320682</v>
      </c>
      <c r="Q130" s="35">
        <f t="shared" si="17"/>
        <v>-0.22437100132068366</v>
      </c>
      <c r="R130" s="35">
        <f t="shared" si="18"/>
        <v>1.7419496966659598</v>
      </c>
      <c r="S130" s="18">
        <v>323.25631933116341</v>
      </c>
      <c r="T130" s="35">
        <f t="shared" si="19"/>
        <v>37.547735118246734</v>
      </c>
      <c r="U130" s="35">
        <f t="shared" si="20"/>
        <v>0.15476588175326356</v>
      </c>
      <c r="V130" s="35">
        <f t="shared" si="21"/>
        <v>0.82880547248668379</v>
      </c>
    </row>
    <row r="131" spans="1:22" x14ac:dyDescent="0.25">
      <c r="A131" s="34" t="s">
        <v>157</v>
      </c>
      <c r="B131" s="16">
        <v>7.8E-2</v>
      </c>
      <c r="C131" s="8">
        <v>1E-3</v>
      </c>
      <c r="D131" s="8">
        <v>18.422000000000001</v>
      </c>
      <c r="E131" s="8">
        <v>2.5999999999999999E-2</v>
      </c>
      <c r="F131" s="8">
        <v>1.0649999999999999</v>
      </c>
      <c r="G131" s="8">
        <v>2.7E-2</v>
      </c>
      <c r="H131" s="8">
        <v>-3.6999999999999998E-2</v>
      </c>
      <c r="I131" s="8">
        <v>2.5000000000000001E-2</v>
      </c>
      <c r="J131" s="8">
        <v>0.12</v>
      </c>
      <c r="K131" s="38">
        <f t="shared" si="11"/>
        <v>0.19800000000000001</v>
      </c>
      <c r="L131" s="38">
        <f t="shared" si="12"/>
        <v>37.887365000000003</v>
      </c>
      <c r="M131" s="29">
        <f t="shared" si="13"/>
        <v>377.9836374051273</v>
      </c>
      <c r="N131" s="29">
        <f t="shared" si="14"/>
        <v>1.2369186535023073E+25</v>
      </c>
      <c r="O131" s="35">
        <f t="shared" si="15"/>
        <v>400.85803569351123</v>
      </c>
      <c r="P131" s="35">
        <f t="shared" si="16"/>
        <v>38.014952969944829</v>
      </c>
      <c r="Q131" s="35">
        <f t="shared" si="17"/>
        <v>-0.1275879699448268</v>
      </c>
      <c r="R131" s="35">
        <f t="shared" si="18"/>
        <v>0.41523033554336358</v>
      </c>
      <c r="S131" s="18">
        <v>336.88800996570592</v>
      </c>
      <c r="T131" s="35">
        <f t="shared" si="19"/>
        <v>37.637427772353</v>
      </c>
      <c r="U131" s="35">
        <f t="shared" si="20"/>
        <v>0.24993722764700266</v>
      </c>
      <c r="V131" s="35">
        <f t="shared" si="21"/>
        <v>1.5934245935075408</v>
      </c>
    </row>
    <row r="132" spans="1:22" x14ac:dyDescent="0.25">
      <c r="A132" s="34" t="s">
        <v>158</v>
      </c>
      <c r="B132" s="16">
        <v>7.9000000000000001E-2</v>
      </c>
      <c r="C132" s="8">
        <v>0</v>
      </c>
      <c r="D132" s="8">
        <v>18.335000000000001</v>
      </c>
      <c r="E132" s="8">
        <v>3.2000000000000001E-2</v>
      </c>
      <c r="F132" s="8">
        <v>0.877</v>
      </c>
      <c r="G132" s="8">
        <v>2.1000000000000001E-2</v>
      </c>
      <c r="H132" s="8">
        <v>-7.4999999999999997E-2</v>
      </c>
      <c r="I132" s="8">
        <v>3.9E-2</v>
      </c>
      <c r="J132" s="8">
        <v>0.12</v>
      </c>
      <c r="K132" s="38">
        <f t="shared" si="11"/>
        <v>0.21199999999999999</v>
      </c>
      <c r="L132" s="38">
        <f t="shared" si="12"/>
        <v>37.891669</v>
      </c>
      <c r="M132" s="29">
        <f t="shared" si="13"/>
        <v>378.73356859792329</v>
      </c>
      <c r="N132" s="29">
        <f t="shared" si="14"/>
        <v>1.2533355702449887E+25</v>
      </c>
      <c r="O132" s="35">
        <f t="shared" si="15"/>
        <v>406.17839607370411</v>
      </c>
      <c r="P132" s="35">
        <f t="shared" si="16"/>
        <v>38.043584101554032</v>
      </c>
      <c r="Q132" s="35">
        <f t="shared" si="17"/>
        <v>-0.15191510155403165</v>
      </c>
      <c r="R132" s="35">
        <f t="shared" si="18"/>
        <v>0.5134878533324081</v>
      </c>
      <c r="S132" s="18">
        <v>341.4435505919692</v>
      </c>
      <c r="T132" s="35">
        <f t="shared" si="19"/>
        <v>37.666594569475194</v>
      </c>
      <c r="U132" s="35">
        <f t="shared" si="20"/>
        <v>0.22507443052480625</v>
      </c>
      <c r="V132" s="35">
        <f t="shared" si="21"/>
        <v>1.1271471003040636</v>
      </c>
    </row>
    <row r="133" spans="1:22" x14ac:dyDescent="0.25">
      <c r="A133" s="34" t="s">
        <v>159</v>
      </c>
      <c r="B133" s="16">
        <v>0.08</v>
      </c>
      <c r="C133" s="8">
        <v>1E-3</v>
      </c>
      <c r="D133" s="8">
        <v>18.440000000000001</v>
      </c>
      <c r="E133" s="8">
        <v>2.3E-2</v>
      </c>
      <c r="F133" s="8">
        <v>1.0289999999999999</v>
      </c>
      <c r="G133" s="8">
        <v>1.2999999999999999E-2</v>
      </c>
      <c r="H133" s="8">
        <v>-1.4E-2</v>
      </c>
      <c r="I133" s="8">
        <v>2.3E-2</v>
      </c>
      <c r="J133" s="8">
        <v>0.12</v>
      </c>
      <c r="K133" s="38">
        <f t="shared" si="11"/>
        <v>0.17899999999999999</v>
      </c>
      <c r="L133" s="38">
        <f t="shared" si="12"/>
        <v>37.828083000000007</v>
      </c>
      <c r="M133" s="29">
        <f t="shared" si="13"/>
        <v>367.80412869875613</v>
      </c>
      <c r="N133" s="29">
        <f t="shared" si="14"/>
        <v>1.269766094224465E+25</v>
      </c>
      <c r="O133" s="35">
        <f t="shared" si="15"/>
        <v>411.50316625901826</v>
      </c>
      <c r="P133" s="35">
        <f t="shared" si="16"/>
        <v>38.071865905925279</v>
      </c>
      <c r="Q133" s="35">
        <f t="shared" si="17"/>
        <v>-0.24378290592527208</v>
      </c>
      <c r="R133" s="35">
        <f t="shared" si="18"/>
        <v>1.8548143073365393</v>
      </c>
      <c r="S133" s="18">
        <v>346.00490220179296</v>
      </c>
      <c r="T133" s="35">
        <f t="shared" si="19"/>
        <v>37.695411259630156</v>
      </c>
      <c r="U133" s="35">
        <f t="shared" si="20"/>
        <v>0.13267174036985097</v>
      </c>
      <c r="V133" s="35">
        <f t="shared" si="21"/>
        <v>0.54935210176851978</v>
      </c>
    </row>
    <row r="134" spans="1:22" x14ac:dyDescent="0.25">
      <c r="A134" s="34" t="s">
        <v>160</v>
      </c>
      <c r="B134" s="16">
        <v>8.6999999999999994E-2</v>
      </c>
      <c r="C134" s="8">
        <v>0</v>
      </c>
      <c r="D134" s="8">
        <v>19.103000000000002</v>
      </c>
      <c r="E134" s="8">
        <v>3.2000000000000001E-2</v>
      </c>
      <c r="F134" s="8">
        <v>0.92900000000000005</v>
      </c>
      <c r="G134" s="8">
        <v>1.2999999999999999E-2</v>
      </c>
      <c r="H134" s="8">
        <v>7.1999999999999995E-2</v>
      </c>
      <c r="I134" s="8">
        <v>2.4E-2</v>
      </c>
      <c r="J134" s="8">
        <v>0.12</v>
      </c>
      <c r="K134" s="38">
        <f t="shared" si="11"/>
        <v>0.189</v>
      </c>
      <c r="L134" s="38">
        <f t="shared" si="12"/>
        <v>38.207203000000007</v>
      </c>
      <c r="M134" s="29">
        <f t="shared" si="13"/>
        <v>437.96620487905483</v>
      </c>
      <c r="N134" s="29">
        <f t="shared" si="14"/>
        <v>1.3851591216714353E+25</v>
      </c>
      <c r="O134" s="35">
        <f t="shared" si="15"/>
        <v>448.89949962673529</v>
      </c>
      <c r="P134" s="35">
        <f t="shared" si="16"/>
        <v>38.260745606541917</v>
      </c>
      <c r="Q134" s="35">
        <f t="shared" si="17"/>
        <v>-5.3542606541910231E-2</v>
      </c>
      <c r="R134" s="35">
        <f t="shared" si="18"/>
        <v>8.0255611973399629E-2</v>
      </c>
      <c r="S134" s="18">
        <v>378.0965228318023</v>
      </c>
      <c r="T134" s="35">
        <f t="shared" si="19"/>
        <v>37.888013416938243</v>
      </c>
      <c r="U134" s="35">
        <f t="shared" si="20"/>
        <v>0.31918958306176393</v>
      </c>
      <c r="V134" s="35">
        <f t="shared" si="21"/>
        <v>2.8521595121957022</v>
      </c>
    </row>
    <row r="135" spans="1:22" x14ac:dyDescent="0.25">
      <c r="A135" s="34" t="s">
        <v>161</v>
      </c>
      <c r="B135" s="16">
        <v>8.6999999999999994E-2</v>
      </c>
      <c r="C135" s="8">
        <v>0</v>
      </c>
      <c r="D135" s="8">
        <v>18.751000000000001</v>
      </c>
      <c r="E135" s="8">
        <v>2.5999999999999999E-2</v>
      </c>
      <c r="F135" s="8">
        <v>0.97499999999999998</v>
      </c>
      <c r="G135" s="8">
        <v>1.0999999999999999E-2</v>
      </c>
      <c r="H135" s="8">
        <v>-0.04</v>
      </c>
      <c r="I135" s="8">
        <v>2.1000000000000001E-2</v>
      </c>
      <c r="J135" s="8">
        <v>0.12</v>
      </c>
      <c r="K135" s="38">
        <f t="shared" ref="K135:K198" si="22">PeakMagnitudeError+StretchError+ColorError+ScatterError</f>
        <v>0.17799999999999999</v>
      </c>
      <c r="L135" s="38">
        <f t="shared" ref="L135:L198" si="23">PeakMagnitude+α*(Stretch-1)-β*Color-Mb</f>
        <v>38.212524999999999</v>
      </c>
      <c r="M135" s="29">
        <f t="shared" ref="M135:M198" si="24">10^((ObservedDistanceModuli-25)/5)</f>
        <v>439.04092025723889</v>
      </c>
      <c r="N135" s="29">
        <f t="shared" ref="N135:N198" si="25">(RedShift*Age*(2*InitialTangentVelocity-UniverseAcceleration*Age))/(2+RedShift)*(1+RedShift)</f>
        <v>1.3851591216714353E+25</v>
      </c>
      <c r="O135" s="35">
        <f t="shared" ref="O135:O198" si="26">N135/Mpc</f>
        <v>448.89949962673529</v>
      </c>
      <c r="P135" s="35">
        <f t="shared" ref="P135:P198" si="27">(LOG10(T2LuminousDistance)*5+25)</f>
        <v>38.260745606541917</v>
      </c>
      <c r="Q135" s="35">
        <f t="shared" ref="Q135:Q198" si="28">ObservedDistanceModuli-T2DistanceModuli</f>
        <v>-4.8220606541917732E-2</v>
      </c>
      <c r="R135" s="35">
        <f t="shared" ref="R135:R198" si="29">(ObservedDistanceModuli-T2DistanceModuli)^2/TotalError^2</f>
        <v>7.3388047445727786E-2</v>
      </c>
      <c r="S135" s="18">
        <v>378.0965228318023</v>
      </c>
      <c r="T135" s="35">
        <f t="shared" ref="T135:T198" si="30">(LOG10(ΛCDMLuminousDistance)*5+25)</f>
        <v>37.888013416938243</v>
      </c>
      <c r="U135" s="35">
        <f t="shared" ref="U135:U198" si="31">ObservedDistanceModuli-ΛCDMDistanceModuli</f>
        <v>0.32451158306175643</v>
      </c>
      <c r="V135" s="35">
        <f t="shared" ref="V135:V198" si="32">(ObservedDistanceModuli-ΛCDMDistanceModuli)^2/TotalError^2</f>
        <v>3.3236891661800039</v>
      </c>
    </row>
    <row r="136" spans="1:22" x14ac:dyDescent="0.25">
      <c r="A136" s="34" t="s">
        <v>162</v>
      </c>
      <c r="B136" s="16">
        <v>0.09</v>
      </c>
      <c r="C136" s="8">
        <v>0</v>
      </c>
      <c r="D136" s="8">
        <v>18.663</v>
      </c>
      <c r="E136" s="8">
        <v>4.4999999999999998E-2</v>
      </c>
      <c r="F136" s="8">
        <v>0.97899999999999998</v>
      </c>
      <c r="G136" s="8">
        <v>1.7000000000000001E-2</v>
      </c>
      <c r="H136" s="8">
        <v>-1.0999999999999999E-2</v>
      </c>
      <c r="I136" s="8">
        <v>2.5000000000000001E-2</v>
      </c>
      <c r="J136" s="8">
        <v>0.12</v>
      </c>
      <c r="K136" s="38">
        <f t="shared" si="22"/>
        <v>0.20699999999999999</v>
      </c>
      <c r="L136" s="38">
        <f t="shared" si="23"/>
        <v>38.034343</v>
      </c>
      <c r="M136" s="29">
        <f t="shared" si="24"/>
        <v>404.4535018606702</v>
      </c>
      <c r="N136" s="29">
        <f t="shared" si="25"/>
        <v>1.4348154350207873E+25</v>
      </c>
      <c r="O136" s="35">
        <f t="shared" si="26"/>
        <v>464.99201482378703</v>
      </c>
      <c r="P136" s="35">
        <f t="shared" si="27"/>
        <v>38.337227474689094</v>
      </c>
      <c r="Q136" s="35">
        <f t="shared" si="28"/>
        <v>-0.30288447468909396</v>
      </c>
      <c r="R136" s="35">
        <f t="shared" si="29"/>
        <v>2.140983570391104</v>
      </c>
      <c r="S136" s="18">
        <v>391.93658716091977</v>
      </c>
      <c r="T136" s="35">
        <f t="shared" si="30"/>
        <v>37.966079033139792</v>
      </c>
      <c r="U136" s="35">
        <f t="shared" si="31"/>
        <v>6.8263966860207859E-2</v>
      </c>
      <c r="V136" s="35">
        <f t="shared" si="32"/>
        <v>0.10875327712412325</v>
      </c>
    </row>
    <row r="137" spans="1:22" x14ac:dyDescent="0.25">
      <c r="A137" s="34" t="s">
        <v>163</v>
      </c>
      <c r="B137" s="16">
        <v>9.5000000000000001E-2</v>
      </c>
      <c r="C137" s="8">
        <v>0</v>
      </c>
      <c r="D137" s="8">
        <v>18.634</v>
      </c>
      <c r="E137" s="8">
        <v>4.1000000000000002E-2</v>
      </c>
      <c r="F137" s="8">
        <v>1.133</v>
      </c>
      <c r="G137" s="8">
        <v>3.2000000000000001E-2</v>
      </c>
      <c r="H137" s="8">
        <v>-9.4E-2</v>
      </c>
      <c r="I137" s="8">
        <v>2.4E-2</v>
      </c>
      <c r="J137" s="8">
        <v>0.12</v>
      </c>
      <c r="K137" s="38">
        <f t="shared" si="22"/>
        <v>0.217</v>
      </c>
      <c r="L137" s="38">
        <f t="shared" si="23"/>
        <v>38.287770999999999</v>
      </c>
      <c r="M137" s="29">
        <f t="shared" si="24"/>
        <v>454.52125797397622</v>
      </c>
      <c r="N137" s="29">
        <f t="shared" si="25"/>
        <v>1.5178435723257311E+25</v>
      </c>
      <c r="O137" s="35">
        <f t="shared" si="26"/>
        <v>491.89960161869254</v>
      </c>
      <c r="P137" s="35">
        <f t="shared" si="27"/>
        <v>38.459382354157974</v>
      </c>
      <c r="Q137" s="35">
        <f t="shared" si="28"/>
        <v>-0.17161135415797446</v>
      </c>
      <c r="R137" s="35">
        <f t="shared" si="29"/>
        <v>0.62542115729647563</v>
      </c>
      <c r="S137" s="18">
        <v>415.11806064955596</v>
      </c>
      <c r="T137" s="35">
        <f t="shared" si="30"/>
        <v>38.09085814376337</v>
      </c>
      <c r="U137" s="35">
        <f t="shared" si="31"/>
        <v>0.19691285623662935</v>
      </c>
      <c r="V137" s="35">
        <f t="shared" si="32"/>
        <v>0.82343377330730017</v>
      </c>
    </row>
    <row r="138" spans="1:22" x14ac:dyDescent="0.25">
      <c r="A138" s="34" t="s">
        <v>9</v>
      </c>
      <c r="B138" s="16">
        <v>0.104</v>
      </c>
      <c r="C138" s="8">
        <v>0</v>
      </c>
      <c r="D138" s="8">
        <v>19.184999999999999</v>
      </c>
      <c r="E138" s="8">
        <v>4.2000000000000003E-2</v>
      </c>
      <c r="F138" s="8">
        <v>1.01</v>
      </c>
      <c r="G138" s="8">
        <v>3.3000000000000002E-2</v>
      </c>
      <c r="H138" s="8">
        <v>-5.2999999999999999E-2</v>
      </c>
      <c r="I138" s="8">
        <v>2.9000000000000001E-2</v>
      </c>
      <c r="J138" s="8">
        <v>0.12</v>
      </c>
      <c r="K138" s="38">
        <f t="shared" si="22"/>
        <v>0.224</v>
      </c>
      <c r="L138" s="38">
        <f t="shared" si="23"/>
        <v>38.692360000000001</v>
      </c>
      <c r="M138" s="29">
        <f t="shared" si="24"/>
        <v>547.61079405111434</v>
      </c>
      <c r="N138" s="29">
        <f t="shared" si="25"/>
        <v>1.6681303956909156E+25</v>
      </c>
      <c r="O138" s="35">
        <f t="shared" si="26"/>
        <v>540.6042441060597</v>
      </c>
      <c r="P138" s="35">
        <f t="shared" si="27"/>
        <v>38.664397254395915</v>
      </c>
      <c r="Q138" s="35">
        <f t="shared" si="28"/>
        <v>2.7962745604085626E-2</v>
      </c>
      <c r="R138" s="35">
        <f t="shared" si="29"/>
        <v>1.5583449093566843E-2</v>
      </c>
      <c r="S138" s="18">
        <v>457.20370066586736</v>
      </c>
      <c r="T138" s="35">
        <f t="shared" si="30"/>
        <v>38.300548684865795</v>
      </c>
      <c r="U138" s="35">
        <f t="shared" si="31"/>
        <v>0.39181131513420553</v>
      </c>
      <c r="V138" s="35">
        <f t="shared" si="32"/>
        <v>3.0595525085139448</v>
      </c>
    </row>
    <row r="139" spans="1:22" x14ac:dyDescent="0.25">
      <c r="A139" s="34" t="s">
        <v>164</v>
      </c>
      <c r="B139" s="16">
        <v>0.108</v>
      </c>
      <c r="C139" s="8">
        <v>0</v>
      </c>
      <c r="D139" s="8">
        <v>19.495000000000001</v>
      </c>
      <c r="E139" s="8">
        <v>5.0999999999999997E-2</v>
      </c>
      <c r="F139" s="8">
        <v>0.94199999999999995</v>
      </c>
      <c r="G139" s="8">
        <v>1.7999999999999999E-2</v>
      </c>
      <c r="H139" s="8">
        <v>-2.9000000000000001E-2</v>
      </c>
      <c r="I139" s="8">
        <v>3.3000000000000002E-2</v>
      </c>
      <c r="J139" s="8">
        <v>0.12</v>
      </c>
      <c r="K139" s="38">
        <f t="shared" si="22"/>
        <v>0.22199999999999998</v>
      </c>
      <c r="L139" s="38">
        <f t="shared" si="23"/>
        <v>38.917243999999997</v>
      </c>
      <c r="M139" s="29">
        <f t="shared" si="24"/>
        <v>607.36365510995051</v>
      </c>
      <c r="N139" s="29">
        <f t="shared" si="25"/>
        <v>1.7352666813291458E+25</v>
      </c>
      <c r="O139" s="35">
        <f t="shared" si="26"/>
        <v>562.36163252323524</v>
      </c>
      <c r="P139" s="35">
        <f t="shared" si="27"/>
        <v>38.750078415038878</v>
      </c>
      <c r="Q139" s="35">
        <f t="shared" si="28"/>
        <v>0.16716558496111844</v>
      </c>
      <c r="R139" s="35">
        <f t="shared" si="29"/>
        <v>0.56700618446946094</v>
      </c>
      <c r="S139" s="18">
        <v>476.05557376989634</v>
      </c>
      <c r="T139" s="35">
        <f t="shared" si="30"/>
        <v>38.388288271720029</v>
      </c>
      <c r="U139" s="35">
        <f t="shared" si="31"/>
        <v>0.52895572827996773</v>
      </c>
      <c r="V139" s="35">
        <f t="shared" si="32"/>
        <v>5.6771804739913794</v>
      </c>
    </row>
    <row r="140" spans="1:22" x14ac:dyDescent="0.25">
      <c r="A140" s="34" t="s">
        <v>165</v>
      </c>
      <c r="B140" s="16">
        <v>0.11</v>
      </c>
      <c r="C140" s="8">
        <v>0</v>
      </c>
      <c r="D140" s="8">
        <v>19.515999999999998</v>
      </c>
      <c r="E140" s="8">
        <v>0.03</v>
      </c>
      <c r="F140" s="8">
        <v>0.79600000000000004</v>
      </c>
      <c r="G140" s="8">
        <v>1.9E-2</v>
      </c>
      <c r="H140" s="8">
        <v>-3.4000000000000002E-2</v>
      </c>
      <c r="I140" s="8">
        <v>2.5999999999999999E-2</v>
      </c>
      <c r="J140" s="8">
        <v>0.12</v>
      </c>
      <c r="K140" s="38">
        <f t="shared" si="22"/>
        <v>0.19500000000000001</v>
      </c>
      <c r="L140" s="38">
        <f t="shared" si="23"/>
        <v>38.932431999999999</v>
      </c>
      <c r="M140" s="29">
        <f t="shared" si="24"/>
        <v>611.62664947005123</v>
      </c>
      <c r="N140" s="29">
        <f t="shared" si="25"/>
        <v>1.7689132186786849E+25</v>
      </c>
      <c r="O140" s="35">
        <f t="shared" si="26"/>
        <v>573.26573266889568</v>
      </c>
      <c r="P140" s="35">
        <f t="shared" si="27"/>
        <v>38.791779911580569</v>
      </c>
      <c r="Q140" s="35">
        <f t="shared" si="28"/>
        <v>0.14065208841942933</v>
      </c>
      <c r="R140" s="35">
        <f t="shared" si="29"/>
        <v>0.52026324725172823</v>
      </c>
      <c r="S140" s="18">
        <v>485.51527303790886</v>
      </c>
      <c r="T140" s="35">
        <f t="shared" si="30"/>
        <v>38.431014481124919</v>
      </c>
      <c r="U140" s="35">
        <f t="shared" si="31"/>
        <v>0.50141751887507979</v>
      </c>
      <c r="V140" s="35">
        <f t="shared" si="32"/>
        <v>6.6119534052555151</v>
      </c>
    </row>
    <row r="141" spans="1:22" x14ac:dyDescent="0.25">
      <c r="A141" s="34" t="s">
        <v>166</v>
      </c>
      <c r="B141" s="16">
        <v>0.11600000000000001</v>
      </c>
      <c r="C141" s="8">
        <v>0</v>
      </c>
      <c r="D141" s="8">
        <v>19.391999999999999</v>
      </c>
      <c r="E141" s="8">
        <v>3.3000000000000002E-2</v>
      </c>
      <c r="F141" s="8">
        <v>0.99199999999999999</v>
      </c>
      <c r="G141" s="8">
        <v>2.1000000000000001E-2</v>
      </c>
      <c r="H141" s="8">
        <v>-5.8999999999999997E-2</v>
      </c>
      <c r="I141" s="8">
        <v>2.5000000000000001E-2</v>
      </c>
      <c r="J141" s="8">
        <v>0.12</v>
      </c>
      <c r="K141" s="38">
        <f t="shared" si="22"/>
        <v>0.19900000000000001</v>
      </c>
      <c r="L141" s="38">
        <f t="shared" si="23"/>
        <v>38.915493999999995</v>
      </c>
      <c r="M141" s="29">
        <f t="shared" si="24"/>
        <v>606.87437501861473</v>
      </c>
      <c r="N141" s="29">
        <f t="shared" si="25"/>
        <v>1.8701646305231663E+25</v>
      </c>
      <c r="O141" s="35">
        <f t="shared" si="26"/>
        <v>606.07908053801475</v>
      </c>
      <c r="P141" s="35">
        <f t="shared" si="27"/>
        <v>38.912646470671277</v>
      </c>
      <c r="Q141" s="35">
        <f t="shared" si="28"/>
        <v>2.8475293287186787E-3</v>
      </c>
      <c r="R141" s="35">
        <f t="shared" si="29"/>
        <v>2.0475299305353523E-4</v>
      </c>
      <c r="S141" s="18">
        <v>514.02880375063944</v>
      </c>
      <c r="T141" s="35">
        <f t="shared" si="30"/>
        <v>38.554937277461519</v>
      </c>
      <c r="U141" s="35">
        <f t="shared" si="31"/>
        <v>0.36055672253847604</v>
      </c>
      <c r="V141" s="35">
        <f t="shared" si="32"/>
        <v>3.2827744291226884</v>
      </c>
    </row>
    <row r="142" spans="1:22" x14ac:dyDescent="0.25">
      <c r="A142" s="34" t="s">
        <v>167</v>
      </c>
      <c r="B142" s="16">
        <v>0.11700000000000001</v>
      </c>
      <c r="C142" s="8">
        <v>0</v>
      </c>
      <c r="D142" s="8">
        <v>19.459</v>
      </c>
      <c r="E142" s="8">
        <v>3.1E-2</v>
      </c>
      <c r="F142" s="8">
        <v>1.1100000000000001</v>
      </c>
      <c r="G142" s="8">
        <v>1.6E-2</v>
      </c>
      <c r="H142" s="8">
        <v>2E-3</v>
      </c>
      <c r="I142" s="8">
        <v>2.1000000000000001E-2</v>
      </c>
      <c r="J142" s="8">
        <v>0.12</v>
      </c>
      <c r="K142" s="38">
        <f t="shared" si="22"/>
        <v>0.188</v>
      </c>
      <c r="L142" s="38">
        <f t="shared" si="23"/>
        <v>38.808909999999997</v>
      </c>
      <c r="M142" s="29">
        <f t="shared" si="24"/>
        <v>577.8059370798594</v>
      </c>
      <c r="N142" s="29">
        <f t="shared" si="25"/>
        <v>1.8870851433241613E+25</v>
      </c>
      <c r="O142" s="35">
        <f t="shared" si="26"/>
        <v>611.5626452858894</v>
      </c>
      <c r="P142" s="35">
        <f t="shared" si="27"/>
        <v>38.932204752556416</v>
      </c>
      <c r="Q142" s="35">
        <f t="shared" si="28"/>
        <v>-0.12329475255641853</v>
      </c>
      <c r="R142" s="35">
        <f t="shared" si="29"/>
        <v>0.43010400656259828</v>
      </c>
      <c r="S142" s="18">
        <v>518.80059619730889</v>
      </c>
      <c r="T142" s="35">
        <f t="shared" si="30"/>
        <v>38.575002332482846</v>
      </c>
      <c r="U142" s="35">
        <f t="shared" si="31"/>
        <v>0.2339076675171512</v>
      </c>
      <c r="V142" s="35">
        <f t="shared" si="32"/>
        <v>1.5480080614337413</v>
      </c>
    </row>
    <row r="143" spans="1:22" x14ac:dyDescent="0.25">
      <c r="A143" s="34" t="s">
        <v>168</v>
      </c>
      <c r="B143" s="16">
        <v>0.11799999999999999</v>
      </c>
      <c r="C143" s="8">
        <v>0</v>
      </c>
      <c r="D143" s="8">
        <v>19.812999999999999</v>
      </c>
      <c r="E143" s="8">
        <v>3.3000000000000002E-2</v>
      </c>
      <c r="F143" s="8">
        <v>0.99299999999999999</v>
      </c>
      <c r="G143" s="8">
        <v>1.7000000000000001E-2</v>
      </c>
      <c r="H143" s="8">
        <v>8.5999999999999993E-2</v>
      </c>
      <c r="I143" s="8">
        <v>2.3E-2</v>
      </c>
      <c r="J143" s="8">
        <v>0.12</v>
      </c>
      <c r="K143" s="38">
        <f t="shared" si="22"/>
        <v>0.193</v>
      </c>
      <c r="L143" s="38">
        <f t="shared" si="23"/>
        <v>38.882790999999997</v>
      </c>
      <c r="M143" s="29">
        <f t="shared" si="24"/>
        <v>597.80315119176896</v>
      </c>
      <c r="N143" s="29">
        <f t="shared" si="25"/>
        <v>1.9040185436890917E+25</v>
      </c>
      <c r="O143" s="35">
        <f t="shared" si="26"/>
        <v>617.05038660879529</v>
      </c>
      <c r="P143" s="35">
        <f t="shared" si="27"/>
        <v>38.951603143769937</v>
      </c>
      <c r="Q143" s="35">
        <f t="shared" si="28"/>
        <v>-6.8812143769939382E-2</v>
      </c>
      <c r="R143" s="35">
        <f t="shared" si="29"/>
        <v>0.12712048995180558</v>
      </c>
      <c r="S143" s="18">
        <v>523.57795362542549</v>
      </c>
      <c r="T143" s="35">
        <f t="shared" si="30"/>
        <v>38.594906756807639</v>
      </c>
      <c r="U143" s="35">
        <f t="shared" si="31"/>
        <v>0.28788424319235872</v>
      </c>
      <c r="V143" s="35">
        <f t="shared" si="32"/>
        <v>2.2249546961914985</v>
      </c>
    </row>
    <row r="144" spans="1:22" x14ac:dyDescent="0.25">
      <c r="A144" s="34" t="s">
        <v>169</v>
      </c>
      <c r="B144" s="16">
        <v>0.11899999999999999</v>
      </c>
      <c r="C144" s="8">
        <v>0</v>
      </c>
      <c r="D144" s="8">
        <v>19.073</v>
      </c>
      <c r="E144" s="8">
        <v>2.8000000000000001E-2</v>
      </c>
      <c r="F144" s="8">
        <v>1.0720000000000001</v>
      </c>
      <c r="G144" s="8">
        <v>1.7000000000000001E-2</v>
      </c>
      <c r="H144" s="8">
        <v>-7.5999999999999998E-2</v>
      </c>
      <c r="I144" s="8">
        <v>2.1999999999999999E-2</v>
      </c>
      <c r="J144" s="8">
        <v>0.12</v>
      </c>
      <c r="K144" s="38">
        <f t="shared" si="22"/>
        <v>0.187</v>
      </c>
      <c r="L144" s="38">
        <f t="shared" si="23"/>
        <v>38.661464000000002</v>
      </c>
      <c r="M144" s="29">
        <f t="shared" si="24"/>
        <v>539.87448155510049</v>
      </c>
      <c r="N144" s="29">
        <f t="shared" si="25"/>
        <v>1.9209648133722334E+25</v>
      </c>
      <c r="O144" s="35">
        <f t="shared" si="26"/>
        <v>622.54229859369605</v>
      </c>
      <c r="P144" s="35">
        <f t="shared" si="27"/>
        <v>38.970844324395053</v>
      </c>
      <c r="Q144" s="35">
        <f t="shared" si="28"/>
        <v>-0.30938032439505037</v>
      </c>
      <c r="R144" s="35">
        <f t="shared" si="29"/>
        <v>2.7371724991502928</v>
      </c>
      <c r="S144" s="18">
        <v>528.3608696258741</v>
      </c>
      <c r="T144" s="35">
        <f t="shared" si="30"/>
        <v>38.61465323155165</v>
      </c>
      <c r="U144" s="35">
        <f t="shared" si="31"/>
        <v>4.6810768448352746E-2</v>
      </c>
      <c r="V144" s="35">
        <f t="shared" si="32"/>
        <v>6.2662588084454712E-2</v>
      </c>
    </row>
    <row r="145" spans="1:22" x14ac:dyDescent="0.25">
      <c r="A145" s="34" t="s">
        <v>170</v>
      </c>
      <c r="B145" s="16">
        <v>0.121</v>
      </c>
      <c r="C145" s="8">
        <v>0</v>
      </c>
      <c r="D145" s="8">
        <v>19.654</v>
      </c>
      <c r="E145" s="8">
        <v>2.5999999999999999E-2</v>
      </c>
      <c r="F145" s="8">
        <v>1.02</v>
      </c>
      <c r="G145" s="8">
        <v>1.4999999999999999E-2</v>
      </c>
      <c r="H145" s="8">
        <v>3.3000000000000002E-2</v>
      </c>
      <c r="I145" s="8">
        <v>2.1000000000000001E-2</v>
      </c>
      <c r="J145" s="8">
        <v>0.12</v>
      </c>
      <c r="K145" s="38">
        <f t="shared" si="22"/>
        <v>0.182</v>
      </c>
      <c r="L145" s="38">
        <f t="shared" si="23"/>
        <v>38.893649999999994</v>
      </c>
      <c r="M145" s="29">
        <f t="shared" si="24"/>
        <v>600.80010514326375</v>
      </c>
      <c r="N145" s="29">
        <f t="shared" si="25"/>
        <v>1.9548958878822954E+25</v>
      </c>
      <c r="O145" s="35">
        <f t="shared" si="26"/>
        <v>633.53861095309105</v>
      </c>
      <c r="P145" s="35">
        <f t="shared" si="27"/>
        <v>39.008865440318928</v>
      </c>
      <c r="Q145" s="35">
        <f t="shared" si="28"/>
        <v>-0.11521544031893427</v>
      </c>
      <c r="R145" s="35">
        <f t="shared" si="29"/>
        <v>0.40075466996395076</v>
      </c>
      <c r="S145" s="18">
        <v>537.9433517252387</v>
      </c>
      <c r="T145" s="35">
        <f t="shared" si="30"/>
        <v>38.653682722863039</v>
      </c>
      <c r="U145" s="35">
        <f t="shared" si="31"/>
        <v>0.2399672771369552</v>
      </c>
      <c r="V145" s="35">
        <f t="shared" si="32"/>
        <v>1.738446265442708</v>
      </c>
    </row>
    <row r="146" spans="1:22" x14ac:dyDescent="0.25">
      <c r="A146" s="34" t="s">
        <v>171</v>
      </c>
      <c r="B146" s="16">
        <v>0.124</v>
      </c>
      <c r="C146" s="8">
        <v>0</v>
      </c>
      <c r="D146" s="8">
        <v>19.937000000000001</v>
      </c>
      <c r="E146" s="8">
        <v>6.2E-2</v>
      </c>
      <c r="F146" s="8">
        <v>0.875</v>
      </c>
      <c r="G146" s="8">
        <v>2.8000000000000001E-2</v>
      </c>
      <c r="H146" s="8">
        <v>6.6000000000000003E-2</v>
      </c>
      <c r="I146" s="8">
        <v>3.7999999999999999E-2</v>
      </c>
      <c r="J146" s="8">
        <v>0.12</v>
      </c>
      <c r="K146" s="38">
        <f t="shared" si="22"/>
        <v>0.248</v>
      </c>
      <c r="L146" s="38">
        <f t="shared" si="23"/>
        <v>39.052045000000007</v>
      </c>
      <c r="M146" s="29">
        <f t="shared" si="24"/>
        <v>646.26256502755678</v>
      </c>
      <c r="N146" s="29">
        <f t="shared" si="25"/>
        <v>2.0058885653659917E+25</v>
      </c>
      <c r="O146" s="35">
        <f t="shared" si="26"/>
        <v>650.06421227132614</v>
      </c>
      <c r="P146" s="35">
        <f t="shared" si="27"/>
        <v>39.064781288273849</v>
      </c>
      <c r="Q146" s="35">
        <f t="shared" si="28"/>
        <v>-1.2736288273842433E-2</v>
      </c>
      <c r="R146" s="35">
        <f t="shared" si="29"/>
        <v>2.6374388494149366E-3</v>
      </c>
      <c r="S146" s="18">
        <v>552.35860414591502</v>
      </c>
      <c r="T146" s="35">
        <f t="shared" si="30"/>
        <v>38.711105617231595</v>
      </c>
      <c r="U146" s="35">
        <f t="shared" si="31"/>
        <v>0.34093938276841129</v>
      </c>
      <c r="V146" s="35">
        <f t="shared" si="32"/>
        <v>1.8899528928607128</v>
      </c>
    </row>
    <row r="147" spans="1:22" x14ac:dyDescent="0.25">
      <c r="A147" s="34" t="s">
        <v>172</v>
      </c>
      <c r="B147" s="16">
        <v>0.124</v>
      </c>
      <c r="C147" s="8">
        <v>0</v>
      </c>
      <c r="D147" s="8">
        <v>19.771999999999998</v>
      </c>
      <c r="E147" s="8">
        <v>2.3E-2</v>
      </c>
      <c r="F147" s="8">
        <v>0.96399999999999997</v>
      </c>
      <c r="G147" s="8">
        <v>1.7999999999999999E-2</v>
      </c>
      <c r="H147" s="8">
        <v>-4.0000000000000001E-3</v>
      </c>
      <c r="I147" s="8">
        <v>0.02</v>
      </c>
      <c r="J147" s="8">
        <v>0.12</v>
      </c>
      <c r="K147" s="38">
        <f t="shared" si="22"/>
        <v>0.18099999999999999</v>
      </c>
      <c r="L147" s="38">
        <f t="shared" si="23"/>
        <v>39.119227999999993</v>
      </c>
      <c r="M147" s="29">
        <f t="shared" si="24"/>
        <v>666.56974878072469</v>
      </c>
      <c r="N147" s="29">
        <f t="shared" si="25"/>
        <v>2.0058885653659917E+25</v>
      </c>
      <c r="O147" s="35">
        <f t="shared" si="26"/>
        <v>650.06421227132614</v>
      </c>
      <c r="P147" s="35">
        <f t="shared" si="27"/>
        <v>39.064781288273849</v>
      </c>
      <c r="Q147" s="35">
        <f t="shared" si="28"/>
        <v>5.4446711726143349E-2</v>
      </c>
      <c r="R147" s="35">
        <f t="shared" si="29"/>
        <v>9.0486994224527814E-2</v>
      </c>
      <c r="S147" s="18">
        <v>552.35860414591502</v>
      </c>
      <c r="T147" s="35">
        <f t="shared" si="30"/>
        <v>38.711105617231595</v>
      </c>
      <c r="U147" s="35">
        <f t="shared" si="31"/>
        <v>0.40812238276839707</v>
      </c>
      <c r="V147" s="35">
        <f t="shared" si="32"/>
        <v>5.0842123047695127</v>
      </c>
    </row>
    <row r="148" spans="1:22" x14ac:dyDescent="0.25">
      <c r="A148" s="34" t="s">
        <v>173</v>
      </c>
      <c r="B148" s="16">
        <v>0.125</v>
      </c>
      <c r="C148" s="8">
        <v>0</v>
      </c>
      <c r="D148" s="8">
        <v>19.616</v>
      </c>
      <c r="E148" s="8">
        <v>3.1E-2</v>
      </c>
      <c r="F148" s="8">
        <v>1</v>
      </c>
      <c r="G148" s="8">
        <v>1.6E-2</v>
      </c>
      <c r="H148" s="8">
        <v>2.5999999999999999E-2</v>
      </c>
      <c r="I148" s="8">
        <v>2.1000000000000001E-2</v>
      </c>
      <c r="J148" s="8">
        <v>0.12</v>
      </c>
      <c r="K148" s="38">
        <f t="shared" si="22"/>
        <v>0.188</v>
      </c>
      <c r="L148" s="38">
        <f t="shared" si="23"/>
        <v>38.87462</v>
      </c>
      <c r="M148" s="29">
        <f t="shared" si="24"/>
        <v>595.55791387850343</v>
      </c>
      <c r="N148" s="29">
        <f t="shared" si="25"/>
        <v>2.0229116697203486E+25</v>
      </c>
      <c r="O148" s="35">
        <f t="shared" si="26"/>
        <v>655.5810246773575</v>
      </c>
      <c r="P148" s="35">
        <f t="shared" si="27"/>
        <v>39.083131873690157</v>
      </c>
      <c r="Q148" s="35">
        <f t="shared" si="28"/>
        <v>-0.20851187369015634</v>
      </c>
      <c r="R148" s="35">
        <f t="shared" si="29"/>
        <v>1.2301154784342381</v>
      </c>
      <c r="S148" s="18">
        <v>557.17473719089662</v>
      </c>
      <c r="T148" s="35">
        <f t="shared" si="30"/>
        <v>38.729957084458519</v>
      </c>
      <c r="U148" s="35">
        <f t="shared" si="31"/>
        <v>0.14466291554148114</v>
      </c>
      <c r="V148" s="35">
        <f t="shared" si="32"/>
        <v>0.59210500036673008</v>
      </c>
    </row>
    <row r="149" spans="1:22" x14ac:dyDescent="0.25">
      <c r="A149" s="34" t="s">
        <v>174</v>
      </c>
      <c r="B149" s="16">
        <v>0.127</v>
      </c>
      <c r="C149" s="8">
        <v>0</v>
      </c>
      <c r="D149" s="8">
        <v>20.033999999999999</v>
      </c>
      <c r="E149" s="8">
        <v>4.5999999999999999E-2</v>
      </c>
      <c r="F149" s="8">
        <v>0.88900000000000001</v>
      </c>
      <c r="G149" s="8">
        <v>1.7000000000000001E-2</v>
      </c>
      <c r="H149" s="8">
        <v>0.127</v>
      </c>
      <c r="I149" s="8">
        <v>2.7E-2</v>
      </c>
      <c r="J149" s="8">
        <v>0.12</v>
      </c>
      <c r="K149" s="38">
        <f t="shared" si="22"/>
        <v>0.21</v>
      </c>
      <c r="L149" s="38">
        <f t="shared" si="23"/>
        <v>38.960172999999998</v>
      </c>
      <c r="M149" s="29">
        <f t="shared" si="24"/>
        <v>619.49042756887491</v>
      </c>
      <c r="N149" s="29">
        <f t="shared" si="25"/>
        <v>2.0569960881290773E+25</v>
      </c>
      <c r="O149" s="35">
        <f t="shared" si="26"/>
        <v>666.62703240987264</v>
      </c>
      <c r="P149" s="35">
        <f t="shared" si="27"/>
        <v>39.119414603841292</v>
      </c>
      <c r="Q149" s="35">
        <f t="shared" si="28"/>
        <v>-0.15924160384129493</v>
      </c>
      <c r="R149" s="35">
        <f t="shared" si="29"/>
        <v>0.57500880711900049</v>
      </c>
      <c r="S149" s="18">
        <v>566.82353833065554</v>
      </c>
      <c r="T149" s="35">
        <f t="shared" si="30"/>
        <v>38.767239383907977</v>
      </c>
      <c r="U149" s="35">
        <f t="shared" si="31"/>
        <v>0.19293361609202009</v>
      </c>
      <c r="V149" s="35">
        <f t="shared" si="32"/>
        <v>0.84406757864723347</v>
      </c>
    </row>
    <row r="150" spans="1:22" x14ac:dyDescent="0.25">
      <c r="A150" s="34" t="s">
        <v>175</v>
      </c>
      <c r="B150" s="16">
        <v>0.128</v>
      </c>
      <c r="C150" s="8">
        <v>0</v>
      </c>
      <c r="D150" s="8">
        <v>19.792999999999999</v>
      </c>
      <c r="E150" s="8">
        <v>5.2999999999999999E-2</v>
      </c>
      <c r="F150" s="8">
        <v>1.149</v>
      </c>
      <c r="G150" s="8">
        <v>4.5999999999999999E-2</v>
      </c>
      <c r="H150" s="8">
        <v>0.08</v>
      </c>
      <c r="I150" s="8">
        <v>3.1E-2</v>
      </c>
      <c r="J150" s="8">
        <v>0.12</v>
      </c>
      <c r="K150" s="38">
        <f t="shared" si="22"/>
        <v>0.25</v>
      </c>
      <c r="L150" s="38">
        <f t="shared" si="23"/>
        <v>38.904502999999998</v>
      </c>
      <c r="M150" s="29">
        <f t="shared" si="24"/>
        <v>603.81041526876822</v>
      </c>
      <c r="N150" s="29">
        <f t="shared" si="25"/>
        <v>2.0740573662720752E+25</v>
      </c>
      <c r="O150" s="35">
        <f t="shared" si="26"/>
        <v>672.15621609827281</v>
      </c>
      <c r="P150" s="35">
        <f t="shared" si="27"/>
        <v>39.13735109670553</v>
      </c>
      <c r="Q150" s="35">
        <f t="shared" si="28"/>
        <v>-0.2328480967055313</v>
      </c>
      <c r="R150" s="35">
        <f t="shared" si="29"/>
        <v>0.86749177823021528</v>
      </c>
      <c r="S150" s="18">
        <v>571.65619366932435</v>
      </c>
      <c r="T150" s="35">
        <f t="shared" si="30"/>
        <v>38.785674566313546</v>
      </c>
      <c r="U150" s="35">
        <f t="shared" si="31"/>
        <v>0.11882843368645268</v>
      </c>
      <c r="V150" s="35">
        <f t="shared" si="32"/>
        <v>0.22592314643801092</v>
      </c>
    </row>
    <row r="151" spans="1:22" x14ac:dyDescent="0.25">
      <c r="A151" s="34" t="s">
        <v>176</v>
      </c>
      <c r="B151" s="16">
        <v>0.13</v>
      </c>
      <c r="C151" s="8">
        <v>0</v>
      </c>
      <c r="D151" s="8">
        <v>20.135999999999999</v>
      </c>
      <c r="E151" s="8">
        <v>2.5000000000000001E-2</v>
      </c>
      <c r="F151" s="8">
        <v>1.0680000000000001</v>
      </c>
      <c r="G151" s="8">
        <v>1.4E-2</v>
      </c>
      <c r="H151" s="8">
        <v>0.191</v>
      </c>
      <c r="I151" s="8">
        <v>0.02</v>
      </c>
      <c r="J151" s="8">
        <v>0.12</v>
      </c>
      <c r="K151" s="38">
        <f t="shared" si="22"/>
        <v>0.17899999999999999</v>
      </c>
      <c r="L151" s="38">
        <f t="shared" si="23"/>
        <v>38.888165999999998</v>
      </c>
      <c r="M151" s="29">
        <f t="shared" si="24"/>
        <v>599.28471364682048</v>
      </c>
      <c r="N151" s="29">
        <f t="shared" si="25"/>
        <v>2.108217970909808E+25</v>
      </c>
      <c r="O151" s="35">
        <f t="shared" si="26"/>
        <v>683.22691410610958</v>
      </c>
      <c r="P151" s="35">
        <f t="shared" si="27"/>
        <v>39.172824830102215</v>
      </c>
      <c r="Q151" s="35">
        <f t="shared" si="28"/>
        <v>-0.2846588301022166</v>
      </c>
      <c r="R151" s="35">
        <f t="shared" si="29"/>
        <v>2.5289675589139735</v>
      </c>
      <c r="S151" s="18">
        <v>581.33798202208641</v>
      </c>
      <c r="T151" s="35">
        <f t="shared" si="30"/>
        <v>38.822143493706115</v>
      </c>
      <c r="U151" s="35">
        <f t="shared" si="31"/>
        <v>6.6022506293883509E-2</v>
      </c>
      <c r="V151" s="35">
        <f t="shared" si="32"/>
        <v>0.13604354849492487</v>
      </c>
    </row>
    <row r="152" spans="1:22" x14ac:dyDescent="0.25">
      <c r="A152" s="34" t="s">
        <v>177</v>
      </c>
      <c r="B152" s="16">
        <v>0.13</v>
      </c>
      <c r="C152" s="8">
        <v>0</v>
      </c>
      <c r="D152" s="8">
        <v>20.326000000000001</v>
      </c>
      <c r="E152" s="8">
        <v>4.3999999999999997E-2</v>
      </c>
      <c r="F152" s="8">
        <v>0.71699999999999997</v>
      </c>
      <c r="G152" s="8">
        <v>0.02</v>
      </c>
      <c r="H152" s="8">
        <v>8.7999999999999995E-2</v>
      </c>
      <c r="I152" s="8">
        <v>3.5000000000000003E-2</v>
      </c>
      <c r="J152" s="8">
        <v>0.12</v>
      </c>
      <c r="K152" s="38">
        <f t="shared" si="22"/>
        <v>0.219</v>
      </c>
      <c r="L152" s="38">
        <f t="shared" si="23"/>
        <v>39.348959000000001</v>
      </c>
      <c r="M152" s="29">
        <f t="shared" si="24"/>
        <v>740.9549436647992</v>
      </c>
      <c r="N152" s="29">
        <f t="shared" si="25"/>
        <v>2.108217970909808E+25</v>
      </c>
      <c r="O152" s="35">
        <f t="shared" si="26"/>
        <v>683.22691410610958</v>
      </c>
      <c r="P152" s="35">
        <f t="shared" si="27"/>
        <v>39.172824830102215</v>
      </c>
      <c r="Q152" s="35">
        <f t="shared" si="28"/>
        <v>0.17613416989778585</v>
      </c>
      <c r="R152" s="35">
        <f t="shared" si="29"/>
        <v>0.64684318103421723</v>
      </c>
      <c r="S152" s="18">
        <v>581.33798202208641</v>
      </c>
      <c r="T152" s="35">
        <f t="shared" si="30"/>
        <v>38.822143493706115</v>
      </c>
      <c r="U152" s="35">
        <f t="shared" si="31"/>
        <v>0.52681550629388596</v>
      </c>
      <c r="V152" s="35">
        <f t="shared" si="32"/>
        <v>5.786672039191914</v>
      </c>
    </row>
    <row r="153" spans="1:22" x14ac:dyDescent="0.25">
      <c r="A153" s="34" t="s">
        <v>178</v>
      </c>
      <c r="B153" s="16">
        <v>0.14299999999999999</v>
      </c>
      <c r="C153" s="8">
        <v>0</v>
      </c>
      <c r="D153" s="8">
        <v>19.829999999999998</v>
      </c>
      <c r="E153" s="8">
        <v>4.3999999999999997E-2</v>
      </c>
      <c r="F153" s="8">
        <v>1.0920000000000001</v>
      </c>
      <c r="G153" s="8">
        <v>1.4999999999999999E-2</v>
      </c>
      <c r="H153" s="8">
        <v>-1.4999999999999999E-2</v>
      </c>
      <c r="I153" s="8">
        <v>2.3E-2</v>
      </c>
      <c r="J153" s="8">
        <v>0.12</v>
      </c>
      <c r="K153" s="38">
        <f t="shared" si="22"/>
        <v>0.20199999999999999</v>
      </c>
      <c r="L153" s="38">
        <f t="shared" si="23"/>
        <v>39.230474000000001</v>
      </c>
      <c r="M153" s="29">
        <f t="shared" si="24"/>
        <v>701.60843234947345</v>
      </c>
      <c r="N153" s="29">
        <f t="shared" si="25"/>
        <v>2.3314892400352831E+25</v>
      </c>
      <c r="O153" s="35">
        <f t="shared" si="26"/>
        <v>755.58420463206119</v>
      </c>
      <c r="P153" s="35">
        <f t="shared" si="27"/>
        <v>39.391414352437195</v>
      </c>
      <c r="Q153" s="35">
        <f t="shared" si="28"/>
        <v>-0.16094035243719418</v>
      </c>
      <c r="R153" s="35">
        <f t="shared" si="29"/>
        <v>0.63478573283521911</v>
      </c>
      <c r="S153" s="18">
        <v>644.80182603853564</v>
      </c>
      <c r="T153" s="35">
        <f t="shared" si="30"/>
        <v>39.04713129346824</v>
      </c>
      <c r="U153" s="35">
        <f t="shared" si="31"/>
        <v>0.18334270653176077</v>
      </c>
      <c r="V153" s="35">
        <f t="shared" si="32"/>
        <v>0.82380521611585533</v>
      </c>
    </row>
    <row r="154" spans="1:22" x14ac:dyDescent="0.25">
      <c r="A154" s="34" t="s">
        <v>179</v>
      </c>
      <c r="B154" s="16">
        <v>0.14299999999999999</v>
      </c>
      <c r="C154" s="8">
        <v>0</v>
      </c>
      <c r="D154" s="8">
        <v>20.058</v>
      </c>
      <c r="E154" s="8">
        <v>4.4999999999999998E-2</v>
      </c>
      <c r="F154" s="8">
        <v>1.1359999999999999</v>
      </c>
      <c r="G154" s="8">
        <v>5.1999999999999998E-2</v>
      </c>
      <c r="H154" s="8">
        <v>1.7999999999999999E-2</v>
      </c>
      <c r="I154" s="8">
        <v>2.7E-2</v>
      </c>
      <c r="J154" s="8">
        <v>0.12</v>
      </c>
      <c r="K154" s="38">
        <f t="shared" si="22"/>
        <v>0.24399999999999999</v>
      </c>
      <c r="L154" s="38">
        <f t="shared" si="23"/>
        <v>39.361651999999999</v>
      </c>
      <c r="M154" s="29">
        <f t="shared" si="24"/>
        <v>745.29876228577268</v>
      </c>
      <c r="N154" s="29">
        <f t="shared" si="25"/>
        <v>2.3314892400352831E+25</v>
      </c>
      <c r="O154" s="35">
        <f t="shared" si="26"/>
        <v>755.58420463206119</v>
      </c>
      <c r="P154" s="35">
        <f t="shared" si="27"/>
        <v>39.391414352437195</v>
      </c>
      <c r="Q154" s="35">
        <f t="shared" si="28"/>
        <v>-2.9762352437195716E-2</v>
      </c>
      <c r="R154" s="35">
        <f t="shared" si="29"/>
        <v>1.4878352972921423E-2</v>
      </c>
      <c r="S154" s="18">
        <v>644.80182603853564</v>
      </c>
      <c r="T154" s="35">
        <f t="shared" si="30"/>
        <v>39.04713129346824</v>
      </c>
      <c r="U154" s="35">
        <f t="shared" si="31"/>
        <v>0.31452070653175923</v>
      </c>
      <c r="V154" s="35">
        <f t="shared" si="32"/>
        <v>1.6615707275805733</v>
      </c>
    </row>
    <row r="155" spans="1:22" x14ac:dyDescent="0.25">
      <c r="A155" s="34" t="s">
        <v>180</v>
      </c>
      <c r="B155" s="16">
        <v>0.14499999999999999</v>
      </c>
      <c r="C155" s="8">
        <v>0</v>
      </c>
      <c r="D155" s="8">
        <v>19.960999999999999</v>
      </c>
      <c r="E155" s="8">
        <v>5.3999999999999999E-2</v>
      </c>
      <c r="F155" s="8">
        <v>1.1040000000000001</v>
      </c>
      <c r="G155" s="8">
        <v>2.7E-2</v>
      </c>
      <c r="H155" s="8">
        <v>7.0000000000000001E-3</v>
      </c>
      <c r="I155" s="8">
        <v>0.03</v>
      </c>
      <c r="J155" s="8">
        <v>0.12</v>
      </c>
      <c r="K155" s="38">
        <f t="shared" si="22"/>
        <v>0.23099999999999998</v>
      </c>
      <c r="L155" s="38">
        <f t="shared" si="23"/>
        <v>39.294378000000002</v>
      </c>
      <c r="M155" s="29">
        <f t="shared" si="24"/>
        <v>722.56280192198608</v>
      </c>
      <c r="N155" s="29">
        <f t="shared" si="25"/>
        <v>2.3660259909496838E+25</v>
      </c>
      <c r="O155" s="35">
        <f t="shared" si="26"/>
        <v>766.77680334627962</v>
      </c>
      <c r="P155" s="35">
        <f t="shared" si="27"/>
        <v>39.423344830295314</v>
      </c>
      <c r="Q155" s="35">
        <f t="shared" si="28"/>
        <v>-0.12896683029531175</v>
      </c>
      <c r="R155" s="35">
        <f t="shared" si="29"/>
        <v>0.31169661956147271</v>
      </c>
      <c r="S155" s="18">
        <v>654.64683559871992</v>
      </c>
      <c r="T155" s="35">
        <f t="shared" si="30"/>
        <v>39.080035364731998</v>
      </c>
      <c r="U155" s="35">
        <f t="shared" si="31"/>
        <v>0.21434263526800379</v>
      </c>
      <c r="V155" s="35">
        <f t="shared" si="32"/>
        <v>0.86098021576867956</v>
      </c>
    </row>
    <row r="156" spans="1:22" x14ac:dyDescent="0.25">
      <c r="A156" s="34" t="s">
        <v>181</v>
      </c>
      <c r="B156" s="16">
        <v>0.14599999999999999</v>
      </c>
      <c r="C156" s="8">
        <v>0</v>
      </c>
      <c r="D156" s="8">
        <v>20.376999999999999</v>
      </c>
      <c r="E156" s="8">
        <v>0.03</v>
      </c>
      <c r="F156" s="8">
        <v>0.96299999999999997</v>
      </c>
      <c r="G156" s="8">
        <v>1.6E-2</v>
      </c>
      <c r="H156" s="8">
        <v>5.5E-2</v>
      </c>
      <c r="I156" s="8">
        <v>2.5000000000000001E-2</v>
      </c>
      <c r="J156" s="8">
        <v>0.12</v>
      </c>
      <c r="K156" s="38">
        <f t="shared" si="22"/>
        <v>0.191</v>
      </c>
      <c r="L156" s="38">
        <f t="shared" si="23"/>
        <v>39.539411000000001</v>
      </c>
      <c r="M156" s="29">
        <f t="shared" si="24"/>
        <v>808.87646610773231</v>
      </c>
      <c r="N156" s="29">
        <f t="shared" si="25"/>
        <v>2.3833129592319798E+25</v>
      </c>
      <c r="O156" s="35">
        <f t="shared" si="26"/>
        <v>772.37912822764201</v>
      </c>
      <c r="P156" s="35">
        <f t="shared" si="27"/>
        <v>39.439152647274</v>
      </c>
      <c r="Q156" s="35">
        <f t="shared" si="28"/>
        <v>0.10025835272600148</v>
      </c>
      <c r="R156" s="35">
        <f t="shared" si="29"/>
        <v>0.275533491168864</v>
      </c>
      <c r="S156" s="18">
        <v>659.57742394444392</v>
      </c>
      <c r="T156" s="35">
        <f t="shared" si="30"/>
        <v>39.096328910846744</v>
      </c>
      <c r="U156" s="35">
        <f t="shared" si="31"/>
        <v>0.44308208915325764</v>
      </c>
      <c r="V156" s="35">
        <f t="shared" si="32"/>
        <v>5.3814790638528374</v>
      </c>
    </row>
    <row r="157" spans="1:22" x14ac:dyDescent="0.25">
      <c r="A157" s="34" t="s">
        <v>12</v>
      </c>
      <c r="B157" s="16">
        <v>0.14699999999999999</v>
      </c>
      <c r="C157" s="8">
        <v>0</v>
      </c>
      <c r="D157" s="8">
        <v>20.309000000000001</v>
      </c>
      <c r="E157" s="8">
        <v>0.03</v>
      </c>
      <c r="F157" s="8">
        <v>0.86199999999999999</v>
      </c>
      <c r="G157" s="8">
        <v>6.5000000000000002E-2</v>
      </c>
      <c r="H157" s="8">
        <v>0.11</v>
      </c>
      <c r="I157" s="8">
        <v>2.8000000000000001E-2</v>
      </c>
      <c r="J157" s="8">
        <v>0.12</v>
      </c>
      <c r="K157" s="38">
        <f t="shared" si="22"/>
        <v>0.24299999999999999</v>
      </c>
      <c r="L157" s="38">
        <f t="shared" si="23"/>
        <v>39.284413999999998</v>
      </c>
      <c r="M157" s="29">
        <f t="shared" si="24"/>
        <v>719.25485155859428</v>
      </c>
      <c r="N157" s="29">
        <f t="shared" si="25"/>
        <v>2.4006122996379155E+25</v>
      </c>
      <c r="O157" s="35">
        <f t="shared" si="26"/>
        <v>777.98546264121205</v>
      </c>
      <c r="P157" s="35">
        <f t="shared" si="27"/>
        <v>39.454857409410593</v>
      </c>
      <c r="Q157" s="35">
        <f t="shared" si="28"/>
        <v>-0.17044340941059488</v>
      </c>
      <c r="R157" s="35">
        <f t="shared" si="29"/>
        <v>0.49198048758671042</v>
      </c>
      <c r="S157" s="18">
        <v>664.51339293017315</v>
      </c>
      <c r="T157" s="35">
        <f t="shared" si="30"/>
        <v>39.112518691759114</v>
      </c>
      <c r="U157" s="35">
        <f t="shared" si="31"/>
        <v>0.1718953082408845</v>
      </c>
      <c r="V157" s="35">
        <f t="shared" si="32"/>
        <v>0.50039792367743219</v>
      </c>
    </row>
    <row r="158" spans="1:22" x14ac:dyDescent="0.25">
      <c r="A158" s="34" t="s">
        <v>8</v>
      </c>
      <c r="B158" s="16">
        <v>0.14699999999999999</v>
      </c>
      <c r="C158" s="8">
        <v>0</v>
      </c>
      <c r="D158" s="8">
        <v>20.948</v>
      </c>
      <c r="E158" s="8">
        <v>4.2999999999999997E-2</v>
      </c>
      <c r="F158" s="8">
        <v>0.99</v>
      </c>
      <c r="G158" s="8">
        <v>3.9E-2</v>
      </c>
      <c r="H158" s="8">
        <v>0.2</v>
      </c>
      <c r="I158" s="8">
        <v>3.1E-2</v>
      </c>
      <c r="J158" s="8">
        <v>0.12</v>
      </c>
      <c r="K158" s="38">
        <f t="shared" si="22"/>
        <v>0.23299999999999998</v>
      </c>
      <c r="L158" s="38">
        <f t="shared" si="23"/>
        <v>39.660529999999994</v>
      </c>
      <c r="M158" s="29">
        <f t="shared" si="24"/>
        <v>855.27543792568542</v>
      </c>
      <c r="N158" s="29">
        <f t="shared" si="25"/>
        <v>2.4006122996379155E+25</v>
      </c>
      <c r="O158" s="35">
        <f t="shared" si="26"/>
        <v>777.98546264121205</v>
      </c>
      <c r="P158" s="35">
        <f t="shared" si="27"/>
        <v>39.454857409410593</v>
      </c>
      <c r="Q158" s="35">
        <f t="shared" si="28"/>
        <v>0.20567259058940124</v>
      </c>
      <c r="R158" s="35">
        <f t="shared" si="29"/>
        <v>0.7791857378061019</v>
      </c>
      <c r="S158" s="18">
        <v>664.51339293017315</v>
      </c>
      <c r="T158" s="35">
        <f t="shared" si="30"/>
        <v>39.112518691759114</v>
      </c>
      <c r="U158" s="35">
        <f t="shared" si="31"/>
        <v>0.54801130824088062</v>
      </c>
      <c r="V158" s="35">
        <f t="shared" si="32"/>
        <v>5.5318092792256541</v>
      </c>
    </row>
    <row r="159" spans="1:22" x14ac:dyDescent="0.25">
      <c r="A159" s="34" t="s">
        <v>182</v>
      </c>
      <c r="B159" s="16">
        <v>0.14799999999999999</v>
      </c>
      <c r="C159" s="8">
        <v>0</v>
      </c>
      <c r="D159" s="8">
        <v>19.587</v>
      </c>
      <c r="E159" s="8">
        <v>2.9000000000000001E-2</v>
      </c>
      <c r="F159" s="8">
        <v>1.069</v>
      </c>
      <c r="G159" s="8">
        <v>1.7999999999999999E-2</v>
      </c>
      <c r="H159" s="8">
        <v>-0.16400000000000001</v>
      </c>
      <c r="I159" s="8">
        <v>2.1999999999999999E-2</v>
      </c>
      <c r="J159" s="8">
        <v>0.12</v>
      </c>
      <c r="K159" s="38">
        <f t="shared" si="22"/>
        <v>0.189</v>
      </c>
      <c r="L159" s="38">
        <f t="shared" si="23"/>
        <v>39.450462999999999</v>
      </c>
      <c r="M159" s="29">
        <f t="shared" si="24"/>
        <v>776.41264520364768</v>
      </c>
      <c r="N159" s="29">
        <f t="shared" si="25"/>
        <v>2.4179239948879883E+25</v>
      </c>
      <c r="O159" s="35">
        <f t="shared" si="26"/>
        <v>783.59580098708454</v>
      </c>
      <c r="P159" s="35">
        <f t="shared" si="27"/>
        <v>39.47046050049159</v>
      </c>
      <c r="Q159" s="35">
        <f t="shared" si="28"/>
        <v>-1.9997500491591325E-2</v>
      </c>
      <c r="R159" s="35">
        <f t="shared" si="29"/>
        <v>1.1195096047456544E-2</v>
      </c>
      <c r="S159" s="18">
        <v>669.45473625820421</v>
      </c>
      <c r="T159" s="35">
        <f t="shared" si="30"/>
        <v>39.128606092267866</v>
      </c>
      <c r="U159" s="35">
        <f t="shared" si="31"/>
        <v>0.32185690773213338</v>
      </c>
      <c r="V159" s="35">
        <f t="shared" si="32"/>
        <v>2.9000271284368022</v>
      </c>
    </row>
    <row r="160" spans="1:22" x14ac:dyDescent="0.25">
      <c r="A160" s="34" t="s">
        <v>183</v>
      </c>
      <c r="B160" s="16">
        <v>0.153</v>
      </c>
      <c r="C160" s="8">
        <v>0</v>
      </c>
      <c r="D160" s="8">
        <v>19.702999999999999</v>
      </c>
      <c r="E160" s="8">
        <v>3.3000000000000002E-2</v>
      </c>
      <c r="F160" s="8">
        <v>1.0489999999999999</v>
      </c>
      <c r="G160" s="8">
        <v>1.9E-2</v>
      </c>
      <c r="H160" s="8">
        <v>-9.0999999999999998E-2</v>
      </c>
      <c r="I160" s="8">
        <v>2.3E-2</v>
      </c>
      <c r="J160" s="8">
        <v>0.12</v>
      </c>
      <c r="K160" s="38">
        <f t="shared" si="22"/>
        <v>0.19500000000000001</v>
      </c>
      <c r="L160" s="38">
        <f t="shared" si="23"/>
        <v>39.335032999999996</v>
      </c>
      <c r="M160" s="29">
        <f t="shared" si="24"/>
        <v>736.21828576436985</v>
      </c>
      <c r="N160" s="29">
        <f t="shared" si="25"/>
        <v>2.5046671912650458E+25</v>
      </c>
      <c r="O160" s="35">
        <f t="shared" si="26"/>
        <v>811.70735643256864</v>
      </c>
      <c r="P160" s="35">
        <f t="shared" si="27"/>
        <v>39.546997409788673</v>
      </c>
      <c r="Q160" s="35">
        <f t="shared" si="28"/>
        <v>-0.2119644097886777</v>
      </c>
      <c r="R160" s="35">
        <f t="shared" si="29"/>
        <v>1.1815624199095984</v>
      </c>
      <c r="S160" s="18">
        <v>694.24184790177958</v>
      </c>
      <c r="T160" s="35">
        <f t="shared" si="30"/>
        <v>39.207553943861136</v>
      </c>
      <c r="U160" s="35">
        <f t="shared" si="31"/>
        <v>0.1274790561388599</v>
      </c>
      <c r="V160" s="35">
        <f t="shared" si="32"/>
        <v>0.42737435250636668</v>
      </c>
    </row>
    <row r="161" spans="1:22" x14ac:dyDescent="0.25">
      <c r="A161" s="34" t="s">
        <v>184</v>
      </c>
      <c r="B161" s="16">
        <v>0.156</v>
      </c>
      <c r="C161" s="8">
        <v>0</v>
      </c>
      <c r="D161" s="8">
        <v>19.844000000000001</v>
      </c>
      <c r="E161" s="8">
        <v>2.5999999999999999E-2</v>
      </c>
      <c r="F161" s="8">
        <v>1.202</v>
      </c>
      <c r="G161" s="8">
        <v>2.1999999999999999E-2</v>
      </c>
      <c r="H161" s="8">
        <v>-5.5E-2</v>
      </c>
      <c r="I161" s="8">
        <v>2.1999999999999999E-2</v>
      </c>
      <c r="J161" s="8">
        <v>0.12</v>
      </c>
      <c r="K161" s="38">
        <f t="shared" si="22"/>
        <v>0.19</v>
      </c>
      <c r="L161" s="38">
        <f t="shared" si="23"/>
        <v>39.385843999999999</v>
      </c>
      <c r="M161" s="29">
        <f t="shared" si="24"/>
        <v>753.64843214662847</v>
      </c>
      <c r="N161" s="29">
        <f t="shared" si="25"/>
        <v>2.5568602683165159E+25</v>
      </c>
      <c r="O161" s="35">
        <f t="shared" si="26"/>
        <v>828.6219807568217</v>
      </c>
      <c r="P161" s="35">
        <f t="shared" si="27"/>
        <v>39.591782247965973</v>
      </c>
      <c r="Q161" s="35">
        <f t="shared" si="28"/>
        <v>-0.2059382479659746</v>
      </c>
      <c r="R161" s="35">
        <f t="shared" si="29"/>
        <v>1.1748078109500066</v>
      </c>
      <c r="S161" s="18">
        <v>709.17820484433594</v>
      </c>
      <c r="T161" s="35">
        <f t="shared" si="30"/>
        <v>39.253776899863752</v>
      </c>
      <c r="U161" s="35">
        <f t="shared" si="31"/>
        <v>0.13206710013624701</v>
      </c>
      <c r="V161" s="35">
        <f t="shared" si="32"/>
        <v>0.4831501090968835</v>
      </c>
    </row>
    <row r="162" spans="1:22" x14ac:dyDescent="0.25">
      <c r="A162" s="34" t="s">
        <v>185</v>
      </c>
      <c r="B162" s="16">
        <v>0.16200000000000001</v>
      </c>
      <c r="C162" s="8">
        <v>0</v>
      </c>
      <c r="D162" s="8">
        <v>20.254000000000001</v>
      </c>
      <c r="E162" s="8">
        <v>3.3000000000000002E-2</v>
      </c>
      <c r="F162" s="8">
        <v>1.165</v>
      </c>
      <c r="G162" s="8">
        <v>2.3E-2</v>
      </c>
      <c r="H162" s="8">
        <v>9.5000000000000001E-2</v>
      </c>
      <c r="I162" s="8">
        <v>2.5999999999999999E-2</v>
      </c>
      <c r="J162" s="8">
        <v>0.12</v>
      </c>
      <c r="K162" s="38">
        <f t="shared" si="22"/>
        <v>0.20200000000000001</v>
      </c>
      <c r="L162" s="38">
        <f t="shared" si="23"/>
        <v>39.320904999999996</v>
      </c>
      <c r="M162" s="29">
        <f t="shared" si="24"/>
        <v>731.44386229178804</v>
      </c>
      <c r="N162" s="29">
        <f t="shared" si="25"/>
        <v>2.6615753865894688E+25</v>
      </c>
      <c r="O162" s="35">
        <f t="shared" si="26"/>
        <v>862.5578394322938</v>
      </c>
      <c r="P162" s="35">
        <f t="shared" si="27"/>
        <v>39.67894113324288</v>
      </c>
      <c r="Q162" s="35">
        <f t="shared" si="28"/>
        <v>-0.35803613324288364</v>
      </c>
      <c r="R162" s="35">
        <f t="shared" si="29"/>
        <v>3.1416006447288476</v>
      </c>
      <c r="S162" s="18">
        <v>739.19433195899592</v>
      </c>
      <c r="T162" s="35">
        <f t="shared" si="30"/>
        <v>39.343793140570746</v>
      </c>
      <c r="U162" s="35">
        <f t="shared" si="31"/>
        <v>-2.2888140570749727E-2</v>
      </c>
      <c r="V162" s="35">
        <f t="shared" si="32"/>
        <v>1.2838618242976167E-2</v>
      </c>
    </row>
    <row r="163" spans="1:22" x14ac:dyDescent="0.25">
      <c r="A163" s="34" t="s">
        <v>186</v>
      </c>
      <c r="B163" s="16">
        <v>0.16500000000000001</v>
      </c>
      <c r="C163" s="8">
        <v>0</v>
      </c>
      <c r="D163" s="8">
        <v>20.265999999999998</v>
      </c>
      <c r="E163" s="8">
        <v>3.2000000000000001E-2</v>
      </c>
      <c r="F163" s="8">
        <v>1.056</v>
      </c>
      <c r="G163" s="8">
        <v>0.02</v>
      </c>
      <c r="H163" s="8">
        <v>2.5000000000000001E-2</v>
      </c>
      <c r="I163" s="8">
        <v>2.4E-2</v>
      </c>
      <c r="J163" s="8">
        <v>0.12</v>
      </c>
      <c r="K163" s="38">
        <f t="shared" si="22"/>
        <v>0.19600000000000001</v>
      </c>
      <c r="L163" s="38">
        <f t="shared" si="23"/>
        <v>39.535981999999997</v>
      </c>
      <c r="M163" s="29">
        <f t="shared" si="24"/>
        <v>807.60016685604944</v>
      </c>
      <c r="N163" s="29">
        <f t="shared" si="25"/>
        <v>2.714096516131957E+25</v>
      </c>
      <c r="O163" s="35">
        <f t="shared" si="26"/>
        <v>879.57877832847237</v>
      </c>
      <c r="P163" s="35">
        <f t="shared" si="27"/>
        <v>39.721373712777421</v>
      </c>
      <c r="Q163" s="35">
        <f t="shared" si="28"/>
        <v>-0.18539171277742383</v>
      </c>
      <c r="R163" s="35">
        <f t="shared" si="29"/>
        <v>0.89468156930827814</v>
      </c>
      <c r="S163" s="18">
        <v>754.27376489426126</v>
      </c>
      <c r="T163" s="35">
        <f t="shared" si="30"/>
        <v>39.387645011867534</v>
      </c>
      <c r="U163" s="35">
        <f t="shared" si="31"/>
        <v>0.14833698813246343</v>
      </c>
      <c r="V163" s="35">
        <f t="shared" si="32"/>
        <v>0.57277858309586094</v>
      </c>
    </row>
    <row r="164" spans="1:22" x14ac:dyDescent="0.25">
      <c r="A164" s="34" t="s">
        <v>187</v>
      </c>
      <c r="B164" s="16">
        <v>0.16900000000000001</v>
      </c>
      <c r="C164" s="8">
        <v>0</v>
      </c>
      <c r="D164" s="8">
        <v>20.251000000000001</v>
      </c>
      <c r="E164" s="8">
        <v>4.1000000000000002E-2</v>
      </c>
      <c r="F164" s="8">
        <v>0.80900000000000005</v>
      </c>
      <c r="G164" s="8">
        <v>2.5999999999999999E-2</v>
      </c>
      <c r="H164" s="8">
        <v>-0.14699999999999999</v>
      </c>
      <c r="I164" s="8">
        <v>3.1E-2</v>
      </c>
      <c r="J164" s="8">
        <v>0.12</v>
      </c>
      <c r="K164" s="38">
        <f t="shared" si="22"/>
        <v>0.218</v>
      </c>
      <c r="L164" s="38">
        <f t="shared" si="23"/>
        <v>40.023032999999998</v>
      </c>
      <c r="M164" s="29">
        <f t="shared" si="24"/>
        <v>1010.6635430822232</v>
      </c>
      <c r="N164" s="29">
        <f t="shared" si="25"/>
        <v>2.7842933007479414E+25</v>
      </c>
      <c r="O164" s="35">
        <f t="shared" si="26"/>
        <v>902.32800691637442</v>
      </c>
      <c r="P164" s="35">
        <f t="shared" si="27"/>
        <v>39.776822187151225</v>
      </c>
      <c r="Q164" s="35">
        <f t="shared" si="28"/>
        <v>0.24621081284877278</v>
      </c>
      <c r="R164" s="35">
        <f t="shared" si="29"/>
        <v>1.2755610715355066</v>
      </c>
      <c r="S164" s="18">
        <v>774.45331034421019</v>
      </c>
      <c r="T164" s="35">
        <f t="shared" si="30"/>
        <v>39.44497620233485</v>
      </c>
      <c r="U164" s="35">
        <f t="shared" si="31"/>
        <v>0.57805679766514828</v>
      </c>
      <c r="V164" s="35">
        <f t="shared" si="32"/>
        <v>7.0311771173909223</v>
      </c>
    </row>
    <row r="165" spans="1:22" x14ac:dyDescent="0.25">
      <c r="A165" s="34" t="s">
        <v>188</v>
      </c>
      <c r="B165" s="16">
        <v>0.17199999999999999</v>
      </c>
      <c r="C165" s="8">
        <v>0</v>
      </c>
      <c r="D165" s="8">
        <v>20.439</v>
      </c>
      <c r="E165" s="8">
        <v>3.4000000000000002E-2</v>
      </c>
      <c r="F165" s="8">
        <v>0.92200000000000004</v>
      </c>
      <c r="G165" s="8">
        <v>2.5999999999999999E-2</v>
      </c>
      <c r="H165" s="8">
        <v>1.4E-2</v>
      </c>
      <c r="I165" s="8">
        <v>2.5999999999999999E-2</v>
      </c>
      <c r="J165" s="8">
        <v>0.12</v>
      </c>
      <c r="K165" s="38">
        <f t="shared" si="22"/>
        <v>0.20599999999999999</v>
      </c>
      <c r="L165" s="38">
        <f t="shared" si="23"/>
        <v>39.723714000000001</v>
      </c>
      <c r="M165" s="29">
        <f t="shared" si="24"/>
        <v>880.52724841448821</v>
      </c>
      <c r="N165" s="29">
        <f t="shared" si="25"/>
        <v>2.8370667659060419E+25</v>
      </c>
      <c r="O165" s="35">
        <f t="shared" si="26"/>
        <v>919.43072221629916</v>
      </c>
      <c r="P165" s="35">
        <f t="shared" si="27"/>
        <v>39.817595056708676</v>
      </c>
      <c r="Q165" s="35">
        <f t="shared" si="28"/>
        <v>-9.3881056708674748E-2</v>
      </c>
      <c r="R165" s="35">
        <f t="shared" si="29"/>
        <v>0.20769282705102754</v>
      </c>
      <c r="S165" s="18">
        <v>789.64297822704646</v>
      </c>
      <c r="T165" s="35">
        <f t="shared" si="30"/>
        <v>39.487153889157</v>
      </c>
      <c r="U165" s="35">
        <f t="shared" si="31"/>
        <v>0.23656011084300133</v>
      </c>
      <c r="V165" s="35">
        <f t="shared" si="32"/>
        <v>1.3187078433889405</v>
      </c>
    </row>
    <row r="166" spans="1:22" x14ac:dyDescent="0.25">
      <c r="A166" s="34" t="s">
        <v>189</v>
      </c>
      <c r="B166" s="16">
        <v>0.17399999999999999</v>
      </c>
      <c r="C166" s="8">
        <v>0</v>
      </c>
      <c r="D166" s="8">
        <v>20.236000000000001</v>
      </c>
      <c r="E166" s="8">
        <v>3.1E-2</v>
      </c>
      <c r="F166" s="8">
        <v>0.999</v>
      </c>
      <c r="G166" s="8">
        <v>2.1000000000000001E-2</v>
      </c>
      <c r="H166" s="8">
        <v>-3.7999999999999999E-2</v>
      </c>
      <c r="I166" s="8">
        <v>2.3E-2</v>
      </c>
      <c r="J166" s="8">
        <v>0.12</v>
      </c>
      <c r="K166" s="38">
        <f t="shared" si="22"/>
        <v>0.19500000000000001</v>
      </c>
      <c r="L166" s="38">
        <f t="shared" si="23"/>
        <v>39.694793000000004</v>
      </c>
      <c r="M166" s="29">
        <f t="shared" si="24"/>
        <v>868.87759782370688</v>
      </c>
      <c r="N166" s="29">
        <f t="shared" si="25"/>
        <v>2.8723087691483171E+25</v>
      </c>
      <c r="O166" s="35">
        <f t="shared" si="26"/>
        <v>930.8518776444289</v>
      </c>
      <c r="P166" s="35">
        <f t="shared" si="27"/>
        <v>39.844402895564215</v>
      </c>
      <c r="Q166" s="35">
        <f t="shared" si="28"/>
        <v>-0.14960989556421112</v>
      </c>
      <c r="R166" s="35">
        <f t="shared" si="29"/>
        <v>0.58864223144600014</v>
      </c>
      <c r="S166" s="18">
        <v>799.79552519412664</v>
      </c>
      <c r="T166" s="35">
        <f t="shared" si="30"/>
        <v>39.514894849769362</v>
      </c>
      <c r="U166" s="35">
        <f t="shared" si="31"/>
        <v>0.17989815023064182</v>
      </c>
      <c r="V166" s="35">
        <f t="shared" si="32"/>
        <v>0.85110702054981124</v>
      </c>
    </row>
    <row r="167" spans="1:22" x14ac:dyDescent="0.25">
      <c r="A167" s="34" t="s">
        <v>190</v>
      </c>
      <c r="B167" s="16">
        <v>0.17499999999999999</v>
      </c>
      <c r="C167" s="8">
        <v>0</v>
      </c>
      <c r="D167" s="8">
        <v>20.323</v>
      </c>
      <c r="E167" s="8">
        <v>6.3E-2</v>
      </c>
      <c r="F167" s="8">
        <v>0.91300000000000003</v>
      </c>
      <c r="G167" s="8">
        <v>3.1E-2</v>
      </c>
      <c r="H167" s="8">
        <v>-5.7000000000000002E-2</v>
      </c>
      <c r="I167" s="8">
        <v>3.4000000000000002E-2</v>
      </c>
      <c r="J167" s="8">
        <v>0.12</v>
      </c>
      <c r="K167" s="38">
        <f t="shared" si="22"/>
        <v>0.248</v>
      </c>
      <c r="L167" s="38">
        <f t="shared" si="23"/>
        <v>39.828620999999998</v>
      </c>
      <c r="M167" s="29">
        <f t="shared" si="24"/>
        <v>924.11112804010895</v>
      </c>
      <c r="N167" s="29">
        <f t="shared" si="25"/>
        <v>2.8899476293093006E+25</v>
      </c>
      <c r="O167" s="35">
        <f t="shared" si="26"/>
        <v>936.5682429171037</v>
      </c>
      <c r="P167" s="35">
        <f t="shared" si="27"/>
        <v>39.857697138361587</v>
      </c>
      <c r="Q167" s="35">
        <f t="shared" si="28"/>
        <v>-2.9076138361588733E-2</v>
      </c>
      <c r="R167" s="35">
        <f t="shared" si="29"/>
        <v>1.3745802257125584E-2</v>
      </c>
      <c r="S167" s="18">
        <v>804.87961063438229</v>
      </c>
      <c r="T167" s="35">
        <f t="shared" si="30"/>
        <v>39.528654629496614</v>
      </c>
      <c r="U167" s="35">
        <f t="shared" si="31"/>
        <v>0.29996637050338393</v>
      </c>
      <c r="V167" s="35">
        <f t="shared" si="32"/>
        <v>1.4629914059731628</v>
      </c>
    </row>
    <row r="168" spans="1:22" x14ac:dyDescent="0.25">
      <c r="A168" s="34" t="s">
        <v>191</v>
      </c>
      <c r="B168" s="16">
        <v>0.17899999999999999</v>
      </c>
      <c r="C168" s="8">
        <v>0</v>
      </c>
      <c r="D168" s="8">
        <v>20.922999999999998</v>
      </c>
      <c r="E168" s="8">
        <v>4.2000000000000003E-2</v>
      </c>
      <c r="F168" s="8">
        <v>1.0109999999999999</v>
      </c>
      <c r="G168" s="8">
        <v>3.9E-2</v>
      </c>
      <c r="H168" s="8">
        <v>2E-3</v>
      </c>
      <c r="I168" s="8">
        <v>3.2000000000000001E-2</v>
      </c>
      <c r="J168" s="8">
        <v>0.12</v>
      </c>
      <c r="K168" s="38">
        <f t="shared" si="22"/>
        <v>0.23299999999999998</v>
      </c>
      <c r="L168" s="38">
        <f t="shared" si="23"/>
        <v>40.258356999999997</v>
      </c>
      <c r="M168" s="29">
        <f t="shared" si="24"/>
        <v>1126.3449079434008</v>
      </c>
      <c r="N168" s="29">
        <f t="shared" si="25"/>
        <v>2.9606217444171885E+25</v>
      </c>
      <c r="O168" s="35">
        <f t="shared" si="26"/>
        <v>959.47216378231872</v>
      </c>
      <c r="P168" s="35">
        <f t="shared" si="27"/>
        <v>39.910161897488251</v>
      </c>
      <c r="Q168" s="35">
        <f t="shared" si="28"/>
        <v>0.34819510251174535</v>
      </c>
      <c r="R168" s="35">
        <f t="shared" si="29"/>
        <v>2.2332301094727272</v>
      </c>
      <c r="S168" s="18">
        <v>825.26788804024272</v>
      </c>
      <c r="T168" s="35">
        <f t="shared" si="30"/>
        <v>39.582974733130342</v>
      </c>
      <c r="U168" s="35">
        <f t="shared" si="31"/>
        <v>0.6753822668696543</v>
      </c>
      <c r="V168" s="35">
        <f t="shared" si="32"/>
        <v>8.4020926228516473</v>
      </c>
    </row>
    <row r="169" spans="1:22" x14ac:dyDescent="0.25">
      <c r="A169" s="34" t="s">
        <v>192</v>
      </c>
      <c r="B169" s="16">
        <v>0.18099999999999999</v>
      </c>
      <c r="C169" s="8">
        <v>0</v>
      </c>
      <c r="D169" s="8">
        <v>20.58</v>
      </c>
      <c r="E169" s="8">
        <v>3.5000000000000003E-2</v>
      </c>
      <c r="F169" s="8">
        <v>1.032</v>
      </c>
      <c r="G169" s="8">
        <v>3.1E-2</v>
      </c>
      <c r="H169" s="8">
        <v>4.4999999999999998E-2</v>
      </c>
      <c r="I169" s="8">
        <v>2.4E-2</v>
      </c>
      <c r="J169" s="8">
        <v>0.12</v>
      </c>
      <c r="K169" s="38">
        <f t="shared" si="22"/>
        <v>0.21</v>
      </c>
      <c r="L169" s="38">
        <f t="shared" si="23"/>
        <v>39.783853999999998</v>
      </c>
      <c r="M169" s="29">
        <f t="shared" si="24"/>
        <v>905.25472436210373</v>
      </c>
      <c r="N169" s="29">
        <f t="shared" si="25"/>
        <v>2.9960297781154636E+25</v>
      </c>
      <c r="O169" s="35">
        <f t="shared" si="26"/>
        <v>970.94712601679657</v>
      </c>
      <c r="P169" s="35">
        <f t="shared" si="27"/>
        <v>39.935977902864614</v>
      </c>
      <c r="Q169" s="35">
        <f t="shared" si="28"/>
        <v>-0.15212390286461641</v>
      </c>
      <c r="R169" s="35">
        <f t="shared" si="29"/>
        <v>0.52475468985857721</v>
      </c>
      <c r="S169" s="18">
        <v>835.49310183399359</v>
      </c>
      <c r="T169" s="35">
        <f t="shared" si="30"/>
        <v>39.60971434267428</v>
      </c>
      <c r="U169" s="35">
        <f t="shared" si="31"/>
        <v>0.17413965732571768</v>
      </c>
      <c r="V169" s="35">
        <f t="shared" si="32"/>
        <v>0.68763311232467994</v>
      </c>
    </row>
    <row r="170" spans="1:22" x14ac:dyDescent="0.25">
      <c r="A170" s="34" t="s">
        <v>193</v>
      </c>
      <c r="B170" s="16">
        <v>0.18099999999999999</v>
      </c>
      <c r="C170" s="8">
        <v>0</v>
      </c>
      <c r="D170" s="8">
        <v>20.574999999999999</v>
      </c>
      <c r="E170" s="8">
        <v>3.1E-2</v>
      </c>
      <c r="F170" s="8">
        <v>1.0029999999999999</v>
      </c>
      <c r="G170" s="8">
        <v>3.2000000000000001E-2</v>
      </c>
      <c r="H170" s="8">
        <v>-7.0000000000000001E-3</v>
      </c>
      <c r="I170" s="8">
        <v>2.5000000000000001E-2</v>
      </c>
      <c r="J170" s="8">
        <v>0.12</v>
      </c>
      <c r="K170" s="38">
        <f t="shared" si="22"/>
        <v>0.20799999999999999</v>
      </c>
      <c r="L170" s="38">
        <f t="shared" si="23"/>
        <v>39.937350999999992</v>
      </c>
      <c r="M170" s="29">
        <f t="shared" si="24"/>
        <v>971.56128363449795</v>
      </c>
      <c r="N170" s="29">
        <f t="shared" si="25"/>
        <v>2.9960297781154636E+25</v>
      </c>
      <c r="O170" s="35">
        <f t="shared" si="26"/>
        <v>970.94712601679657</v>
      </c>
      <c r="P170" s="35">
        <f t="shared" si="27"/>
        <v>39.935977902864614</v>
      </c>
      <c r="Q170" s="35">
        <f t="shared" si="28"/>
        <v>1.3730971353780319E-3</v>
      </c>
      <c r="R170" s="35">
        <f t="shared" si="29"/>
        <v>4.3578858708934853E-5</v>
      </c>
      <c r="S170" s="18">
        <v>835.49310183399359</v>
      </c>
      <c r="T170" s="35">
        <f t="shared" si="30"/>
        <v>39.60971434267428</v>
      </c>
      <c r="U170" s="35">
        <f t="shared" si="31"/>
        <v>0.32763665732571212</v>
      </c>
      <c r="V170" s="35">
        <f t="shared" si="32"/>
        <v>2.481180178059498</v>
      </c>
    </row>
    <row r="171" spans="1:22" x14ac:dyDescent="0.25">
      <c r="A171" s="34" t="s">
        <v>194</v>
      </c>
      <c r="B171" s="16">
        <v>0.183</v>
      </c>
      <c r="C171" s="8">
        <v>0</v>
      </c>
      <c r="D171" s="8">
        <v>20.291</v>
      </c>
      <c r="E171" s="8">
        <v>4.3999999999999997E-2</v>
      </c>
      <c r="F171" s="8">
        <v>1.099</v>
      </c>
      <c r="G171" s="8">
        <v>2.5000000000000001E-2</v>
      </c>
      <c r="H171" s="8">
        <v>-1.4E-2</v>
      </c>
      <c r="I171" s="8">
        <v>2.5999999999999999E-2</v>
      </c>
      <c r="J171" s="8">
        <v>0.12</v>
      </c>
      <c r="K171" s="38">
        <f t="shared" si="22"/>
        <v>0.215</v>
      </c>
      <c r="L171" s="38">
        <f t="shared" si="23"/>
        <v>39.689373000000003</v>
      </c>
      <c r="M171" s="29">
        <f t="shared" si="24"/>
        <v>866.71158170762101</v>
      </c>
      <c r="N171" s="29">
        <f t="shared" si="25"/>
        <v>3.0314849558399779E+25</v>
      </c>
      <c r="O171" s="35">
        <f t="shared" si="26"/>
        <v>982.43736658966748</v>
      </c>
      <c r="P171" s="35">
        <f t="shared" si="27"/>
        <v>39.961524361590719</v>
      </c>
      <c r="Q171" s="35">
        <f t="shared" si="28"/>
        <v>-0.27215136159071562</v>
      </c>
      <c r="R171" s="35">
        <f t="shared" si="29"/>
        <v>1.6023009976350557</v>
      </c>
      <c r="S171" s="18">
        <v>845.73896671594616</v>
      </c>
      <c r="T171" s="35">
        <f t="shared" si="30"/>
        <v>39.636181704037384</v>
      </c>
      <c r="U171" s="35">
        <f t="shared" si="31"/>
        <v>5.3191295962619733E-2</v>
      </c>
      <c r="V171" s="35">
        <f t="shared" si="32"/>
        <v>6.1207441128891441E-2</v>
      </c>
    </row>
    <row r="172" spans="1:22" x14ac:dyDescent="0.25">
      <c r="A172" s="34" t="s">
        <v>195</v>
      </c>
      <c r="B172" s="16">
        <v>0.184</v>
      </c>
      <c r="C172" s="8">
        <v>1E-3</v>
      </c>
      <c r="D172" s="8">
        <v>20.765000000000001</v>
      </c>
      <c r="E172" s="8">
        <v>2.5000000000000001E-2</v>
      </c>
      <c r="F172" s="8">
        <v>0.99099999999999999</v>
      </c>
      <c r="G172" s="8">
        <v>1.9E-2</v>
      </c>
      <c r="H172" s="8">
        <v>1.9E-2</v>
      </c>
      <c r="I172" s="8">
        <v>0.02</v>
      </c>
      <c r="J172" s="8">
        <v>0.12</v>
      </c>
      <c r="K172" s="38">
        <f t="shared" si="22"/>
        <v>0.184</v>
      </c>
      <c r="L172" s="38">
        <f t="shared" si="23"/>
        <v>40.044207</v>
      </c>
      <c r="M172" s="29">
        <f t="shared" si="24"/>
        <v>1020.5667148918301</v>
      </c>
      <c r="N172" s="29">
        <f t="shared" si="25"/>
        <v>3.0492301832381505E+25</v>
      </c>
      <c r="O172" s="35">
        <f t="shared" si="26"/>
        <v>988.18820313629487</v>
      </c>
      <c r="P172" s="35">
        <f t="shared" si="27"/>
        <v>39.974198325163307</v>
      </c>
      <c r="Q172" s="35">
        <f t="shared" si="28"/>
        <v>7.0008674836692819E-2</v>
      </c>
      <c r="R172" s="35">
        <f t="shared" si="29"/>
        <v>0.14476649788485901</v>
      </c>
      <c r="S172" s="18">
        <v>850.86962795688692</v>
      </c>
      <c r="T172" s="35">
        <f t="shared" si="30"/>
        <v>39.649315108317154</v>
      </c>
      <c r="U172" s="35">
        <f t="shared" si="31"/>
        <v>0.39489189168284611</v>
      </c>
      <c r="V172" s="35">
        <f t="shared" si="32"/>
        <v>4.6059666267975157</v>
      </c>
    </row>
    <row r="173" spans="1:22" x14ac:dyDescent="0.25">
      <c r="A173" s="34" t="s">
        <v>196</v>
      </c>
      <c r="B173" s="16">
        <v>0.184</v>
      </c>
      <c r="C173" s="8">
        <v>0</v>
      </c>
      <c r="D173" s="8">
        <v>20.274000000000001</v>
      </c>
      <c r="E173" s="8">
        <v>2.8000000000000001E-2</v>
      </c>
      <c r="F173" s="8">
        <v>1.08</v>
      </c>
      <c r="G173" s="8">
        <v>2.3E-2</v>
      </c>
      <c r="H173" s="8">
        <v>-9.7000000000000003E-2</v>
      </c>
      <c r="I173" s="8">
        <v>2.1999999999999999E-2</v>
      </c>
      <c r="J173" s="8">
        <v>0.12</v>
      </c>
      <c r="K173" s="38">
        <f t="shared" si="22"/>
        <v>0.193</v>
      </c>
      <c r="L173" s="38">
        <f t="shared" si="23"/>
        <v>39.929369999999999</v>
      </c>
      <c r="M173" s="29">
        <f t="shared" si="24"/>
        <v>967.99697469683269</v>
      </c>
      <c r="N173" s="29">
        <f t="shared" si="25"/>
        <v>3.0492301832381505E+25</v>
      </c>
      <c r="O173" s="35">
        <f t="shared" si="26"/>
        <v>988.18820313629487</v>
      </c>
      <c r="P173" s="35">
        <f t="shared" si="27"/>
        <v>39.974198325163307</v>
      </c>
      <c r="Q173" s="35">
        <f t="shared" si="28"/>
        <v>-4.4828325163308591E-2</v>
      </c>
      <c r="R173" s="35">
        <f t="shared" si="29"/>
        <v>5.3949870787063439E-2</v>
      </c>
      <c r="S173" s="18">
        <v>850.86962795688692</v>
      </c>
      <c r="T173" s="35">
        <f t="shared" si="30"/>
        <v>39.649315108317154</v>
      </c>
      <c r="U173" s="35">
        <f t="shared" si="31"/>
        <v>0.2800548916828447</v>
      </c>
      <c r="V173" s="35">
        <f t="shared" si="32"/>
        <v>2.1055798103436296</v>
      </c>
    </row>
    <row r="174" spans="1:22" x14ac:dyDescent="0.25">
      <c r="A174" s="34" t="s">
        <v>197</v>
      </c>
      <c r="B174" s="16">
        <v>0.185</v>
      </c>
      <c r="C174" s="8">
        <v>0</v>
      </c>
      <c r="D174" s="8">
        <v>21.132999999999999</v>
      </c>
      <c r="E174" s="8">
        <v>4.1000000000000002E-2</v>
      </c>
      <c r="F174" s="8">
        <v>0.92300000000000004</v>
      </c>
      <c r="G174" s="8">
        <v>3.3000000000000002E-2</v>
      </c>
      <c r="H174" s="8">
        <v>0.17899999999999999</v>
      </c>
      <c r="I174" s="8">
        <v>3.2000000000000001E-2</v>
      </c>
      <c r="J174" s="8">
        <v>0.12</v>
      </c>
      <c r="K174" s="38">
        <f t="shared" si="22"/>
        <v>0.22600000000000001</v>
      </c>
      <c r="L174" s="38">
        <f t="shared" si="23"/>
        <v>39.901410999999996</v>
      </c>
      <c r="M174" s="29">
        <f t="shared" si="24"/>
        <v>955.61333184427781</v>
      </c>
      <c r="N174" s="29">
        <f t="shared" si="25"/>
        <v>3.0669871481334506E+25</v>
      </c>
      <c r="O174" s="35">
        <f t="shared" si="26"/>
        <v>993.94284354668412</v>
      </c>
      <c r="P174" s="35">
        <f t="shared" si="27"/>
        <v>39.986807055558103</v>
      </c>
      <c r="Q174" s="35">
        <f t="shared" si="28"/>
        <v>-8.5396055558106809E-2</v>
      </c>
      <c r="R174" s="35">
        <f t="shared" si="29"/>
        <v>0.14277716158045392</v>
      </c>
      <c r="S174" s="18">
        <v>856.0054335494583</v>
      </c>
      <c r="T174" s="35">
        <f t="shared" si="30"/>
        <v>39.662382606990079</v>
      </c>
      <c r="U174" s="35">
        <f t="shared" si="31"/>
        <v>0.23902839300991729</v>
      </c>
      <c r="V174" s="35">
        <f t="shared" si="32"/>
        <v>1.1186187772124574</v>
      </c>
    </row>
    <row r="175" spans="1:22" x14ac:dyDescent="0.25">
      <c r="A175" s="34" t="s">
        <v>198</v>
      </c>
      <c r="B175" s="16">
        <v>0.187</v>
      </c>
      <c r="C175" s="8">
        <v>0</v>
      </c>
      <c r="D175" s="8">
        <v>20.475999999999999</v>
      </c>
      <c r="E175" s="8">
        <v>4.1000000000000002E-2</v>
      </c>
      <c r="F175" s="8">
        <v>1.0740000000000001</v>
      </c>
      <c r="G175" s="8">
        <v>3.1E-2</v>
      </c>
      <c r="H175" s="8">
        <v>-4.1000000000000002E-2</v>
      </c>
      <c r="I175" s="8">
        <v>2.5999999999999999E-2</v>
      </c>
      <c r="J175" s="8">
        <v>0.12</v>
      </c>
      <c r="K175" s="38">
        <f t="shared" si="22"/>
        <v>0.218</v>
      </c>
      <c r="L175" s="38">
        <f t="shared" si="23"/>
        <v>39.955207999999999</v>
      </c>
      <c r="M175" s="29">
        <f t="shared" si="24"/>
        <v>979.58381283840549</v>
      </c>
      <c r="N175" s="29">
        <f t="shared" si="25"/>
        <v>3.1025362260121542E+25</v>
      </c>
      <c r="O175" s="35">
        <f t="shared" si="26"/>
        <v>1005.463515087067</v>
      </c>
      <c r="P175" s="35">
        <f t="shared" si="27"/>
        <v>40.011831580611883</v>
      </c>
      <c r="Q175" s="35">
        <f t="shared" si="28"/>
        <v>-5.6623580611883995E-2</v>
      </c>
      <c r="R175" s="35">
        <f t="shared" si="29"/>
        <v>6.7465488622812167E-2</v>
      </c>
      <c r="S175" s="18">
        <v>866.29245327252238</v>
      </c>
      <c r="T175" s="35">
        <f t="shared" si="30"/>
        <v>39.688322655243461</v>
      </c>
      <c r="U175" s="35">
        <f t="shared" si="31"/>
        <v>0.26688534475653825</v>
      </c>
      <c r="V175" s="35">
        <f t="shared" si="32"/>
        <v>1.4987750872362653</v>
      </c>
    </row>
    <row r="176" spans="1:22" x14ac:dyDescent="0.25">
      <c r="A176" s="34" t="s">
        <v>199</v>
      </c>
      <c r="B176" s="16">
        <v>0.19</v>
      </c>
      <c r="C176" s="8">
        <v>0</v>
      </c>
      <c r="D176" s="8">
        <v>20.952000000000002</v>
      </c>
      <c r="E176" s="8">
        <v>2.8000000000000001E-2</v>
      </c>
      <c r="F176" s="8">
        <v>0.92700000000000005</v>
      </c>
      <c r="G176" s="8">
        <v>3.5000000000000003E-2</v>
      </c>
      <c r="H176" s="8">
        <v>9.5000000000000001E-2</v>
      </c>
      <c r="I176" s="8">
        <v>2.4E-2</v>
      </c>
      <c r="J176" s="8">
        <v>0.12</v>
      </c>
      <c r="K176" s="38">
        <f t="shared" si="22"/>
        <v>0.20699999999999999</v>
      </c>
      <c r="L176" s="38">
        <f t="shared" si="23"/>
        <v>39.983919</v>
      </c>
      <c r="M176" s="29">
        <f t="shared" si="24"/>
        <v>992.62177952341915</v>
      </c>
      <c r="N176" s="29">
        <f t="shared" si="25"/>
        <v>3.1559474723101387E+25</v>
      </c>
      <c r="O176" s="35">
        <f t="shared" si="26"/>
        <v>1022.7729211780251</v>
      </c>
      <c r="P176" s="35">
        <f t="shared" si="27"/>
        <v>40.048896105870824</v>
      </c>
      <c r="Q176" s="35">
        <f t="shared" si="28"/>
        <v>-6.4977105870823948E-2</v>
      </c>
      <c r="R176" s="35">
        <f t="shared" si="29"/>
        <v>9.8532621236161022E-2</v>
      </c>
      <c r="S176" s="18">
        <v>881.76141238676519</v>
      </c>
      <c r="T176" s="35">
        <f t="shared" si="30"/>
        <v>39.726755446628303</v>
      </c>
      <c r="U176" s="35">
        <f t="shared" si="31"/>
        <v>0.25716355337169716</v>
      </c>
      <c r="V176" s="35">
        <f t="shared" si="32"/>
        <v>1.5433987533608189</v>
      </c>
    </row>
    <row r="177" spans="1:22" x14ac:dyDescent="0.25">
      <c r="A177" s="34" t="s">
        <v>200</v>
      </c>
      <c r="B177" s="16">
        <v>0.191</v>
      </c>
      <c r="C177" s="8">
        <v>0</v>
      </c>
      <c r="D177" s="8">
        <v>20.657</v>
      </c>
      <c r="E177" s="8">
        <v>3.4000000000000002E-2</v>
      </c>
      <c r="F177" s="8">
        <v>1.1020000000000001</v>
      </c>
      <c r="G177" s="8">
        <v>0.03</v>
      </c>
      <c r="H177" s="8">
        <v>8.9999999999999993E-3</v>
      </c>
      <c r="I177" s="8">
        <v>2.7E-2</v>
      </c>
      <c r="J177" s="8">
        <v>0.12</v>
      </c>
      <c r="K177" s="38">
        <f t="shared" si="22"/>
        <v>0.21099999999999999</v>
      </c>
      <c r="L177" s="38">
        <f t="shared" si="23"/>
        <v>39.983823999999998</v>
      </c>
      <c r="M177" s="29">
        <f t="shared" si="24"/>
        <v>992.57835414719773</v>
      </c>
      <c r="N177" s="29">
        <f t="shared" si="25"/>
        <v>3.1737745249451307E+25</v>
      </c>
      <c r="O177" s="35">
        <f t="shared" si="26"/>
        <v>1028.5502754779491</v>
      </c>
      <c r="P177" s="35">
        <f t="shared" si="27"/>
        <v>40.061127624193617</v>
      </c>
      <c r="Q177" s="35">
        <f t="shared" si="28"/>
        <v>-7.7303624193618248E-2</v>
      </c>
      <c r="R177" s="35">
        <f t="shared" si="29"/>
        <v>0.1342254287520083</v>
      </c>
      <c r="S177" s="18">
        <v>886.92795551512211</v>
      </c>
      <c r="T177" s="35">
        <f t="shared" si="30"/>
        <v>39.739441719265898</v>
      </c>
      <c r="U177" s="35">
        <f t="shared" si="31"/>
        <v>0.24438228073410073</v>
      </c>
      <c r="V177" s="35">
        <f t="shared" si="32"/>
        <v>1.3414500828103777</v>
      </c>
    </row>
    <row r="178" spans="1:22" x14ac:dyDescent="0.25">
      <c r="A178" s="34" t="s">
        <v>201</v>
      </c>
      <c r="B178" s="16">
        <v>0.193</v>
      </c>
      <c r="C178" s="8">
        <v>0</v>
      </c>
      <c r="D178" s="8">
        <v>20.652999999999999</v>
      </c>
      <c r="E178" s="8">
        <v>3.5000000000000003E-2</v>
      </c>
      <c r="F178" s="8">
        <v>1.0509999999999999</v>
      </c>
      <c r="G178" s="8">
        <v>3.1E-2</v>
      </c>
      <c r="H178" s="8">
        <v>-6.2E-2</v>
      </c>
      <c r="I178" s="8">
        <v>2.5999999999999999E-2</v>
      </c>
      <c r="J178" s="8">
        <v>0.12</v>
      </c>
      <c r="K178" s="38">
        <f t="shared" si="22"/>
        <v>0.21199999999999999</v>
      </c>
      <c r="L178" s="38">
        <f t="shared" si="23"/>
        <v>40.194557000000003</v>
      </c>
      <c r="M178" s="29">
        <f t="shared" si="24"/>
        <v>1093.7332120483572</v>
      </c>
      <c r="N178" s="29">
        <f t="shared" si="25"/>
        <v>3.2094634903802967E+25</v>
      </c>
      <c r="O178" s="35">
        <f t="shared" si="26"/>
        <v>1040.1162814879372</v>
      </c>
      <c r="P178" s="35">
        <f t="shared" si="27"/>
        <v>40.085409473347582</v>
      </c>
      <c r="Q178" s="35">
        <f t="shared" si="28"/>
        <v>0.10914752665242133</v>
      </c>
      <c r="R178" s="35">
        <f t="shared" si="29"/>
        <v>0.2650672520100798</v>
      </c>
      <c r="S178" s="18">
        <v>897.27634028780574</v>
      </c>
      <c r="T178" s="35">
        <f t="shared" si="30"/>
        <v>39.764631081327515</v>
      </c>
      <c r="U178" s="35">
        <f t="shared" si="31"/>
        <v>0.42992591867248819</v>
      </c>
      <c r="V178" s="35">
        <f t="shared" si="32"/>
        <v>4.1125911255425178</v>
      </c>
    </row>
    <row r="179" spans="1:22" x14ac:dyDescent="0.25">
      <c r="A179" s="34" t="s">
        <v>202</v>
      </c>
      <c r="B179" s="16">
        <v>0.19800000000000001</v>
      </c>
      <c r="C179" s="8">
        <v>0</v>
      </c>
      <c r="D179" s="8">
        <v>21.265000000000001</v>
      </c>
      <c r="E179" s="8">
        <v>4.2000000000000003E-2</v>
      </c>
      <c r="F179" s="8">
        <v>0.78100000000000003</v>
      </c>
      <c r="G179" s="8">
        <v>4.8000000000000001E-2</v>
      </c>
      <c r="H179" s="8">
        <v>6.7000000000000004E-2</v>
      </c>
      <c r="I179" s="8">
        <v>3.3000000000000002E-2</v>
      </c>
      <c r="J179" s="8">
        <v>0.12</v>
      </c>
      <c r="K179" s="38">
        <f t="shared" si="22"/>
        <v>0.24299999999999999</v>
      </c>
      <c r="L179" s="38">
        <f t="shared" si="23"/>
        <v>40.363096999999996</v>
      </c>
      <c r="M179" s="29">
        <f t="shared" si="24"/>
        <v>1182.0052349929813</v>
      </c>
      <c r="N179" s="29">
        <f t="shared" si="25"/>
        <v>3.2988885148008799E+25</v>
      </c>
      <c r="O179" s="35">
        <f t="shared" si="26"/>
        <v>1069.0969582119724</v>
      </c>
      <c r="P179" s="35">
        <f t="shared" si="27"/>
        <v>40.14508546948138</v>
      </c>
      <c r="Q179" s="35">
        <f t="shared" si="28"/>
        <v>0.21801153051861633</v>
      </c>
      <c r="R179" s="35">
        <f t="shared" si="29"/>
        <v>0.80490825312993586</v>
      </c>
      <c r="S179" s="18">
        <v>923.23625935882967</v>
      </c>
      <c r="T179" s="35">
        <f t="shared" si="30"/>
        <v>39.826564263559057</v>
      </c>
      <c r="U179" s="35">
        <f t="shared" si="31"/>
        <v>0.53653273644093957</v>
      </c>
      <c r="V179" s="35">
        <f t="shared" si="32"/>
        <v>4.8750593112974432</v>
      </c>
    </row>
    <row r="180" spans="1:22" x14ac:dyDescent="0.25">
      <c r="A180" s="34" t="s">
        <v>203</v>
      </c>
      <c r="B180" s="16">
        <v>0.20200000000000001</v>
      </c>
      <c r="C180" s="8">
        <v>0</v>
      </c>
      <c r="D180" s="8">
        <v>20.946999999999999</v>
      </c>
      <c r="E180" s="8">
        <v>5.6000000000000001E-2</v>
      </c>
      <c r="F180" s="8">
        <v>0.78900000000000003</v>
      </c>
      <c r="G180" s="8">
        <v>3.5000000000000003E-2</v>
      </c>
      <c r="H180" s="8">
        <v>-4.0000000000000001E-3</v>
      </c>
      <c r="I180" s="8">
        <v>3.5000000000000003E-2</v>
      </c>
      <c r="J180" s="8">
        <v>0.12</v>
      </c>
      <c r="K180" s="38">
        <f t="shared" si="22"/>
        <v>0.246</v>
      </c>
      <c r="L180" s="38">
        <f t="shared" si="23"/>
        <v>40.268502999999995</v>
      </c>
      <c r="M180" s="29">
        <f t="shared" si="24"/>
        <v>1131.6199622785341</v>
      </c>
      <c r="N180" s="29">
        <f t="shared" si="25"/>
        <v>3.3706358929987899E+25</v>
      </c>
      <c r="O180" s="35">
        <f t="shared" si="26"/>
        <v>1092.3486999567824</v>
      </c>
      <c r="P180" s="35">
        <f t="shared" si="27"/>
        <v>40.19180648073268</v>
      </c>
      <c r="Q180" s="35">
        <f t="shared" si="28"/>
        <v>7.6696519267315466E-2</v>
      </c>
      <c r="R180" s="35">
        <f t="shared" si="29"/>
        <v>9.7203319249813153E-2</v>
      </c>
      <c r="S180" s="18">
        <v>944.09529239731967</v>
      </c>
      <c r="T180" s="35">
        <f t="shared" si="30"/>
        <v>39.875079160439782</v>
      </c>
      <c r="U180" s="35">
        <f t="shared" si="31"/>
        <v>0.39342383956021365</v>
      </c>
      <c r="V180" s="35">
        <f t="shared" si="32"/>
        <v>2.5577089948823573</v>
      </c>
    </row>
    <row r="181" spans="1:22" x14ac:dyDescent="0.25">
      <c r="A181" s="34" t="s">
        <v>204</v>
      </c>
      <c r="B181" s="16">
        <v>0.20399999999999999</v>
      </c>
      <c r="C181" s="8">
        <v>0</v>
      </c>
      <c r="D181" s="8">
        <v>20.789000000000001</v>
      </c>
      <c r="E181" s="8">
        <v>4.5999999999999999E-2</v>
      </c>
      <c r="F181" s="8">
        <v>1.079</v>
      </c>
      <c r="G181" s="8">
        <v>3.9E-2</v>
      </c>
      <c r="H181" s="8">
        <v>2E-3</v>
      </c>
      <c r="I181" s="8">
        <v>3.2000000000000001E-2</v>
      </c>
      <c r="J181" s="8">
        <v>0.12</v>
      </c>
      <c r="K181" s="38">
        <f t="shared" si="22"/>
        <v>0.23699999999999999</v>
      </c>
      <c r="L181" s="38">
        <f t="shared" si="23"/>
        <v>40.134353000000004</v>
      </c>
      <c r="M181" s="29">
        <f t="shared" si="24"/>
        <v>1063.8259992426174</v>
      </c>
      <c r="N181" s="29">
        <f t="shared" si="25"/>
        <v>3.4065783566810094E+25</v>
      </c>
      <c r="O181" s="35">
        <f t="shared" si="26"/>
        <v>1103.9968591537065</v>
      </c>
      <c r="P181" s="35">
        <f t="shared" si="27"/>
        <v>40.214839189184403</v>
      </c>
      <c r="Q181" s="35">
        <f t="shared" si="28"/>
        <v>-8.0486189184398427E-2</v>
      </c>
      <c r="R181" s="35">
        <f t="shared" si="29"/>
        <v>0.11533099484460778</v>
      </c>
      <c r="S181" s="18">
        <v>954.55504152792912</v>
      </c>
      <c r="T181" s="35">
        <f t="shared" si="30"/>
        <v>39.899004878644021</v>
      </c>
      <c r="U181" s="35">
        <f t="shared" si="31"/>
        <v>0.23534812135598315</v>
      </c>
      <c r="V181" s="35">
        <f t="shared" si="32"/>
        <v>0.98610867606314123</v>
      </c>
    </row>
    <row r="182" spans="1:22" x14ac:dyDescent="0.25">
      <c r="A182" s="34" t="s">
        <v>205</v>
      </c>
      <c r="B182" s="16">
        <v>0.20599999999999999</v>
      </c>
      <c r="C182" s="8">
        <v>0</v>
      </c>
      <c r="D182" s="8">
        <v>21.088999999999999</v>
      </c>
      <c r="E182" s="8">
        <v>4.3999999999999997E-2</v>
      </c>
      <c r="F182" s="8">
        <v>0.95</v>
      </c>
      <c r="G182" s="8">
        <v>3.1E-2</v>
      </c>
      <c r="H182" s="8">
        <v>7.5999999999999998E-2</v>
      </c>
      <c r="I182" s="8">
        <v>0.03</v>
      </c>
      <c r="J182" s="8">
        <v>0.12</v>
      </c>
      <c r="K182" s="38">
        <f t="shared" si="22"/>
        <v>0.22499999999999998</v>
      </c>
      <c r="L182" s="38">
        <f t="shared" si="23"/>
        <v>40.183769999999996</v>
      </c>
      <c r="M182" s="29">
        <f t="shared" si="24"/>
        <v>1088.313458858627</v>
      </c>
      <c r="N182" s="29">
        <f t="shared" si="25"/>
        <v>3.4425665038126151E+25</v>
      </c>
      <c r="O182" s="35">
        <f t="shared" si="26"/>
        <v>1115.6598233483019</v>
      </c>
      <c r="P182" s="35">
        <f t="shared" si="27"/>
        <v>40.237658968690191</v>
      </c>
      <c r="Q182" s="35">
        <f t="shared" si="28"/>
        <v>-5.3888968690195327E-2</v>
      </c>
      <c r="R182" s="35">
        <f t="shared" si="29"/>
        <v>5.7363376720846473E-2</v>
      </c>
      <c r="S182" s="18">
        <v>965.03488126461923</v>
      </c>
      <c r="T182" s="35">
        <f t="shared" si="30"/>
        <v>39.922715056185112</v>
      </c>
      <c r="U182" s="35">
        <f t="shared" si="31"/>
        <v>0.2610549438148837</v>
      </c>
      <c r="V182" s="35">
        <f t="shared" si="32"/>
        <v>1.346166591411202</v>
      </c>
    </row>
    <row r="183" spans="1:22" x14ac:dyDescent="0.25">
      <c r="A183" s="34" t="s">
        <v>206</v>
      </c>
      <c r="B183" s="16">
        <v>0.21099999999999999</v>
      </c>
      <c r="C183" s="8">
        <v>1E-3</v>
      </c>
      <c r="D183" s="8">
        <v>21.084</v>
      </c>
      <c r="E183" s="8">
        <v>2.5999999999999999E-2</v>
      </c>
      <c r="F183" s="8">
        <v>0.85599999999999998</v>
      </c>
      <c r="G183" s="8">
        <v>2.4E-2</v>
      </c>
      <c r="H183" s="8">
        <v>2.3E-2</v>
      </c>
      <c r="I183" s="8">
        <v>2.1000000000000001E-2</v>
      </c>
      <c r="J183" s="8">
        <v>0.12</v>
      </c>
      <c r="K183" s="38">
        <f t="shared" si="22"/>
        <v>0.191</v>
      </c>
      <c r="L183" s="38">
        <f t="shared" si="23"/>
        <v>40.330842000000004</v>
      </c>
      <c r="M183" s="29">
        <f t="shared" si="24"/>
        <v>1164.5775130097231</v>
      </c>
      <c r="N183" s="29">
        <f t="shared" si="25"/>
        <v>3.5327359231705814E+25</v>
      </c>
      <c r="O183" s="35">
        <f t="shared" si="26"/>
        <v>1144.8817420420773</v>
      </c>
      <c r="P183" s="35">
        <f t="shared" si="27"/>
        <v>40.293803147654771</v>
      </c>
      <c r="Q183" s="35">
        <f t="shared" si="28"/>
        <v>3.7038852345233408E-2</v>
      </c>
      <c r="R183" s="35">
        <f t="shared" si="29"/>
        <v>3.7605235137523708E-2</v>
      </c>
      <c r="S183" s="18">
        <v>991.32206054725373</v>
      </c>
      <c r="T183" s="35">
        <f t="shared" si="30"/>
        <v>39.981073854644954</v>
      </c>
      <c r="U183" s="35">
        <f t="shared" si="31"/>
        <v>0.34976814535504985</v>
      </c>
      <c r="V183" s="35">
        <f t="shared" si="32"/>
        <v>3.3534649682056763</v>
      </c>
    </row>
    <row r="184" spans="1:22" x14ac:dyDescent="0.25">
      <c r="A184" s="34" t="s">
        <v>207</v>
      </c>
      <c r="B184" s="16">
        <v>0.21199999999999999</v>
      </c>
      <c r="C184" s="8">
        <v>0</v>
      </c>
      <c r="D184" s="8">
        <v>21.225000000000001</v>
      </c>
      <c r="E184" s="8">
        <v>3.3000000000000002E-2</v>
      </c>
      <c r="F184" s="8">
        <v>1.0169999999999999</v>
      </c>
      <c r="G184" s="8">
        <v>4.2999999999999997E-2</v>
      </c>
      <c r="H184" s="8">
        <v>0.155</v>
      </c>
      <c r="I184" s="8">
        <v>2.8000000000000001E-2</v>
      </c>
      <c r="J184" s="8">
        <v>0.12</v>
      </c>
      <c r="K184" s="38">
        <f t="shared" si="22"/>
        <v>0.22399999999999998</v>
      </c>
      <c r="L184" s="38">
        <f t="shared" si="23"/>
        <v>40.082349000000001</v>
      </c>
      <c r="M184" s="29">
        <f t="shared" si="24"/>
        <v>1038.651374099584</v>
      </c>
      <c r="N184" s="29">
        <f t="shared" si="25"/>
        <v>3.5508038067505042E+25</v>
      </c>
      <c r="O184" s="35">
        <f t="shared" si="26"/>
        <v>1150.7371443358979</v>
      </c>
      <c r="P184" s="35">
        <f t="shared" si="27"/>
        <v>40.304880658976415</v>
      </c>
      <c r="Q184" s="35">
        <f t="shared" si="28"/>
        <v>-0.2225316589764148</v>
      </c>
      <c r="R184" s="35">
        <f t="shared" si="29"/>
        <v>0.98693278154486963</v>
      </c>
      <c r="S184" s="18">
        <v>996.59446198491787</v>
      </c>
      <c r="T184" s="35">
        <f t="shared" si="30"/>
        <v>39.992592347468019</v>
      </c>
      <c r="U184" s="35">
        <f t="shared" si="31"/>
        <v>8.9756652531981729E-2</v>
      </c>
      <c r="V184" s="35">
        <f t="shared" si="32"/>
        <v>0.1605599624072645</v>
      </c>
    </row>
    <row r="185" spans="1:22" x14ac:dyDescent="0.25">
      <c r="A185" s="34" t="s">
        <v>208</v>
      </c>
      <c r="B185" s="16">
        <v>0.21299999999999999</v>
      </c>
      <c r="C185" s="8">
        <v>0</v>
      </c>
      <c r="D185" s="8">
        <v>20.832000000000001</v>
      </c>
      <c r="E185" s="8">
        <v>0.03</v>
      </c>
      <c r="F185" s="8">
        <v>0.995</v>
      </c>
      <c r="G185" s="8">
        <v>2.7E-2</v>
      </c>
      <c r="H185" s="8">
        <v>2E-3</v>
      </c>
      <c r="I185" s="8">
        <v>2.5000000000000001E-2</v>
      </c>
      <c r="J185" s="8">
        <v>0.12</v>
      </c>
      <c r="K185" s="38">
        <f t="shared" si="22"/>
        <v>0.20199999999999999</v>
      </c>
      <c r="L185" s="38">
        <f t="shared" si="23"/>
        <v>40.165005000000001</v>
      </c>
      <c r="M185" s="29">
        <f t="shared" si="24"/>
        <v>1078.9492065993288</v>
      </c>
      <c r="N185" s="29">
        <f t="shared" si="25"/>
        <v>3.5688829877180724E+25</v>
      </c>
      <c r="O185" s="35">
        <f t="shared" si="26"/>
        <v>1156.596207863711</v>
      </c>
      <c r="P185" s="35">
        <f t="shared" si="27"/>
        <v>40.315908820234881</v>
      </c>
      <c r="Q185" s="35">
        <f t="shared" si="28"/>
        <v>-0.15090382023488047</v>
      </c>
      <c r="R185" s="35">
        <f t="shared" si="29"/>
        <v>0.55808163320951676</v>
      </c>
      <c r="S185" s="18">
        <v>1001.871837940022</v>
      </c>
      <c r="T185" s="35">
        <f t="shared" si="30"/>
        <v>40.004060845004553</v>
      </c>
      <c r="U185" s="35">
        <f t="shared" si="31"/>
        <v>0.16094415499544823</v>
      </c>
      <c r="V185" s="35">
        <f t="shared" si="32"/>
        <v>0.6348157295166863</v>
      </c>
    </row>
    <row r="186" spans="1:22" x14ac:dyDescent="0.25">
      <c r="A186" s="34" t="s">
        <v>209</v>
      </c>
      <c r="B186" s="16">
        <v>0.214</v>
      </c>
      <c r="C186" s="8">
        <v>0</v>
      </c>
      <c r="D186" s="8">
        <v>20.811</v>
      </c>
      <c r="E186" s="8">
        <v>4.9000000000000002E-2</v>
      </c>
      <c r="F186" s="8">
        <v>1.0980000000000001</v>
      </c>
      <c r="G186" s="8">
        <v>4.3999999999999997E-2</v>
      </c>
      <c r="H186" s="8">
        <v>-1E-3</v>
      </c>
      <c r="I186" s="8">
        <v>3.3000000000000002E-2</v>
      </c>
      <c r="J186" s="8">
        <v>0.12</v>
      </c>
      <c r="K186" s="38">
        <f t="shared" si="22"/>
        <v>0.246</v>
      </c>
      <c r="L186" s="38">
        <f t="shared" si="23"/>
        <v>40.168536000000003</v>
      </c>
      <c r="M186" s="29">
        <f t="shared" si="24"/>
        <v>1080.7050975870211</v>
      </c>
      <c r="N186" s="29">
        <f t="shared" si="25"/>
        <v>3.586973450765171E+25</v>
      </c>
      <c r="O186" s="35">
        <f t="shared" si="26"/>
        <v>1162.458927664494</v>
      </c>
      <c r="P186" s="35">
        <f t="shared" si="27"/>
        <v>40.326888086073247</v>
      </c>
      <c r="Q186" s="35">
        <f t="shared" si="28"/>
        <v>-0.15835208607324347</v>
      </c>
      <c r="R186" s="35">
        <f t="shared" si="29"/>
        <v>0.4143595605087565</v>
      </c>
      <c r="S186" s="18">
        <v>1007.1541824185057</v>
      </c>
      <c r="T186" s="35">
        <f t="shared" si="30"/>
        <v>40.015479802856959</v>
      </c>
      <c r="U186" s="35">
        <f t="shared" si="31"/>
        <v>0.15305619714304441</v>
      </c>
      <c r="V186" s="35">
        <f t="shared" si="32"/>
        <v>0.38710753327864494</v>
      </c>
    </row>
    <row r="187" spans="1:22" x14ac:dyDescent="0.25">
      <c r="A187" s="34" t="s">
        <v>210</v>
      </c>
      <c r="B187" s="16">
        <v>0.217</v>
      </c>
      <c r="C187" s="8">
        <v>0</v>
      </c>
      <c r="D187" s="8">
        <v>20.907</v>
      </c>
      <c r="E187" s="8">
        <v>8.2000000000000003E-2</v>
      </c>
      <c r="F187" s="8">
        <v>1.0580000000000001</v>
      </c>
      <c r="G187" s="8">
        <v>0.13300000000000001</v>
      </c>
      <c r="H187" s="8">
        <v>-7.2999999999999995E-2</v>
      </c>
      <c r="I187" s="8">
        <v>3.9E-2</v>
      </c>
      <c r="J187" s="8">
        <v>0.12</v>
      </c>
      <c r="K187" s="38">
        <f t="shared" si="22"/>
        <v>0.374</v>
      </c>
      <c r="L187" s="38">
        <f t="shared" si="23"/>
        <v>40.484015999999997</v>
      </c>
      <c r="M187" s="29">
        <f t="shared" si="24"/>
        <v>1249.6926052526978</v>
      </c>
      <c r="N187" s="29">
        <f t="shared" si="25"/>
        <v>3.6413123797168199E+25</v>
      </c>
      <c r="O187" s="35">
        <f t="shared" si="26"/>
        <v>1180.0689752287146</v>
      </c>
      <c r="P187" s="35">
        <f t="shared" si="27"/>
        <v>40.359536963165155</v>
      </c>
      <c r="Q187" s="35">
        <f t="shared" si="28"/>
        <v>0.12447903683484185</v>
      </c>
      <c r="R187" s="35">
        <f t="shared" si="29"/>
        <v>0.11077690676978119</v>
      </c>
      <c r="S187" s="18">
        <v>1023.0309671294472</v>
      </c>
      <c r="T187" s="35">
        <f t="shared" si="30"/>
        <v>40.049443899987438</v>
      </c>
      <c r="U187" s="35">
        <f t="shared" si="31"/>
        <v>0.4345721000125593</v>
      </c>
      <c r="V187" s="35">
        <f t="shared" si="32"/>
        <v>1.3501452008159072</v>
      </c>
    </row>
    <row r="188" spans="1:22" x14ac:dyDescent="0.25">
      <c r="A188" s="34" t="s">
        <v>211</v>
      </c>
      <c r="B188" s="16">
        <v>0.218</v>
      </c>
      <c r="C188" s="8">
        <v>0</v>
      </c>
      <c r="D188" s="8">
        <v>21.056999999999999</v>
      </c>
      <c r="E188" s="8">
        <v>6.0999999999999999E-2</v>
      </c>
      <c r="F188" s="8">
        <v>0.83</v>
      </c>
      <c r="G188" s="8">
        <v>3.9E-2</v>
      </c>
      <c r="H188" s="8">
        <v>-0.11799999999999999</v>
      </c>
      <c r="I188" s="8">
        <v>4.9000000000000002E-2</v>
      </c>
      <c r="J188" s="8">
        <v>0.12</v>
      </c>
      <c r="K188" s="38">
        <f t="shared" si="22"/>
        <v>0.26900000000000002</v>
      </c>
      <c r="L188" s="38">
        <f t="shared" si="23"/>
        <v>40.741349999999997</v>
      </c>
      <c r="M188" s="29">
        <f t="shared" si="24"/>
        <v>1406.9219328094589</v>
      </c>
      <c r="N188" s="29">
        <f t="shared" si="25"/>
        <v>3.659447818552866E+25</v>
      </c>
      <c r="O188" s="35">
        <f t="shared" si="26"/>
        <v>1185.9462706900395</v>
      </c>
      <c r="P188" s="35">
        <f t="shared" si="27"/>
        <v>40.370325068786222</v>
      </c>
      <c r="Q188" s="35">
        <f t="shared" si="28"/>
        <v>0.37102493121377478</v>
      </c>
      <c r="R188" s="35">
        <f t="shared" si="29"/>
        <v>1.9023990766046117</v>
      </c>
      <c r="S188" s="18">
        <v>1028.3331258620142</v>
      </c>
      <c r="T188" s="35">
        <f t="shared" si="30"/>
        <v>40.060669130142685</v>
      </c>
      <c r="U188" s="35">
        <f t="shared" si="31"/>
        <v>0.68068086985731213</v>
      </c>
      <c r="V188" s="35">
        <f t="shared" si="32"/>
        <v>6.4029856772253986</v>
      </c>
    </row>
    <row r="189" spans="1:22" x14ac:dyDescent="0.25">
      <c r="A189" s="34" t="s">
        <v>212</v>
      </c>
      <c r="B189" s="16">
        <v>0.219</v>
      </c>
      <c r="C189" s="8">
        <v>1E-3</v>
      </c>
      <c r="D189" s="8">
        <v>20.867000000000001</v>
      </c>
      <c r="E189" s="8">
        <v>2.5000000000000001E-2</v>
      </c>
      <c r="F189" s="8">
        <v>1.069</v>
      </c>
      <c r="G189" s="8">
        <v>1.2999999999999999E-2</v>
      </c>
      <c r="H189" s="8">
        <v>-1.6E-2</v>
      </c>
      <c r="I189" s="8">
        <v>2.1000000000000001E-2</v>
      </c>
      <c r="J189" s="8">
        <v>0.12</v>
      </c>
      <c r="K189" s="38">
        <f t="shared" si="22"/>
        <v>0.17899999999999999</v>
      </c>
      <c r="L189" s="38">
        <f t="shared" si="23"/>
        <v>40.267223000000001</v>
      </c>
      <c r="M189" s="29">
        <f t="shared" si="24"/>
        <v>1130.9531121176331</v>
      </c>
      <c r="N189" s="29">
        <f t="shared" si="25"/>
        <v>3.6775944633413011E+25</v>
      </c>
      <c r="O189" s="35">
        <f t="shared" si="26"/>
        <v>1191.8271977532083</v>
      </c>
      <c r="P189" s="35">
        <f t="shared" si="27"/>
        <v>40.381066459477083</v>
      </c>
      <c r="Q189" s="35">
        <f t="shared" si="28"/>
        <v>-0.11384345947708141</v>
      </c>
      <c r="R189" s="35">
        <f t="shared" si="29"/>
        <v>0.40449215897474727</v>
      </c>
      <c r="S189" s="18">
        <v>1033.6402232236346</v>
      </c>
      <c r="T189" s="35">
        <f t="shared" si="30"/>
        <v>40.071847005887463</v>
      </c>
      <c r="U189" s="35">
        <f t="shared" si="31"/>
        <v>0.19537599411253836</v>
      </c>
      <c r="V189" s="35">
        <f t="shared" si="32"/>
        <v>1.1913416895684474</v>
      </c>
    </row>
    <row r="190" spans="1:22" x14ac:dyDescent="0.25">
      <c r="A190" s="34" t="s">
        <v>213</v>
      </c>
      <c r="B190" s="16">
        <v>0.219</v>
      </c>
      <c r="C190" s="8">
        <v>0</v>
      </c>
      <c r="D190" s="8">
        <v>21.103999999999999</v>
      </c>
      <c r="E190" s="8">
        <v>4.3999999999999997E-2</v>
      </c>
      <c r="F190" s="8">
        <v>1.0549999999999999</v>
      </c>
      <c r="G190" s="8">
        <v>3.9E-2</v>
      </c>
      <c r="H190" s="8">
        <v>2.7E-2</v>
      </c>
      <c r="I190" s="8">
        <v>0.03</v>
      </c>
      <c r="J190" s="8">
        <v>0.12</v>
      </c>
      <c r="K190" s="38">
        <f t="shared" si="22"/>
        <v>0.23299999999999998</v>
      </c>
      <c r="L190" s="38">
        <f t="shared" si="23"/>
        <v>40.367575000000002</v>
      </c>
      <c r="M190" s="29">
        <f t="shared" si="24"/>
        <v>1184.4452755812238</v>
      </c>
      <c r="N190" s="29">
        <f t="shared" si="25"/>
        <v>3.6775944633413011E+25</v>
      </c>
      <c r="O190" s="35">
        <f t="shared" si="26"/>
        <v>1191.8271977532083</v>
      </c>
      <c r="P190" s="35">
        <f t="shared" si="27"/>
        <v>40.381066459477083</v>
      </c>
      <c r="Q190" s="35">
        <f t="shared" si="28"/>
        <v>-1.3491459477080525E-2</v>
      </c>
      <c r="R190" s="35">
        <f t="shared" si="29"/>
        <v>3.3527874674741838E-3</v>
      </c>
      <c r="S190" s="18">
        <v>1033.6402232236346</v>
      </c>
      <c r="T190" s="35">
        <f t="shared" si="30"/>
        <v>40.071847005887463</v>
      </c>
      <c r="U190" s="35">
        <f t="shared" si="31"/>
        <v>0.29572799411253925</v>
      </c>
      <c r="V190" s="35">
        <f t="shared" si="32"/>
        <v>1.6109165116658266</v>
      </c>
    </row>
    <row r="191" spans="1:22" x14ac:dyDescent="0.25">
      <c r="A191" s="34" t="s">
        <v>214</v>
      </c>
      <c r="B191" s="16">
        <v>0.22</v>
      </c>
      <c r="C191" s="8">
        <v>0</v>
      </c>
      <c r="D191" s="8">
        <v>21.172999999999998</v>
      </c>
      <c r="E191" s="8">
        <v>3.4000000000000002E-2</v>
      </c>
      <c r="F191" s="8">
        <v>0.97599999999999998</v>
      </c>
      <c r="G191" s="8">
        <v>3.1E-2</v>
      </c>
      <c r="H191" s="8">
        <v>4.5999999999999999E-2</v>
      </c>
      <c r="I191" s="8">
        <v>2.5000000000000001E-2</v>
      </c>
      <c r="J191" s="8">
        <v>0.12</v>
      </c>
      <c r="K191" s="38">
        <f t="shared" si="22"/>
        <v>0.21</v>
      </c>
      <c r="L191" s="38">
        <f t="shared" si="23"/>
        <v>40.365492000000003</v>
      </c>
      <c r="M191" s="29">
        <f t="shared" si="24"/>
        <v>1183.3096329926391</v>
      </c>
      <c r="N191" s="29">
        <f t="shared" si="25"/>
        <v>3.6957522989389413E+25</v>
      </c>
      <c r="O191" s="35">
        <f t="shared" si="26"/>
        <v>1197.7117515106493</v>
      </c>
      <c r="P191" s="35">
        <f t="shared" si="27"/>
        <v>40.391761553576202</v>
      </c>
      <c r="Q191" s="35">
        <f t="shared" si="28"/>
        <v>-2.6269553576199201E-2</v>
      </c>
      <c r="R191" s="35">
        <f t="shared" si="29"/>
        <v>1.5648286736798193E-2</v>
      </c>
      <c r="S191" s="18">
        <v>1038.952253250719</v>
      </c>
      <c r="T191" s="35">
        <f t="shared" si="30"/>
        <v>40.082977946514397</v>
      </c>
      <c r="U191" s="35">
        <f t="shared" si="31"/>
        <v>0.2825140534856061</v>
      </c>
      <c r="V191" s="35">
        <f t="shared" si="32"/>
        <v>1.8098455876840798</v>
      </c>
    </row>
    <row r="192" spans="1:22" x14ac:dyDescent="0.25">
      <c r="A192" s="34" t="s">
        <v>215</v>
      </c>
      <c r="B192" s="16">
        <v>0.23</v>
      </c>
      <c r="C192" s="8">
        <v>0</v>
      </c>
      <c r="D192" s="8">
        <v>20.798999999999999</v>
      </c>
      <c r="E192" s="8">
        <v>3.7999999999999999E-2</v>
      </c>
      <c r="F192" s="8">
        <v>1.0920000000000001</v>
      </c>
      <c r="G192" s="8">
        <v>2.5000000000000001E-2</v>
      </c>
      <c r="H192" s="8">
        <v>-6.8000000000000005E-2</v>
      </c>
      <c r="I192" s="8">
        <v>2.8000000000000001E-2</v>
      </c>
      <c r="J192" s="8">
        <v>0.12</v>
      </c>
      <c r="K192" s="38">
        <f t="shared" si="22"/>
        <v>0.21099999999999999</v>
      </c>
      <c r="L192" s="38">
        <f t="shared" si="23"/>
        <v>40.365364</v>
      </c>
      <c r="M192" s="29">
        <f t="shared" si="24"/>
        <v>1183.2398834676858</v>
      </c>
      <c r="N192" s="29">
        <f t="shared" si="25"/>
        <v>3.8779428373437269E+25</v>
      </c>
      <c r="O192" s="35">
        <f t="shared" si="26"/>
        <v>1256.7556838986811</v>
      </c>
      <c r="P192" s="35">
        <f t="shared" si="27"/>
        <v>40.496254290388769</v>
      </c>
      <c r="Q192" s="35">
        <f t="shared" si="28"/>
        <v>-0.13089029038876987</v>
      </c>
      <c r="R192" s="35">
        <f t="shared" si="29"/>
        <v>0.38481319193316643</v>
      </c>
      <c r="S192" s="18">
        <v>1092.3425418059824</v>
      </c>
      <c r="T192" s="35">
        <f t="shared" si="30"/>
        <v>40.19179423895288</v>
      </c>
      <c r="U192" s="35">
        <f t="shared" si="31"/>
        <v>0.17356976104711919</v>
      </c>
      <c r="V192" s="35">
        <f t="shared" si="32"/>
        <v>0.67667981289625245</v>
      </c>
    </row>
    <row r="193" spans="1:22" x14ac:dyDescent="0.25">
      <c r="A193" s="34" t="s">
        <v>10</v>
      </c>
      <c r="B193" s="16">
        <v>0.24399999999999999</v>
      </c>
      <c r="C193" s="8">
        <v>0</v>
      </c>
      <c r="D193" s="8">
        <v>20.995000000000001</v>
      </c>
      <c r="E193" s="8">
        <v>4.8000000000000001E-2</v>
      </c>
      <c r="F193" s="8">
        <v>1.109</v>
      </c>
      <c r="G193" s="8">
        <v>0.08</v>
      </c>
      <c r="H193" s="8">
        <v>3.9E-2</v>
      </c>
      <c r="I193" s="8">
        <v>3.6999999999999998E-2</v>
      </c>
      <c r="J193" s="8">
        <v>0.12</v>
      </c>
      <c r="K193" s="38">
        <f t="shared" si="22"/>
        <v>0.28500000000000003</v>
      </c>
      <c r="L193" s="38">
        <f t="shared" si="23"/>
        <v>40.228953000000004</v>
      </c>
      <c r="M193" s="29">
        <f t="shared" si="24"/>
        <v>1111.1958224528523</v>
      </c>
      <c r="N193" s="29">
        <f t="shared" si="25"/>
        <v>4.1348586975100055E+25</v>
      </c>
      <c r="O193" s="35">
        <f t="shared" si="26"/>
        <v>1340.0164438145887</v>
      </c>
      <c r="P193" s="35">
        <f t="shared" si="27"/>
        <v>40.635550638891651</v>
      </c>
      <c r="Q193" s="35">
        <f t="shared" si="28"/>
        <v>-0.4065976388916468</v>
      </c>
      <c r="R193" s="35">
        <f t="shared" si="29"/>
        <v>2.0353541391475773</v>
      </c>
      <c r="S193" s="18">
        <v>1167.9053589077171</v>
      </c>
      <c r="T193" s="35">
        <f t="shared" si="30"/>
        <v>40.33703825596475</v>
      </c>
      <c r="U193" s="35">
        <f t="shared" si="31"/>
        <v>-0.10808525596474539</v>
      </c>
      <c r="V193" s="35">
        <f t="shared" si="32"/>
        <v>0.14382791698325054</v>
      </c>
    </row>
    <row r="194" spans="1:22" x14ac:dyDescent="0.25">
      <c r="A194" s="34" t="s">
        <v>216</v>
      </c>
      <c r="B194" s="16">
        <v>0.245</v>
      </c>
      <c r="C194" s="8">
        <v>0</v>
      </c>
      <c r="D194" s="8">
        <v>20.791</v>
      </c>
      <c r="E194" s="8">
        <v>4.1000000000000002E-2</v>
      </c>
      <c r="F194" s="8">
        <v>1.1200000000000001</v>
      </c>
      <c r="G194" s="8">
        <v>2.9000000000000001E-2</v>
      </c>
      <c r="H194" s="8">
        <v>-0.06</v>
      </c>
      <c r="I194" s="8">
        <v>2.9000000000000001E-2</v>
      </c>
      <c r="J194" s="8">
        <v>0.12</v>
      </c>
      <c r="K194" s="38">
        <f t="shared" si="22"/>
        <v>0.219</v>
      </c>
      <c r="L194" s="38">
        <f t="shared" si="23"/>
        <v>40.336439999999996</v>
      </c>
      <c r="M194" s="29">
        <f t="shared" si="24"/>
        <v>1167.5836370641669</v>
      </c>
      <c r="N194" s="29">
        <f t="shared" si="25"/>
        <v>4.1532914605135916E+25</v>
      </c>
      <c r="O194" s="35">
        <f t="shared" si="26"/>
        <v>1345.9900954764016</v>
      </c>
      <c r="P194" s="35">
        <f t="shared" si="27"/>
        <v>40.645209320629348</v>
      </c>
      <c r="Q194" s="35">
        <f t="shared" si="28"/>
        <v>-0.30876932062935225</v>
      </c>
      <c r="R194" s="35">
        <f t="shared" si="29"/>
        <v>1.9878337266093646</v>
      </c>
      <c r="S194" s="18">
        <v>1173.3387825649461</v>
      </c>
      <c r="T194" s="35">
        <f t="shared" si="30"/>
        <v>40.347117128589467</v>
      </c>
      <c r="U194" s="35">
        <f t="shared" si="31"/>
        <v>-1.0677128589470897E-2</v>
      </c>
      <c r="V194" s="35">
        <f t="shared" si="32"/>
        <v>2.3769536689413648E-3</v>
      </c>
    </row>
    <row r="195" spans="1:22" x14ac:dyDescent="0.25">
      <c r="A195" s="34" t="s">
        <v>217</v>
      </c>
      <c r="B195" s="16">
        <v>0.246</v>
      </c>
      <c r="C195" s="8">
        <v>1E-3</v>
      </c>
      <c r="D195" s="8">
        <v>21.521000000000001</v>
      </c>
      <c r="E195" s="8">
        <v>3.2000000000000001E-2</v>
      </c>
      <c r="F195" s="8">
        <v>0.91200000000000003</v>
      </c>
      <c r="G195" s="8">
        <v>2.7E-2</v>
      </c>
      <c r="H195" s="8">
        <v>3.4000000000000002E-2</v>
      </c>
      <c r="I195" s="8">
        <v>2.5000000000000001E-2</v>
      </c>
      <c r="J195" s="8">
        <v>0.12</v>
      </c>
      <c r="K195" s="38">
        <f t="shared" si="22"/>
        <v>0.20399999999999999</v>
      </c>
      <c r="L195" s="38">
        <f t="shared" si="23"/>
        <v>40.741644000000001</v>
      </c>
      <c r="M195" s="29">
        <f t="shared" si="24"/>
        <v>1407.1124316843902</v>
      </c>
      <c r="N195" s="29">
        <f t="shared" si="25"/>
        <v>4.1717350299998182E+25</v>
      </c>
      <c r="O195" s="35">
        <f t="shared" si="26"/>
        <v>1351.9672492807297</v>
      </c>
      <c r="P195" s="35">
        <f t="shared" si="27"/>
        <v>40.654830855850079</v>
      </c>
      <c r="Q195" s="35">
        <f t="shared" si="28"/>
        <v>8.6813144149921584E-2</v>
      </c>
      <c r="R195" s="35">
        <f t="shared" si="29"/>
        <v>0.18109674157043121</v>
      </c>
      <c r="S195" s="18">
        <v>1178.7769856620828</v>
      </c>
      <c r="T195" s="35">
        <f t="shared" si="30"/>
        <v>40.357158240667466</v>
      </c>
      <c r="U195" s="35">
        <f t="shared" si="31"/>
        <v>0.38448575933253437</v>
      </c>
      <c r="V195" s="35">
        <f t="shared" si="32"/>
        <v>3.552222681889551</v>
      </c>
    </row>
    <row r="196" spans="1:22" x14ac:dyDescent="0.25">
      <c r="A196" s="34" t="s">
        <v>218</v>
      </c>
      <c r="B196" s="16">
        <v>0.25</v>
      </c>
      <c r="C196" s="8">
        <v>0</v>
      </c>
      <c r="D196" s="8">
        <v>20.957999999999998</v>
      </c>
      <c r="E196" s="8">
        <v>3.6999999999999998E-2</v>
      </c>
      <c r="F196" s="8">
        <v>1.0549999999999999</v>
      </c>
      <c r="G196" s="8">
        <v>3.4000000000000002E-2</v>
      </c>
      <c r="H196" s="8">
        <v>-3.7999999999999999E-2</v>
      </c>
      <c r="I196" s="8">
        <v>2.9000000000000001E-2</v>
      </c>
      <c r="J196" s="8">
        <v>0.12</v>
      </c>
      <c r="K196" s="38">
        <f t="shared" si="22"/>
        <v>0.22</v>
      </c>
      <c r="L196" s="38">
        <f t="shared" si="23"/>
        <v>40.425024999999998</v>
      </c>
      <c r="M196" s="29">
        <f t="shared" si="24"/>
        <v>1216.2000025857469</v>
      </c>
      <c r="N196" s="29">
        <f t="shared" si="25"/>
        <v>4.2456170845982628E+25</v>
      </c>
      <c r="O196" s="35">
        <f t="shared" si="26"/>
        <v>1375.9107925327257</v>
      </c>
      <c r="P196" s="35">
        <f t="shared" si="27"/>
        <v>40.692951386188277</v>
      </c>
      <c r="Q196" s="35">
        <f t="shared" si="28"/>
        <v>-0.2679263861882788</v>
      </c>
      <c r="R196" s="35">
        <f t="shared" si="29"/>
        <v>1.4831518267750148</v>
      </c>
      <c r="S196" s="18">
        <v>1200.5774760965946</v>
      </c>
      <c r="T196" s="35">
        <f t="shared" si="30"/>
        <v>40.396950956723799</v>
      </c>
      <c r="U196" s="35">
        <f t="shared" si="31"/>
        <v>2.8074043276198779E-2</v>
      </c>
      <c r="V196" s="35">
        <f t="shared" si="32"/>
        <v>1.6284130286650451E-2</v>
      </c>
    </row>
    <row r="197" spans="1:22" x14ac:dyDescent="0.25">
      <c r="A197" s="34" t="s">
        <v>219</v>
      </c>
      <c r="B197" s="16">
        <v>0.25</v>
      </c>
      <c r="C197" s="8">
        <v>0</v>
      </c>
      <c r="D197" s="8">
        <v>21.891999999999999</v>
      </c>
      <c r="E197" s="8">
        <v>2.8000000000000001E-2</v>
      </c>
      <c r="F197" s="8">
        <v>0.94899999999999995</v>
      </c>
      <c r="G197" s="8">
        <v>1.4999999999999999E-2</v>
      </c>
      <c r="H197" s="8">
        <v>0.16</v>
      </c>
      <c r="I197" s="8">
        <v>2.3E-2</v>
      </c>
      <c r="J197" s="8">
        <v>0.12</v>
      </c>
      <c r="K197" s="38">
        <f t="shared" si="22"/>
        <v>0.186</v>
      </c>
      <c r="L197" s="38">
        <f t="shared" si="23"/>
        <v>40.723703</v>
      </c>
      <c r="M197" s="29">
        <f t="shared" si="24"/>
        <v>1395.5345724291051</v>
      </c>
      <c r="N197" s="29">
        <f t="shared" si="25"/>
        <v>4.2456170845982628E+25</v>
      </c>
      <c r="O197" s="35">
        <f t="shared" si="26"/>
        <v>1375.9107925327257</v>
      </c>
      <c r="P197" s="35">
        <f t="shared" si="27"/>
        <v>40.692951386188277</v>
      </c>
      <c r="Q197" s="35">
        <f t="shared" si="28"/>
        <v>3.0751613811723644E-2</v>
      </c>
      <c r="R197" s="35">
        <f t="shared" si="29"/>
        <v>2.7334424558486309E-2</v>
      </c>
      <c r="S197" s="18">
        <v>1200.5774760965946</v>
      </c>
      <c r="T197" s="35">
        <f t="shared" si="30"/>
        <v>40.396950956723799</v>
      </c>
      <c r="U197" s="35">
        <f t="shared" si="31"/>
        <v>0.32675204327620122</v>
      </c>
      <c r="V197" s="35">
        <f t="shared" si="32"/>
        <v>3.0861052660762076</v>
      </c>
    </row>
    <row r="198" spans="1:22" x14ac:dyDescent="0.25">
      <c r="A198" s="34" t="s">
        <v>220</v>
      </c>
      <c r="B198" s="16">
        <v>0.251</v>
      </c>
      <c r="C198" s="8">
        <v>0</v>
      </c>
      <c r="D198" s="8">
        <v>21.539000000000001</v>
      </c>
      <c r="E198" s="8">
        <v>0.04</v>
      </c>
      <c r="F198" s="8">
        <v>1.1639999999999999</v>
      </c>
      <c r="G198" s="8">
        <v>3.2000000000000001E-2</v>
      </c>
      <c r="H198" s="8">
        <v>0.03</v>
      </c>
      <c r="I198" s="8">
        <v>3.2000000000000001E-2</v>
      </c>
      <c r="J198" s="8">
        <v>0.12</v>
      </c>
      <c r="K198" s="38">
        <f t="shared" si="22"/>
        <v>0.224</v>
      </c>
      <c r="L198" s="38">
        <f t="shared" si="23"/>
        <v>40.809207999999998</v>
      </c>
      <c r="M198" s="29">
        <f t="shared" si="24"/>
        <v>1451.5820862481173</v>
      </c>
      <c r="N198" s="29">
        <f t="shared" si="25"/>
        <v>4.2641144705920752E+25</v>
      </c>
      <c r="O198" s="35">
        <f t="shared" si="26"/>
        <v>1381.9053870793834</v>
      </c>
      <c r="P198" s="35">
        <f t="shared" si="27"/>
        <v>40.702391549214312</v>
      </c>
      <c r="Q198" s="35">
        <f t="shared" si="28"/>
        <v>0.10681645078568636</v>
      </c>
      <c r="R198" s="35">
        <f t="shared" si="29"/>
        <v>0.22739465398698488</v>
      </c>
      <c r="S198" s="18">
        <v>1206.0394891757217</v>
      </c>
      <c r="T198" s="35">
        <f t="shared" si="30"/>
        <v>40.406807640390227</v>
      </c>
      <c r="U198" s="35">
        <f t="shared" si="31"/>
        <v>0.40240035960977139</v>
      </c>
      <c r="V198" s="35">
        <f t="shared" si="32"/>
        <v>3.2271613802230807</v>
      </c>
    </row>
    <row r="199" spans="1:22" x14ac:dyDescent="0.25">
      <c r="A199" s="34" t="s">
        <v>221</v>
      </c>
      <c r="B199" s="16">
        <v>0.252</v>
      </c>
      <c r="C199" s="8">
        <v>0</v>
      </c>
      <c r="D199" s="8">
        <v>21.355</v>
      </c>
      <c r="E199" s="8">
        <v>3.4000000000000002E-2</v>
      </c>
      <c r="F199" s="8">
        <v>1.175</v>
      </c>
      <c r="G199" s="8">
        <v>3.1E-2</v>
      </c>
      <c r="H199" s="8">
        <v>-1.2E-2</v>
      </c>
      <c r="I199" s="8">
        <v>2.5999999999999999E-2</v>
      </c>
      <c r="J199" s="8">
        <v>0.12</v>
      </c>
      <c r="K199" s="38">
        <f t="shared" ref="K199:K262" si="33">PeakMagnitudeError+StretchError+ColorError+ScatterError</f>
        <v>0.21099999999999999</v>
      </c>
      <c r="L199" s="38">
        <f t="shared" ref="L199:L262" si="34">PeakMagnitude+α*(Stretch-1)-β*Color-Mb</f>
        <v>40.758285000000001</v>
      </c>
      <c r="M199" s="29">
        <f t="shared" ref="M199:M262" si="35">10^((ObservedDistanceModuli-25)/5)</f>
        <v>1417.9372114118282</v>
      </c>
      <c r="N199" s="29">
        <f t="shared" ref="N199:N262" si="36">(RedShift*Age*(2*InitialTangentVelocity-UniverseAcceleration*Age))/(2+RedShift)*(1+RedShift)</f>
        <v>4.282622576885191E+25</v>
      </c>
      <c r="O199" s="35">
        <f t="shared" ref="O199:O262" si="37">N199/Mpc</f>
        <v>1387.903455838439</v>
      </c>
      <c r="P199" s="35">
        <f t="shared" ref="P199:P262" si="38">(LOG10(T2LuminousDistance)*5+25)</f>
        <v>40.711796285727857</v>
      </c>
      <c r="Q199" s="35">
        <f t="shared" ref="Q199:Q262" si="39">ObservedDistanceModuli-T2DistanceModuli</f>
        <v>4.6488714272143739E-2</v>
      </c>
      <c r="R199" s="35">
        <f t="shared" ref="R199:R262" si="40">(ObservedDistanceModuli-T2DistanceModuli)^2/TotalError^2</f>
        <v>4.8543396479796518E-2</v>
      </c>
      <c r="S199" s="18">
        <v>1211.5062468456167</v>
      </c>
      <c r="T199" s="35">
        <f t="shared" ref="T199:T262" si="41">(LOG10(ΛCDMLuminousDistance)*5+25)</f>
        <v>40.416628289080734</v>
      </c>
      <c r="U199" s="35">
        <f t="shared" ref="U199:U262" si="42">ObservedDistanceModuli-ΛCDMDistanceModuli</f>
        <v>0.34165671091926697</v>
      </c>
      <c r="V199" s="35">
        <f t="shared" ref="V199:V262" si="43">(ObservedDistanceModuli-ΛCDMDistanceModuli)^2/TotalError^2</f>
        <v>2.6218932215397581</v>
      </c>
    </row>
    <row r="200" spans="1:22" x14ac:dyDescent="0.25">
      <c r="A200" s="34" t="s">
        <v>222</v>
      </c>
      <c r="B200" s="16">
        <v>0.253</v>
      </c>
      <c r="C200" s="8">
        <v>0</v>
      </c>
      <c r="D200" s="8">
        <v>21.420999999999999</v>
      </c>
      <c r="E200" s="8">
        <v>3.5000000000000003E-2</v>
      </c>
      <c r="F200" s="8">
        <v>0.94899999999999995</v>
      </c>
      <c r="G200" s="8">
        <v>0.03</v>
      </c>
      <c r="H200" s="8">
        <v>1.0999999999999999E-2</v>
      </c>
      <c r="I200" s="8">
        <v>2.5999999999999999E-2</v>
      </c>
      <c r="J200" s="8">
        <v>0.12</v>
      </c>
      <c r="K200" s="38">
        <f t="shared" si="33"/>
        <v>0.21099999999999999</v>
      </c>
      <c r="L200" s="38">
        <f t="shared" si="34"/>
        <v>40.719072999999995</v>
      </c>
      <c r="M200" s="29">
        <f t="shared" si="35"/>
        <v>1392.5621922429029</v>
      </c>
      <c r="N200" s="29">
        <f t="shared" si="36"/>
        <v>4.3011413892029104E+25</v>
      </c>
      <c r="O200" s="35">
        <f t="shared" si="37"/>
        <v>1393.9049941837768</v>
      </c>
      <c r="P200" s="35">
        <f t="shared" si="38"/>
        <v>40.721165870575305</v>
      </c>
      <c r="Q200" s="35">
        <f t="shared" si="39"/>
        <v>-2.0928705753107124E-3</v>
      </c>
      <c r="R200" s="35">
        <f t="shared" si="40"/>
        <v>9.8382948383939992E-5</v>
      </c>
      <c r="S200" s="18">
        <v>1216.9777433170714</v>
      </c>
      <c r="T200" s="35">
        <f t="shared" si="41"/>
        <v>40.426413178566229</v>
      </c>
      <c r="U200" s="35">
        <f t="shared" si="42"/>
        <v>0.2926598214337659</v>
      </c>
      <c r="V200" s="35">
        <f t="shared" si="43"/>
        <v>1.9238060933412042</v>
      </c>
    </row>
    <row r="201" spans="1:22" x14ac:dyDescent="0.25">
      <c r="A201" s="34" t="s">
        <v>223</v>
      </c>
      <c r="B201" s="16">
        <v>0.254</v>
      </c>
      <c r="C201" s="8">
        <v>0</v>
      </c>
      <c r="D201" s="8">
        <v>21.344999999999999</v>
      </c>
      <c r="E201" s="8">
        <v>5.8000000000000003E-2</v>
      </c>
      <c r="F201" s="8">
        <v>1.075</v>
      </c>
      <c r="G201" s="8">
        <v>5.3999999999999999E-2</v>
      </c>
      <c r="H201" s="8">
        <v>4.1000000000000002E-2</v>
      </c>
      <c r="I201" s="8">
        <v>3.9E-2</v>
      </c>
      <c r="J201" s="8">
        <v>0.12</v>
      </c>
      <c r="K201" s="38">
        <f t="shared" si="33"/>
        <v>0.27100000000000002</v>
      </c>
      <c r="L201" s="38">
        <f t="shared" si="34"/>
        <v>40.567695000000001</v>
      </c>
      <c r="M201" s="29">
        <f t="shared" si="35"/>
        <v>1298.7901910148557</v>
      </c>
      <c r="N201" s="29">
        <f t="shared" si="36"/>
        <v>4.3196708932958665E+25</v>
      </c>
      <c r="O201" s="35">
        <f t="shared" si="37"/>
        <v>1399.909997497492</v>
      </c>
      <c r="P201" s="35">
        <f t="shared" si="38"/>
        <v>40.730500575367358</v>
      </c>
      <c r="Q201" s="35">
        <f t="shared" si="39"/>
        <v>-0.16280557536735785</v>
      </c>
      <c r="R201" s="35">
        <f t="shared" si="40"/>
        <v>0.36091087227429408</v>
      </c>
      <c r="S201" s="18">
        <v>1222.4539728063237</v>
      </c>
      <c r="T201" s="35">
        <f t="shared" si="41"/>
        <v>40.436162581380984</v>
      </c>
      <c r="U201" s="35">
        <f t="shared" si="42"/>
        <v>0.13153241861901677</v>
      </c>
      <c r="V201" s="35">
        <f t="shared" si="43"/>
        <v>0.23557382317463363</v>
      </c>
    </row>
    <row r="202" spans="1:22" x14ac:dyDescent="0.25">
      <c r="A202" s="34" t="s">
        <v>224</v>
      </c>
      <c r="B202" s="16">
        <v>0.25700000000000001</v>
      </c>
      <c r="C202" s="8">
        <v>0</v>
      </c>
      <c r="D202" s="8">
        <v>21.452999999999999</v>
      </c>
      <c r="E202" s="8">
        <v>6.9000000000000006E-2</v>
      </c>
      <c r="F202" s="8">
        <v>0.97799999999999998</v>
      </c>
      <c r="G202" s="8">
        <v>6.4000000000000001E-2</v>
      </c>
      <c r="H202" s="8">
        <v>2.1999999999999999E-2</v>
      </c>
      <c r="I202" s="8">
        <v>4.9000000000000002E-2</v>
      </c>
      <c r="J202" s="8">
        <v>0.12</v>
      </c>
      <c r="K202" s="38">
        <f t="shared" si="33"/>
        <v>0.30199999999999999</v>
      </c>
      <c r="L202" s="38">
        <f t="shared" si="34"/>
        <v>40.720905999999999</v>
      </c>
      <c r="M202" s="29">
        <f t="shared" si="35"/>
        <v>1393.7381888323307</v>
      </c>
      <c r="N202" s="29">
        <f t="shared" si="36"/>
        <v>4.3753234141112839E+25</v>
      </c>
      <c r="O202" s="35">
        <f t="shared" si="37"/>
        <v>1417.9457511926066</v>
      </c>
      <c r="P202" s="35">
        <f t="shared" si="38"/>
        <v>40.758298078042074</v>
      </c>
      <c r="Q202" s="35">
        <f t="shared" si="39"/>
        <v>-3.7392078042074672E-2</v>
      </c>
      <c r="R202" s="35">
        <f t="shared" si="40"/>
        <v>1.5330111621251294E-2</v>
      </c>
      <c r="S202" s="18">
        <v>1238.9110016251464</v>
      </c>
      <c r="T202" s="35">
        <f t="shared" si="41"/>
        <v>40.46520054765373</v>
      </c>
      <c r="U202" s="35">
        <f t="shared" si="42"/>
        <v>0.25570545234626962</v>
      </c>
      <c r="V202" s="35">
        <f t="shared" si="43"/>
        <v>0.71691239813616037</v>
      </c>
    </row>
    <row r="203" spans="1:22" x14ac:dyDescent="0.25">
      <c r="A203" s="34" t="s">
        <v>225</v>
      </c>
      <c r="B203" s="16">
        <v>0.25800000000000001</v>
      </c>
      <c r="C203" s="8">
        <v>0</v>
      </c>
      <c r="D203" s="8">
        <v>21.562999999999999</v>
      </c>
      <c r="E203" s="8">
        <v>5.6000000000000001E-2</v>
      </c>
      <c r="F203" s="8">
        <v>0.91800000000000004</v>
      </c>
      <c r="G203" s="8">
        <v>8.2000000000000003E-2</v>
      </c>
      <c r="H203" s="8">
        <v>2.1999999999999999E-2</v>
      </c>
      <c r="I203" s="8">
        <v>4.3999999999999997E-2</v>
      </c>
      <c r="J203" s="8">
        <v>0.12</v>
      </c>
      <c r="K203" s="38">
        <f t="shared" si="33"/>
        <v>0.30199999999999999</v>
      </c>
      <c r="L203" s="38">
        <f t="shared" si="34"/>
        <v>40.822085999999999</v>
      </c>
      <c r="M203" s="29">
        <f t="shared" si="35"/>
        <v>1460.2163267509777</v>
      </c>
      <c r="N203" s="29">
        <f t="shared" si="36"/>
        <v>4.3938955433161929E+25</v>
      </c>
      <c r="O203" s="35">
        <f t="shared" si="37"/>
        <v>1423.9645683643309</v>
      </c>
      <c r="P203" s="35">
        <f t="shared" si="38"/>
        <v>40.767495915762275</v>
      </c>
      <c r="Q203" s="35">
        <f t="shared" si="39"/>
        <v>5.4590084237723602E-2</v>
      </c>
      <c r="R203" s="35">
        <f t="shared" si="40"/>
        <v>3.2674853044622594E-2</v>
      </c>
      <c r="S203" s="18">
        <v>1244.4061054572232</v>
      </c>
      <c r="T203" s="35">
        <f t="shared" si="41"/>
        <v>40.474810666152621</v>
      </c>
      <c r="U203" s="35">
        <f t="shared" si="42"/>
        <v>0.34727533384737796</v>
      </c>
      <c r="V203" s="35">
        <f t="shared" si="43"/>
        <v>1.322312151866232</v>
      </c>
    </row>
    <row r="204" spans="1:22" x14ac:dyDescent="0.25">
      <c r="A204" s="34" t="s">
        <v>226</v>
      </c>
      <c r="B204" s="16">
        <v>0.25900000000000001</v>
      </c>
      <c r="C204" s="8">
        <v>0</v>
      </c>
      <c r="D204" s="8">
        <v>21.632999999999999</v>
      </c>
      <c r="E204" s="8">
        <v>4.3999999999999997E-2</v>
      </c>
      <c r="F204" s="8">
        <v>1.0489999999999999</v>
      </c>
      <c r="G204" s="8">
        <v>4.7E-2</v>
      </c>
      <c r="H204" s="8">
        <v>7.6999999999999999E-2</v>
      </c>
      <c r="I204" s="8">
        <v>3.7999999999999999E-2</v>
      </c>
      <c r="J204" s="8">
        <v>0.12</v>
      </c>
      <c r="K204" s="38">
        <f t="shared" si="33"/>
        <v>0.249</v>
      </c>
      <c r="L204" s="38">
        <f t="shared" si="34"/>
        <v>40.739193</v>
      </c>
      <c r="M204" s="29">
        <f t="shared" si="35"/>
        <v>1405.5250816027226</v>
      </c>
      <c r="N204" s="29">
        <f t="shared" si="36"/>
        <v>4.4124782934275256E+25</v>
      </c>
      <c r="O204" s="35">
        <f t="shared" si="37"/>
        <v>1429.9868275374142</v>
      </c>
      <c r="P204" s="35">
        <f t="shared" si="38"/>
        <v>40.776660184688382</v>
      </c>
      <c r="Q204" s="35">
        <f t="shared" si="39"/>
        <v>-3.7467184688381394E-2</v>
      </c>
      <c r="R204" s="35">
        <f t="shared" si="40"/>
        <v>2.2641407855893955E-2</v>
      </c>
      <c r="S204" s="18">
        <v>1249.9059134703004</v>
      </c>
      <c r="T204" s="35">
        <f t="shared" si="41"/>
        <v>40.484386613846105</v>
      </c>
      <c r="U204" s="35">
        <f t="shared" si="42"/>
        <v>0.25480638615389495</v>
      </c>
      <c r="V204" s="35">
        <f t="shared" si="43"/>
        <v>1.0471814071516237</v>
      </c>
    </row>
    <row r="205" spans="1:22" x14ac:dyDescent="0.25">
      <c r="A205" s="34" t="s">
        <v>227</v>
      </c>
      <c r="B205" s="16">
        <v>0.25900000000000001</v>
      </c>
      <c r="C205" s="8">
        <v>0</v>
      </c>
      <c r="D205" s="8">
        <v>21.536999999999999</v>
      </c>
      <c r="E205" s="8">
        <v>3.9E-2</v>
      </c>
      <c r="F205" s="8">
        <v>1.0649999999999999</v>
      </c>
      <c r="G205" s="8">
        <v>5.5E-2</v>
      </c>
      <c r="H205" s="8">
        <v>6.3E-2</v>
      </c>
      <c r="I205" s="8">
        <v>3.2000000000000001E-2</v>
      </c>
      <c r="J205" s="8">
        <v>0.12</v>
      </c>
      <c r="K205" s="38">
        <f t="shared" si="33"/>
        <v>0.246</v>
      </c>
      <c r="L205" s="38">
        <f t="shared" si="34"/>
        <v>40.689364999999995</v>
      </c>
      <c r="M205" s="29">
        <f t="shared" si="35"/>
        <v>1373.6402249886767</v>
      </c>
      <c r="N205" s="29">
        <f t="shared" si="36"/>
        <v>4.4124782934275256E+25</v>
      </c>
      <c r="O205" s="35">
        <f t="shared" si="37"/>
        <v>1429.9868275374142</v>
      </c>
      <c r="P205" s="35">
        <f t="shared" si="38"/>
        <v>40.776660184688382</v>
      </c>
      <c r="Q205" s="35">
        <f t="shared" si="39"/>
        <v>-8.7295184688386485E-2</v>
      </c>
      <c r="R205" s="35">
        <f t="shared" si="40"/>
        <v>0.12592453681306606</v>
      </c>
      <c r="S205" s="18">
        <v>1249.9059134703004</v>
      </c>
      <c r="T205" s="35">
        <f t="shared" si="41"/>
        <v>40.484386613846105</v>
      </c>
      <c r="U205" s="35">
        <f t="shared" si="42"/>
        <v>0.20497838615388986</v>
      </c>
      <c r="V205" s="35">
        <f t="shared" si="43"/>
        <v>0.69429801689227943</v>
      </c>
    </row>
    <row r="206" spans="1:22" x14ac:dyDescent="0.25">
      <c r="A206" s="34" t="s">
        <v>228</v>
      </c>
      <c r="B206" s="16">
        <v>0.25900000000000001</v>
      </c>
      <c r="C206" s="8">
        <v>0</v>
      </c>
      <c r="D206" s="8">
        <v>21.01</v>
      </c>
      <c r="E206" s="8">
        <v>5.2999999999999999E-2</v>
      </c>
      <c r="F206" s="8">
        <v>1.0569999999999999</v>
      </c>
      <c r="G206" s="8">
        <v>4.1000000000000002E-2</v>
      </c>
      <c r="H206" s="8">
        <v>-0.16800000000000001</v>
      </c>
      <c r="I206" s="8">
        <v>3.6999999999999998E-2</v>
      </c>
      <c r="J206" s="8">
        <v>0.12</v>
      </c>
      <c r="K206" s="38">
        <f t="shared" si="33"/>
        <v>0.251</v>
      </c>
      <c r="L206" s="38">
        <f t="shared" si="34"/>
        <v>40.884219000000002</v>
      </c>
      <c r="M206" s="29">
        <f t="shared" si="35"/>
        <v>1502.6014375613963</v>
      </c>
      <c r="N206" s="29">
        <f t="shared" si="36"/>
        <v>4.4124782934275256E+25</v>
      </c>
      <c r="O206" s="35">
        <f t="shared" si="37"/>
        <v>1429.9868275374142</v>
      </c>
      <c r="P206" s="35">
        <f t="shared" si="38"/>
        <v>40.776660184688382</v>
      </c>
      <c r="Q206" s="35">
        <f t="shared" si="39"/>
        <v>0.10755881531162004</v>
      </c>
      <c r="R206" s="35">
        <f t="shared" si="40"/>
        <v>0.18363039874349912</v>
      </c>
      <c r="S206" s="18">
        <v>1249.9059134703004</v>
      </c>
      <c r="T206" s="35">
        <f t="shared" si="41"/>
        <v>40.484386613846105</v>
      </c>
      <c r="U206" s="35">
        <f t="shared" si="42"/>
        <v>0.39983238615389638</v>
      </c>
      <c r="V206" s="35">
        <f t="shared" si="43"/>
        <v>2.5375142778292168</v>
      </c>
    </row>
    <row r="207" spans="1:22" x14ac:dyDescent="0.25">
      <c r="A207" s="34" t="s">
        <v>229</v>
      </c>
      <c r="B207" s="16">
        <v>0.26200000000000001</v>
      </c>
      <c r="C207" s="8">
        <v>0</v>
      </c>
      <c r="D207" s="8">
        <v>21.23</v>
      </c>
      <c r="E207" s="8">
        <v>4.8000000000000001E-2</v>
      </c>
      <c r="F207" s="8">
        <v>0.871</v>
      </c>
      <c r="G207" s="8">
        <v>4.3999999999999997E-2</v>
      </c>
      <c r="H207" s="8">
        <v>-0.09</v>
      </c>
      <c r="I207" s="8">
        <v>4.1000000000000002E-2</v>
      </c>
      <c r="J207" s="8">
        <v>0.12</v>
      </c>
      <c r="K207" s="38">
        <f t="shared" si="33"/>
        <v>0.253</v>
      </c>
      <c r="L207" s="38">
        <f t="shared" si="34"/>
        <v>40.832737000000002</v>
      </c>
      <c r="M207" s="29">
        <f t="shared" si="35"/>
        <v>1467.396233510631</v>
      </c>
      <c r="N207" s="29">
        <f t="shared" si="36"/>
        <v>4.4682901283392306E+25</v>
      </c>
      <c r="O207" s="35">
        <f t="shared" si="37"/>
        <v>1448.0742114149305</v>
      </c>
      <c r="P207" s="35">
        <f t="shared" si="38"/>
        <v>40.803954096536742</v>
      </c>
      <c r="Q207" s="35">
        <f t="shared" si="39"/>
        <v>2.8782903463259402E-2</v>
      </c>
      <c r="R207" s="35">
        <f t="shared" si="40"/>
        <v>1.2942797603076288E-2</v>
      </c>
      <c r="S207" s="18">
        <v>1266.4335051140895</v>
      </c>
      <c r="T207" s="35">
        <f t="shared" si="41"/>
        <v>40.512911959104407</v>
      </c>
      <c r="U207" s="35">
        <f t="shared" si="42"/>
        <v>0.31982504089559427</v>
      </c>
      <c r="V207" s="35">
        <f t="shared" si="43"/>
        <v>1.5980261648185186</v>
      </c>
    </row>
    <row r="208" spans="1:22" x14ac:dyDescent="0.25">
      <c r="A208" s="34" t="s">
        <v>230</v>
      </c>
      <c r="B208" s="16">
        <v>0.26200000000000001</v>
      </c>
      <c r="C208" s="8">
        <v>0</v>
      </c>
      <c r="D208" s="8">
        <v>21.286000000000001</v>
      </c>
      <c r="E208" s="8">
        <v>5.2999999999999999E-2</v>
      </c>
      <c r="F208" s="8">
        <v>1.1479999999999999</v>
      </c>
      <c r="G208" s="8">
        <v>4.5999999999999999E-2</v>
      </c>
      <c r="H208" s="8">
        <v>-8.5000000000000006E-2</v>
      </c>
      <c r="I208" s="8">
        <v>4.1000000000000002E-2</v>
      </c>
      <c r="J208" s="8">
        <v>0.12</v>
      </c>
      <c r="K208" s="38">
        <f t="shared" si="33"/>
        <v>0.26</v>
      </c>
      <c r="L208" s="38">
        <f t="shared" si="34"/>
        <v>40.913806000000001</v>
      </c>
      <c r="M208" s="29">
        <f t="shared" si="35"/>
        <v>1523.214972585411</v>
      </c>
      <c r="N208" s="29">
        <f t="shared" si="36"/>
        <v>4.4682901283392306E+25</v>
      </c>
      <c r="O208" s="35">
        <f t="shared" si="37"/>
        <v>1448.0742114149305</v>
      </c>
      <c r="P208" s="35">
        <f t="shared" si="38"/>
        <v>40.803954096536742</v>
      </c>
      <c r="Q208" s="35">
        <f t="shared" si="39"/>
        <v>0.10985190346325879</v>
      </c>
      <c r="R208" s="35">
        <f t="shared" si="40"/>
        <v>0.17851243630918828</v>
      </c>
      <c r="S208" s="18">
        <v>1266.4335051140895</v>
      </c>
      <c r="T208" s="35">
        <f t="shared" si="41"/>
        <v>40.512911959104407</v>
      </c>
      <c r="U208" s="35">
        <f t="shared" si="42"/>
        <v>0.40089404089559366</v>
      </c>
      <c r="V208" s="35">
        <f t="shared" si="43"/>
        <v>2.3774560950532235</v>
      </c>
    </row>
    <row r="209" spans="1:22" x14ac:dyDescent="0.25">
      <c r="A209" s="34" t="s">
        <v>231</v>
      </c>
      <c r="B209" s="16">
        <v>0.26300000000000001</v>
      </c>
      <c r="C209" s="8">
        <v>1E-3</v>
      </c>
      <c r="D209" s="8">
        <v>21.696999999999999</v>
      </c>
      <c r="E209" s="8">
        <v>2.5999999999999999E-2</v>
      </c>
      <c r="F209" s="8">
        <v>0.89100000000000001</v>
      </c>
      <c r="G209" s="8">
        <v>1.7999999999999999E-2</v>
      </c>
      <c r="H209" s="8">
        <v>8.8999999999999996E-2</v>
      </c>
      <c r="I209" s="8">
        <v>0.02</v>
      </c>
      <c r="J209" s="8">
        <v>0.12</v>
      </c>
      <c r="K209" s="38">
        <f t="shared" si="33"/>
        <v>0.184</v>
      </c>
      <c r="L209" s="38">
        <f t="shared" si="34"/>
        <v>40.742407</v>
      </c>
      <c r="M209" s="29">
        <f t="shared" si="35"/>
        <v>1407.6069419647372</v>
      </c>
      <c r="N209" s="29">
        <f t="shared" si="36"/>
        <v>4.4869152213399145E+25</v>
      </c>
      <c r="O209" s="35">
        <f t="shared" si="37"/>
        <v>1454.1101929839069</v>
      </c>
      <c r="P209" s="35">
        <f t="shared" si="38"/>
        <v>40.812986593796424</v>
      </c>
      <c r="Q209" s="35">
        <f t="shared" si="39"/>
        <v>-7.0579593796423978E-2</v>
      </c>
      <c r="R209" s="35">
        <f t="shared" si="40"/>
        <v>0.14713725958377274</v>
      </c>
      <c r="S209" s="18">
        <v>1271.9520723972896</v>
      </c>
      <c r="T209" s="35">
        <f t="shared" si="41"/>
        <v>40.522353736257202</v>
      </c>
      <c r="U209" s="35">
        <f t="shared" si="42"/>
        <v>0.22005326374279832</v>
      </c>
      <c r="V209" s="35">
        <f t="shared" si="43"/>
        <v>1.4302764320610102</v>
      </c>
    </row>
    <row r="210" spans="1:22" x14ac:dyDescent="0.25">
      <c r="A210" s="34" t="s">
        <v>232</v>
      </c>
      <c r="B210" s="16">
        <v>0.26300000000000001</v>
      </c>
      <c r="C210" s="8">
        <v>0</v>
      </c>
      <c r="D210" s="8">
        <v>21.184000000000001</v>
      </c>
      <c r="E210" s="8">
        <v>3.2000000000000001E-2</v>
      </c>
      <c r="F210" s="8">
        <v>1.1679999999999999</v>
      </c>
      <c r="G210" s="8">
        <v>1.7999999999999999E-2</v>
      </c>
      <c r="H210" s="8">
        <v>-6.0000000000000001E-3</v>
      </c>
      <c r="I210" s="8">
        <v>2.1999999999999999E-2</v>
      </c>
      <c r="J210" s="8">
        <v>0.12</v>
      </c>
      <c r="K210" s="38">
        <f t="shared" si="33"/>
        <v>0.192</v>
      </c>
      <c r="L210" s="38">
        <f t="shared" si="34"/>
        <v>40.567475999999999</v>
      </c>
      <c r="M210" s="29">
        <f t="shared" si="35"/>
        <v>1298.6592104378183</v>
      </c>
      <c r="N210" s="29">
        <f t="shared" si="36"/>
        <v>4.4869152213399145E+25</v>
      </c>
      <c r="O210" s="35">
        <f t="shared" si="37"/>
        <v>1454.1101929839069</v>
      </c>
      <c r="P210" s="35">
        <f t="shared" si="38"/>
        <v>40.812986593796424</v>
      </c>
      <c r="Q210" s="35">
        <f t="shared" si="39"/>
        <v>-0.24551059379642481</v>
      </c>
      <c r="R210" s="35">
        <f t="shared" si="40"/>
        <v>1.635076271329023</v>
      </c>
      <c r="S210" s="18">
        <v>1271.9520723972896</v>
      </c>
      <c r="T210" s="35">
        <f t="shared" si="41"/>
        <v>40.522353736257202</v>
      </c>
      <c r="U210" s="35">
        <f t="shared" si="42"/>
        <v>4.5122263742797486E-2</v>
      </c>
      <c r="V210" s="35">
        <f t="shared" si="43"/>
        <v>5.5230541592734828E-2</v>
      </c>
    </row>
    <row r="211" spans="1:22" x14ac:dyDescent="0.25">
      <c r="A211" s="34" t="s">
        <v>233</v>
      </c>
      <c r="B211" s="16">
        <v>0.26500000000000001</v>
      </c>
      <c r="C211" s="8">
        <v>0</v>
      </c>
      <c r="D211" s="8">
        <v>21.143999999999998</v>
      </c>
      <c r="E211" s="8">
        <v>3.5999999999999997E-2</v>
      </c>
      <c r="F211" s="8">
        <v>1.1120000000000001</v>
      </c>
      <c r="G211" s="8">
        <v>2.8000000000000001E-2</v>
      </c>
      <c r="H211" s="8">
        <v>-0.156</v>
      </c>
      <c r="I211" s="8">
        <v>3.1E-2</v>
      </c>
      <c r="J211" s="8">
        <v>0.12</v>
      </c>
      <c r="K211" s="38">
        <f t="shared" si="33"/>
        <v>0.215</v>
      </c>
      <c r="L211" s="38">
        <f t="shared" si="34"/>
        <v>40.988743999999997</v>
      </c>
      <c r="M211" s="29">
        <f t="shared" si="35"/>
        <v>1576.6990284001722</v>
      </c>
      <c r="N211" s="29">
        <f t="shared" si="36"/>
        <v>4.5241970453545522E+25</v>
      </c>
      <c r="O211" s="35">
        <f t="shared" si="37"/>
        <v>1466.1924093036812</v>
      </c>
      <c r="P211" s="35">
        <f t="shared" si="38"/>
        <v>40.830954833843592</v>
      </c>
      <c r="Q211" s="35">
        <f t="shared" si="39"/>
        <v>0.15778916615640526</v>
      </c>
      <c r="R211" s="35">
        <f t="shared" si="40"/>
        <v>0.53861375784388676</v>
      </c>
      <c r="S211" s="18">
        <v>1283.003227685376</v>
      </c>
      <c r="T211" s="35">
        <f t="shared" si="41"/>
        <v>40.541138744712462</v>
      </c>
      <c r="U211" s="35">
        <f t="shared" si="42"/>
        <v>0.44760525528753448</v>
      </c>
      <c r="V211" s="35">
        <f t="shared" si="43"/>
        <v>4.3342447714660661</v>
      </c>
    </row>
    <row r="212" spans="1:22" x14ac:dyDescent="0.25">
      <c r="A212" s="34" t="s">
        <v>234</v>
      </c>
      <c r="B212" s="16">
        <v>0.26500000000000001</v>
      </c>
      <c r="C212" s="8">
        <v>0</v>
      </c>
      <c r="D212" s="8">
        <v>21.372</v>
      </c>
      <c r="E212" s="8">
        <v>4.1000000000000002E-2</v>
      </c>
      <c r="F212" s="8">
        <v>1.0549999999999999</v>
      </c>
      <c r="G212" s="8">
        <v>4.1000000000000002E-2</v>
      </c>
      <c r="H212" s="8">
        <v>7.0000000000000001E-3</v>
      </c>
      <c r="I212" s="8">
        <v>3.7999999999999999E-2</v>
      </c>
      <c r="J212" s="8">
        <v>0.12</v>
      </c>
      <c r="K212" s="38">
        <f t="shared" si="33"/>
        <v>0.24</v>
      </c>
      <c r="L212" s="38">
        <f t="shared" si="34"/>
        <v>40.698175000000006</v>
      </c>
      <c r="M212" s="29">
        <f t="shared" si="35"/>
        <v>1379.2246169163113</v>
      </c>
      <c r="N212" s="29">
        <f t="shared" si="36"/>
        <v>4.5241970453545522E+25</v>
      </c>
      <c r="O212" s="35">
        <f t="shared" si="37"/>
        <v>1466.1924093036812</v>
      </c>
      <c r="P212" s="35">
        <f t="shared" si="38"/>
        <v>40.830954833843592</v>
      </c>
      <c r="Q212" s="35">
        <f t="shared" si="39"/>
        <v>-0.13277983384358549</v>
      </c>
      <c r="R212" s="35">
        <f t="shared" si="40"/>
        <v>0.30608479645017656</v>
      </c>
      <c r="S212" s="18">
        <v>1283.003227685376</v>
      </c>
      <c r="T212" s="35">
        <f t="shared" si="41"/>
        <v>40.541138744712462</v>
      </c>
      <c r="U212" s="35">
        <f t="shared" si="42"/>
        <v>0.15703625528754372</v>
      </c>
      <c r="V212" s="35">
        <f t="shared" si="43"/>
        <v>0.42813169226969805</v>
      </c>
    </row>
    <row r="213" spans="1:22" x14ac:dyDescent="0.25">
      <c r="A213" s="34" t="s">
        <v>235</v>
      </c>
      <c r="B213" s="16">
        <v>0.26700000000000002</v>
      </c>
      <c r="C213" s="8">
        <v>0</v>
      </c>
      <c r="D213" s="8">
        <v>20.919</v>
      </c>
      <c r="E213" s="8">
        <v>4.3999999999999997E-2</v>
      </c>
      <c r="F213" s="8">
        <v>0.97099999999999997</v>
      </c>
      <c r="G213" s="8">
        <v>3.9E-2</v>
      </c>
      <c r="H213" s="8">
        <v>-0.16600000000000001</v>
      </c>
      <c r="I213" s="8">
        <v>0.03</v>
      </c>
      <c r="J213" s="8">
        <v>0.12</v>
      </c>
      <c r="K213" s="38">
        <f t="shared" si="33"/>
        <v>0.23299999999999998</v>
      </c>
      <c r="L213" s="38">
        <f t="shared" si="34"/>
        <v>40.774316999999996</v>
      </c>
      <c r="M213" s="29">
        <f t="shared" si="35"/>
        <v>1428.4445947044953</v>
      </c>
      <c r="N213" s="29">
        <f t="shared" si="36"/>
        <v>4.561520960347581E+25</v>
      </c>
      <c r="O213" s="35">
        <f t="shared" si="37"/>
        <v>1478.2882663805663</v>
      </c>
      <c r="P213" s="35">
        <f t="shared" si="38"/>
        <v>40.84879564895212</v>
      </c>
      <c r="Q213" s="35">
        <f t="shared" si="39"/>
        <v>-7.4478648952123194E-2</v>
      </c>
      <c r="R213" s="35">
        <f t="shared" si="40"/>
        <v>0.10217666838095382</v>
      </c>
      <c r="S213" s="18">
        <v>1294.0730391415591</v>
      </c>
      <c r="T213" s="35">
        <f t="shared" si="41"/>
        <v>40.559793945809282</v>
      </c>
      <c r="U213" s="35">
        <f t="shared" si="42"/>
        <v>0.21452305419071394</v>
      </c>
      <c r="V213" s="35">
        <f t="shared" si="43"/>
        <v>0.84768812796905446</v>
      </c>
    </row>
    <row r="214" spans="1:22" x14ac:dyDescent="0.25">
      <c r="A214" s="34" t="s">
        <v>236</v>
      </c>
      <c r="B214" s="16">
        <v>0.26800000000000002</v>
      </c>
      <c r="C214" s="8">
        <v>1E-3</v>
      </c>
      <c r="D214" s="8">
        <v>21.748000000000001</v>
      </c>
      <c r="E214" s="8">
        <v>2.5999999999999999E-2</v>
      </c>
      <c r="F214" s="8">
        <v>0.999</v>
      </c>
      <c r="G214" s="8">
        <v>1.4999999999999999E-2</v>
      </c>
      <c r="H214" s="8">
        <v>0.104</v>
      </c>
      <c r="I214" s="8">
        <v>1.9E-2</v>
      </c>
      <c r="J214" s="8">
        <v>0.12</v>
      </c>
      <c r="K214" s="38">
        <f t="shared" si="33"/>
        <v>0.18</v>
      </c>
      <c r="L214" s="38">
        <f t="shared" si="34"/>
        <v>40.762332999999998</v>
      </c>
      <c r="M214" s="29">
        <f t="shared" si="35"/>
        <v>1420.5829568201275</v>
      </c>
      <c r="N214" s="29">
        <f t="shared" si="36"/>
        <v>4.5801986671635563E+25</v>
      </c>
      <c r="O214" s="35">
        <f t="shared" si="37"/>
        <v>1484.3412989258445</v>
      </c>
      <c r="P214" s="35">
        <f t="shared" si="38"/>
        <v>40.857668855112792</v>
      </c>
      <c r="Q214" s="35">
        <f t="shared" si="39"/>
        <v>-9.5335855112793411E-2</v>
      </c>
      <c r="R214" s="35">
        <f t="shared" si="40"/>
        <v>0.28052238487924497</v>
      </c>
      <c r="S214" s="18">
        <v>1299.6149266557127</v>
      </c>
      <c r="T214" s="35">
        <f t="shared" si="41"/>
        <v>40.569073453834804</v>
      </c>
      <c r="U214" s="35">
        <f t="shared" si="42"/>
        <v>0.19325954616519425</v>
      </c>
      <c r="V214" s="35">
        <f t="shared" si="43"/>
        <v>1.1527546970363225</v>
      </c>
    </row>
    <row r="215" spans="1:22" x14ac:dyDescent="0.25">
      <c r="A215" s="34" t="s">
        <v>237</v>
      </c>
      <c r="B215" s="16">
        <v>0.27</v>
      </c>
      <c r="C215" s="8">
        <v>0.01</v>
      </c>
      <c r="D215" s="8">
        <v>21.052</v>
      </c>
      <c r="E215" s="8">
        <v>0.03</v>
      </c>
      <c r="F215" s="8">
        <v>1.1240000000000001</v>
      </c>
      <c r="G215" s="8">
        <v>1.4E-2</v>
      </c>
      <c r="H215" s="8">
        <v>-6.3E-2</v>
      </c>
      <c r="I215" s="8">
        <v>0.02</v>
      </c>
      <c r="J215" s="8">
        <v>0.12</v>
      </c>
      <c r="K215" s="38">
        <f t="shared" si="33"/>
        <v>0.184</v>
      </c>
      <c r="L215" s="38">
        <f t="shared" si="34"/>
        <v>40.607417999999996</v>
      </c>
      <c r="M215" s="29">
        <f t="shared" si="35"/>
        <v>1322.7677561875917</v>
      </c>
      <c r="N215" s="29">
        <f t="shared" si="36"/>
        <v>4.617585510054167E+25</v>
      </c>
      <c r="O215" s="35">
        <f t="shared" si="37"/>
        <v>1496.4575495454608</v>
      </c>
      <c r="P215" s="35">
        <f t="shared" si="38"/>
        <v>40.875322007953727</v>
      </c>
      <c r="Q215" s="35">
        <f t="shared" si="39"/>
        <v>-0.26790400795373159</v>
      </c>
      <c r="R215" s="35">
        <f t="shared" si="40"/>
        <v>2.1199361258764498</v>
      </c>
      <c r="S215" s="18">
        <v>1310.7126367509097</v>
      </c>
      <c r="T215" s="35">
        <f t="shared" si="41"/>
        <v>40.587537432694845</v>
      </c>
      <c r="U215" s="35">
        <f t="shared" si="42"/>
        <v>1.9880567305150976E-2</v>
      </c>
      <c r="V215" s="35">
        <f t="shared" si="43"/>
        <v>1.1674059439231981E-2</v>
      </c>
    </row>
    <row r="216" spans="1:22" x14ac:dyDescent="0.25">
      <c r="A216" s="34" t="s">
        <v>238</v>
      </c>
      <c r="B216" s="16">
        <v>0.27200000000000002</v>
      </c>
      <c r="C216" s="8">
        <v>0</v>
      </c>
      <c r="D216" s="8">
        <v>21.698</v>
      </c>
      <c r="E216" s="8">
        <v>4.5999999999999999E-2</v>
      </c>
      <c r="F216" s="8">
        <v>0.82599999999999996</v>
      </c>
      <c r="G216" s="8">
        <v>6.4000000000000001E-2</v>
      </c>
      <c r="H216" s="8">
        <v>-1.7999999999999999E-2</v>
      </c>
      <c r="I216" s="8">
        <v>3.7999999999999999E-2</v>
      </c>
      <c r="J216" s="8">
        <v>0.12</v>
      </c>
      <c r="K216" s="38">
        <f t="shared" si="33"/>
        <v>0.26800000000000002</v>
      </c>
      <c r="L216" s="38">
        <f t="shared" si="34"/>
        <v>41.068762</v>
      </c>
      <c r="M216" s="29">
        <f t="shared" si="35"/>
        <v>1635.8836054419635</v>
      </c>
      <c r="N216" s="29">
        <f t="shared" si="36"/>
        <v>4.6550141664009888E+25</v>
      </c>
      <c r="O216" s="35">
        <f t="shared" si="37"/>
        <v>1508.5873509833743</v>
      </c>
      <c r="P216" s="35">
        <f t="shared" si="38"/>
        <v>40.892852309882684</v>
      </c>
      <c r="Q216" s="35">
        <f t="shared" si="39"/>
        <v>0.17590969011731517</v>
      </c>
      <c r="R216" s="35">
        <f t="shared" si="40"/>
        <v>0.43083397022123304</v>
      </c>
      <c r="S216" s="18">
        <v>1321.8288889934265</v>
      </c>
      <c r="T216" s="35">
        <f t="shared" si="41"/>
        <v>40.605876196415167</v>
      </c>
      <c r="U216" s="35">
        <f t="shared" si="42"/>
        <v>0.46288580358483244</v>
      </c>
      <c r="V216" s="35">
        <f t="shared" si="43"/>
        <v>2.983170906109045</v>
      </c>
    </row>
    <row r="217" spans="1:22" x14ac:dyDescent="0.25">
      <c r="A217" s="34" t="s">
        <v>239</v>
      </c>
      <c r="B217" s="16">
        <v>0.28000000000000003</v>
      </c>
      <c r="C217" s="8">
        <v>0</v>
      </c>
      <c r="D217" s="8">
        <v>21.452999999999999</v>
      </c>
      <c r="E217" s="8">
        <v>4.2999999999999997E-2</v>
      </c>
      <c r="F217" s="8">
        <v>0.98299999999999998</v>
      </c>
      <c r="G217" s="8">
        <v>4.9000000000000002E-2</v>
      </c>
      <c r="H217" s="8">
        <v>-8.8999999999999996E-2</v>
      </c>
      <c r="I217" s="8">
        <v>3.3000000000000002E-2</v>
      </c>
      <c r="J217" s="8">
        <v>0.12</v>
      </c>
      <c r="K217" s="38">
        <f t="shared" si="33"/>
        <v>0.245</v>
      </c>
      <c r="L217" s="38">
        <f t="shared" si="34"/>
        <v>41.069070999999994</v>
      </c>
      <c r="M217" s="29">
        <f t="shared" si="35"/>
        <v>1636.1164078478232</v>
      </c>
      <c r="N217" s="29">
        <f t="shared" si="36"/>
        <v>4.8051447256421596E+25</v>
      </c>
      <c r="O217" s="35">
        <f t="shared" si="37"/>
        <v>1557.2413517170385</v>
      </c>
      <c r="P217" s="35">
        <f t="shared" si="38"/>
        <v>40.961779638292789</v>
      </c>
      <c r="Q217" s="35">
        <f t="shared" si="39"/>
        <v>0.10729136170720466</v>
      </c>
      <c r="R217" s="35">
        <f t="shared" si="40"/>
        <v>0.19177736438127818</v>
      </c>
      <c r="S217" s="18">
        <v>1366.4784117457959</v>
      </c>
      <c r="T217" s="35">
        <f t="shared" si="41"/>
        <v>40.678013874494894</v>
      </c>
      <c r="U217" s="35">
        <f t="shared" si="42"/>
        <v>0.39105712550509963</v>
      </c>
      <c r="V217" s="35">
        <f t="shared" si="43"/>
        <v>2.5476997152571639</v>
      </c>
    </row>
    <row r="218" spans="1:22" x14ac:dyDescent="0.25">
      <c r="A218" s="34" t="s">
        <v>240</v>
      </c>
      <c r="B218" s="16">
        <v>0.28199999999999997</v>
      </c>
      <c r="C218" s="8">
        <v>0</v>
      </c>
      <c r="D218" s="8">
        <v>22.167999999999999</v>
      </c>
      <c r="E218" s="8">
        <v>2.7E-2</v>
      </c>
      <c r="F218" s="8">
        <v>0.98599999999999999</v>
      </c>
      <c r="G218" s="8">
        <v>2.5999999999999999E-2</v>
      </c>
      <c r="H218" s="8">
        <v>0.11700000000000001</v>
      </c>
      <c r="I218" s="8">
        <v>1.9E-2</v>
      </c>
      <c r="J218" s="8">
        <v>0.12</v>
      </c>
      <c r="K218" s="38">
        <f t="shared" si="33"/>
        <v>0.192</v>
      </c>
      <c r="L218" s="38">
        <f t="shared" si="34"/>
        <v>41.139731999999995</v>
      </c>
      <c r="M218" s="29">
        <f t="shared" si="35"/>
        <v>1690.2323127300374</v>
      </c>
      <c r="N218" s="29">
        <f t="shared" si="36"/>
        <v>4.842780802114187E+25</v>
      </c>
      <c r="O218" s="35">
        <f t="shared" si="37"/>
        <v>1569.4383734395826</v>
      </c>
      <c r="P218" s="35">
        <f t="shared" si="38"/>
        <v>40.97872133544444</v>
      </c>
      <c r="Q218" s="35">
        <f t="shared" si="39"/>
        <v>0.16101066455555468</v>
      </c>
      <c r="R218" s="35">
        <f t="shared" si="40"/>
        <v>0.70324528267744557</v>
      </c>
      <c r="S218" s="18">
        <v>1377.6866947443082</v>
      </c>
      <c r="T218" s="35">
        <f t="shared" si="41"/>
        <v>40.695752320752561</v>
      </c>
      <c r="U218" s="35">
        <f t="shared" si="42"/>
        <v>0.44397967924743398</v>
      </c>
      <c r="V218" s="35">
        <f t="shared" si="43"/>
        <v>5.3471667639066398</v>
      </c>
    </row>
    <row r="219" spans="1:22" x14ac:dyDescent="0.25">
      <c r="A219" s="34" t="s">
        <v>241</v>
      </c>
      <c r="B219" s="16">
        <v>0.28499999999999998</v>
      </c>
      <c r="C219" s="8">
        <v>0</v>
      </c>
      <c r="D219" s="8">
        <v>21.277000000000001</v>
      </c>
      <c r="E219" s="8">
        <v>3.2000000000000001E-2</v>
      </c>
      <c r="F219" s="8">
        <v>1.111</v>
      </c>
      <c r="G219" s="8">
        <v>1.7000000000000001E-2</v>
      </c>
      <c r="H219" s="8">
        <v>-4.2999999999999997E-2</v>
      </c>
      <c r="I219" s="8">
        <v>2.1000000000000001E-2</v>
      </c>
      <c r="J219" s="8">
        <v>0.12</v>
      </c>
      <c r="K219" s="38">
        <f t="shared" si="33"/>
        <v>0.19</v>
      </c>
      <c r="L219" s="38">
        <f t="shared" si="34"/>
        <v>40.767907000000001</v>
      </c>
      <c r="M219" s="29">
        <f t="shared" si="35"/>
        <v>1424.2341664483699</v>
      </c>
      <c r="N219" s="29">
        <f t="shared" si="36"/>
        <v>4.8993120529585947E+25</v>
      </c>
      <c r="O219" s="35">
        <f t="shared" si="37"/>
        <v>1587.7589041427314</v>
      </c>
      <c r="P219" s="35">
        <f t="shared" si="38"/>
        <v>41.003922784694396</v>
      </c>
      <c r="Q219" s="35">
        <f t="shared" si="39"/>
        <v>-0.23601578469439488</v>
      </c>
      <c r="R219" s="35">
        <f t="shared" si="40"/>
        <v>1.5430318732662316</v>
      </c>
      <c r="S219" s="18">
        <v>1394.5333629286181</v>
      </c>
      <c r="T219" s="35">
        <f t="shared" si="41"/>
        <v>40.722144544112801</v>
      </c>
      <c r="U219" s="35">
        <f t="shared" si="42"/>
        <v>4.5762455887199849E-2</v>
      </c>
      <c r="V219" s="35">
        <f t="shared" si="43"/>
        <v>5.801114595091169E-2</v>
      </c>
    </row>
    <row r="220" spans="1:22" x14ac:dyDescent="0.25">
      <c r="A220" s="34" t="s">
        <v>242</v>
      </c>
      <c r="B220" s="16">
        <v>0.28799999999999998</v>
      </c>
      <c r="C220" s="8">
        <v>0</v>
      </c>
      <c r="D220" s="8">
        <v>21.603999999999999</v>
      </c>
      <c r="E220" s="8">
        <v>4.2999999999999997E-2</v>
      </c>
      <c r="F220" s="8">
        <v>1.0629999999999999</v>
      </c>
      <c r="G220" s="8">
        <v>4.8000000000000001E-2</v>
      </c>
      <c r="H220" s="8">
        <v>-9.6000000000000002E-2</v>
      </c>
      <c r="I220" s="8">
        <v>3.4000000000000002E-2</v>
      </c>
      <c r="J220" s="8">
        <v>0.12</v>
      </c>
      <c r="K220" s="38">
        <f t="shared" si="33"/>
        <v>0.245</v>
      </c>
      <c r="L220" s="38">
        <f t="shared" si="34"/>
        <v>41.253740999999998</v>
      </c>
      <c r="M220" s="29">
        <f t="shared" si="35"/>
        <v>1781.3456599334083</v>
      </c>
      <c r="N220" s="29">
        <f t="shared" si="36"/>
        <v>4.9559355435185182E+25</v>
      </c>
      <c r="O220" s="35">
        <f t="shared" si="37"/>
        <v>1606.1093277018651</v>
      </c>
      <c r="P220" s="35">
        <f t="shared" si="38"/>
        <v>41.028875521654811</v>
      </c>
      <c r="Q220" s="35">
        <f t="shared" si="39"/>
        <v>0.22486547834518689</v>
      </c>
      <c r="R220" s="35">
        <f t="shared" si="40"/>
        <v>0.84239039319299824</v>
      </c>
      <c r="S220" s="18">
        <v>1411.4209889088722</v>
      </c>
      <c r="T220" s="35">
        <f t="shared" si="41"/>
        <v>40.748282857185089</v>
      </c>
      <c r="U220" s="35">
        <f t="shared" si="42"/>
        <v>0.50545814281490919</v>
      </c>
      <c r="V220" s="35">
        <f t="shared" si="43"/>
        <v>4.2563587528179454</v>
      </c>
    </row>
    <row r="221" spans="1:22" x14ac:dyDescent="0.25">
      <c r="A221" s="34" t="s">
        <v>243</v>
      </c>
      <c r="B221" s="16">
        <v>0.28999999999999998</v>
      </c>
      <c r="C221" s="8">
        <v>0</v>
      </c>
      <c r="D221" s="8">
        <v>21.576000000000001</v>
      </c>
      <c r="E221" s="8">
        <v>5.6000000000000001E-2</v>
      </c>
      <c r="F221" s="8">
        <v>0.90100000000000002</v>
      </c>
      <c r="G221" s="8">
        <v>5.0999999999999997E-2</v>
      </c>
      <c r="H221" s="8">
        <v>-7.6999999999999999E-2</v>
      </c>
      <c r="I221" s="8">
        <v>4.2999999999999997E-2</v>
      </c>
      <c r="J221" s="8">
        <v>0.12</v>
      </c>
      <c r="K221" s="38">
        <f t="shared" si="33"/>
        <v>0.27</v>
      </c>
      <c r="L221" s="38">
        <f t="shared" si="34"/>
        <v>41.142457</v>
      </c>
      <c r="M221" s="29">
        <f t="shared" si="35"/>
        <v>1692.3547317039236</v>
      </c>
      <c r="N221" s="29">
        <f t="shared" si="36"/>
        <v>4.9937356024921881E+25</v>
      </c>
      <c r="O221" s="35">
        <f t="shared" si="37"/>
        <v>1618.3594925339505</v>
      </c>
      <c r="P221" s="35">
        <f t="shared" si="38"/>
        <v>41.045374997636202</v>
      </c>
      <c r="Q221" s="35">
        <f t="shared" si="39"/>
        <v>9.7082002363798381E-2</v>
      </c>
      <c r="R221" s="35">
        <f t="shared" si="40"/>
        <v>0.12928553063051512</v>
      </c>
      <c r="S221" s="18">
        <v>1422.7020859567799</v>
      </c>
      <c r="T221" s="35">
        <f t="shared" si="41"/>
        <v>40.765569841354463</v>
      </c>
      <c r="U221" s="35">
        <f t="shared" si="42"/>
        <v>0.37688715864553757</v>
      </c>
      <c r="V221" s="35">
        <f t="shared" si="43"/>
        <v>1.9484764108629162</v>
      </c>
    </row>
    <row r="222" spans="1:22" x14ac:dyDescent="0.25">
      <c r="A222" s="34" t="s">
        <v>244</v>
      </c>
      <c r="B222" s="16">
        <v>0.29099999999999998</v>
      </c>
      <c r="C222" s="8">
        <v>0</v>
      </c>
      <c r="D222" s="8">
        <v>21.984000000000002</v>
      </c>
      <c r="E222" s="8">
        <v>4.7E-2</v>
      </c>
      <c r="F222" s="8">
        <v>1.0840000000000001</v>
      </c>
      <c r="G222" s="8">
        <v>3.6999999999999998E-2</v>
      </c>
      <c r="H222" s="8">
        <v>0.14599999999999999</v>
      </c>
      <c r="I222" s="8">
        <v>3.4000000000000002E-2</v>
      </c>
      <c r="J222" s="8">
        <v>0.12</v>
      </c>
      <c r="K222" s="38">
        <f t="shared" si="33"/>
        <v>0.23799999999999999</v>
      </c>
      <c r="L222" s="38">
        <f t="shared" si="34"/>
        <v>40.879367999999999</v>
      </c>
      <c r="M222" s="29">
        <f t="shared" si="35"/>
        <v>1499.2484206079985</v>
      </c>
      <c r="N222" s="29">
        <f t="shared" si="36"/>
        <v>5.0126509114380233E+25</v>
      </c>
      <c r="O222" s="35">
        <f t="shared" si="37"/>
        <v>1624.4895266854237</v>
      </c>
      <c r="P222" s="35">
        <f t="shared" si="38"/>
        <v>41.053584578659269</v>
      </c>
      <c r="Q222" s="35">
        <f t="shared" si="39"/>
        <v>-0.17421657865926932</v>
      </c>
      <c r="R222" s="35">
        <f t="shared" si="40"/>
        <v>0.53582755948982019</v>
      </c>
      <c r="S222" s="18">
        <v>1428.3494216518604</v>
      </c>
      <c r="T222" s="35">
        <f t="shared" si="41"/>
        <v>40.774172316374354</v>
      </c>
      <c r="U222" s="35">
        <f t="shared" si="42"/>
        <v>0.10519568362564513</v>
      </c>
      <c r="V222" s="35">
        <f t="shared" si="43"/>
        <v>0.19536282489702042</v>
      </c>
    </row>
    <row r="223" spans="1:22" x14ac:dyDescent="0.25">
      <c r="A223" s="34" t="s">
        <v>245</v>
      </c>
      <c r="B223" s="16">
        <v>0.29399999999999998</v>
      </c>
      <c r="C223" s="8">
        <v>0</v>
      </c>
      <c r="D223" s="8">
        <v>21.821000000000002</v>
      </c>
      <c r="E223" s="8">
        <v>4.4999999999999998E-2</v>
      </c>
      <c r="F223" s="8">
        <v>1.0860000000000001</v>
      </c>
      <c r="G223" s="8">
        <v>5.6000000000000001E-2</v>
      </c>
      <c r="H223" s="8">
        <v>6.4000000000000001E-2</v>
      </c>
      <c r="I223" s="8">
        <v>3.5000000000000003E-2</v>
      </c>
      <c r="J223" s="8">
        <v>0.12</v>
      </c>
      <c r="K223" s="38">
        <f t="shared" si="33"/>
        <v>0.25600000000000001</v>
      </c>
      <c r="L223" s="38">
        <f t="shared" si="34"/>
        <v>40.973321999999996</v>
      </c>
      <c r="M223" s="29">
        <f t="shared" si="35"/>
        <v>1565.5408347094144</v>
      </c>
      <c r="N223" s="29">
        <f t="shared" si="36"/>
        <v>5.0694577962566762E+25</v>
      </c>
      <c r="O223" s="35">
        <f t="shared" si="37"/>
        <v>1642.8993842761358</v>
      </c>
      <c r="P223" s="35">
        <f t="shared" si="38"/>
        <v>41.078054834242572</v>
      </c>
      <c r="Q223" s="35">
        <f t="shared" si="39"/>
        <v>-0.10473283424257573</v>
      </c>
      <c r="R223" s="35">
        <f t="shared" si="40"/>
        <v>0.16737314710209419</v>
      </c>
      <c r="S223" s="18">
        <v>1445.318510587472</v>
      </c>
      <c r="T223" s="35">
        <f t="shared" si="41"/>
        <v>40.799817824208745</v>
      </c>
      <c r="U223" s="35">
        <f t="shared" si="42"/>
        <v>0.17350417579125121</v>
      </c>
      <c r="V223" s="35">
        <f t="shared" si="43"/>
        <v>0.45934599330141307</v>
      </c>
    </row>
    <row r="224" spans="1:22" x14ac:dyDescent="0.25">
      <c r="A224" s="34" t="s">
        <v>11</v>
      </c>
      <c r="B224" s="16">
        <v>0.3</v>
      </c>
      <c r="C224" s="8">
        <v>0</v>
      </c>
      <c r="D224" s="8">
        <v>22.02</v>
      </c>
      <c r="E224" s="8">
        <v>9.6000000000000002E-2</v>
      </c>
      <c r="F224" s="8">
        <v>1.1619999999999999</v>
      </c>
      <c r="G224" s="8">
        <v>9.8000000000000004E-2</v>
      </c>
      <c r="H224" s="8">
        <v>0.105</v>
      </c>
      <c r="I224" s="8">
        <v>5.8000000000000003E-2</v>
      </c>
      <c r="J224" s="8">
        <v>0.12</v>
      </c>
      <c r="K224" s="38">
        <f t="shared" si="33"/>
        <v>0.372</v>
      </c>
      <c r="L224" s="38">
        <f t="shared" si="34"/>
        <v>41.055164000000005</v>
      </c>
      <c r="M224" s="29">
        <f t="shared" si="35"/>
        <v>1625.6715296167845</v>
      </c>
      <c r="N224" s="29">
        <f t="shared" si="36"/>
        <v>5.1833446841530096E+25</v>
      </c>
      <c r="O224" s="35">
        <f t="shared" si="37"/>
        <v>1679.8076110573452</v>
      </c>
      <c r="P224" s="35">
        <f t="shared" si="38"/>
        <v>41.12629772338915</v>
      </c>
      <c r="Q224" s="35">
        <f t="shared" si="39"/>
        <v>-7.1133723389145587E-2</v>
      </c>
      <c r="R224" s="35">
        <f t="shared" si="40"/>
        <v>3.6564968516616649E-2</v>
      </c>
      <c r="S224" s="18">
        <v>1479.3780570806223</v>
      </c>
      <c r="T224" s="35">
        <f t="shared" si="41"/>
        <v>40.850395863638703</v>
      </c>
      <c r="U224" s="35">
        <f t="shared" si="42"/>
        <v>0.20476813636130231</v>
      </c>
      <c r="V224" s="35">
        <f t="shared" si="43"/>
        <v>0.30299738169789059</v>
      </c>
    </row>
    <row r="225" spans="1:22" x14ac:dyDescent="0.25">
      <c r="A225" s="34" t="s">
        <v>246</v>
      </c>
      <c r="B225" s="16">
        <v>0.30299999999999999</v>
      </c>
      <c r="C225" s="8">
        <v>0</v>
      </c>
      <c r="D225" s="8">
        <v>21.449000000000002</v>
      </c>
      <c r="E225" s="8">
        <v>0.03</v>
      </c>
      <c r="F225" s="8">
        <v>1.052</v>
      </c>
      <c r="G225" s="8">
        <v>1.4999999999999999E-2</v>
      </c>
      <c r="H225" s="8">
        <v>-0.126</v>
      </c>
      <c r="I225" s="8">
        <v>0.02</v>
      </c>
      <c r="J225" s="8">
        <v>0.12</v>
      </c>
      <c r="K225" s="38">
        <f t="shared" si="33"/>
        <v>0.185</v>
      </c>
      <c r="L225" s="38">
        <f t="shared" si="34"/>
        <v>41.191023999999999</v>
      </c>
      <c r="M225" s="29">
        <f t="shared" si="35"/>
        <v>1730.6322800910591</v>
      </c>
      <c r="N225" s="29">
        <f t="shared" si="36"/>
        <v>5.240423975676386E+25</v>
      </c>
      <c r="O225" s="35">
        <f t="shared" si="37"/>
        <v>1698.3057496487972</v>
      </c>
      <c r="P225" s="35">
        <f t="shared" si="38"/>
        <v>41.150079399597914</v>
      </c>
      <c r="Q225" s="35">
        <f t="shared" si="39"/>
        <v>4.094460040208503E-2</v>
      </c>
      <c r="R225" s="35">
        <f t="shared" si="40"/>
        <v>4.8983500426192012E-2</v>
      </c>
      <c r="S225" s="18">
        <v>1496.4682158267644</v>
      </c>
      <c r="T225" s="35">
        <f t="shared" si="41"/>
        <v>40.875337485474645</v>
      </c>
      <c r="U225" s="35">
        <f t="shared" si="42"/>
        <v>0.31568651452535335</v>
      </c>
      <c r="V225" s="35">
        <f t="shared" si="43"/>
        <v>2.9118473470610993</v>
      </c>
    </row>
    <row r="226" spans="1:22" x14ac:dyDescent="0.25">
      <c r="A226" s="34" t="s">
        <v>13</v>
      </c>
      <c r="B226" s="16">
        <v>0.30299999999999999</v>
      </c>
      <c r="C226" s="8">
        <v>0</v>
      </c>
      <c r="D226" s="8">
        <v>22.298999999999999</v>
      </c>
      <c r="E226" s="8">
        <v>7.5999999999999998E-2</v>
      </c>
      <c r="F226" s="8">
        <v>1.0149999999999999</v>
      </c>
      <c r="G226" s="8">
        <v>0.17299999999999999</v>
      </c>
      <c r="H226" s="8">
        <v>7.0000000000000007E-2</v>
      </c>
      <c r="I226" s="8">
        <v>6.3E-2</v>
      </c>
      <c r="J226" s="8">
        <v>0.12</v>
      </c>
      <c r="K226" s="38">
        <f t="shared" si="33"/>
        <v>0.432</v>
      </c>
      <c r="L226" s="38">
        <f t="shared" si="34"/>
        <v>41.422105000000002</v>
      </c>
      <c r="M226" s="29">
        <f t="shared" si="35"/>
        <v>1924.956855448326</v>
      </c>
      <c r="N226" s="29">
        <f t="shared" si="36"/>
        <v>5.240423975676386E+25</v>
      </c>
      <c r="O226" s="35">
        <f t="shared" si="37"/>
        <v>1698.3057496487972</v>
      </c>
      <c r="P226" s="35">
        <f t="shared" si="38"/>
        <v>41.150079399597914</v>
      </c>
      <c r="Q226" s="35">
        <f t="shared" si="39"/>
        <v>0.27202560040208823</v>
      </c>
      <c r="R226" s="35">
        <f t="shared" si="40"/>
        <v>0.39650809796230169</v>
      </c>
      <c r="S226" s="18">
        <v>1496.4682158267644</v>
      </c>
      <c r="T226" s="35">
        <f t="shared" si="41"/>
        <v>40.875337485474645</v>
      </c>
      <c r="U226" s="35">
        <f t="shared" si="42"/>
        <v>0.54676751452535655</v>
      </c>
      <c r="V226" s="35">
        <f t="shared" si="43"/>
        <v>1.6019092664407364</v>
      </c>
    </row>
    <row r="227" spans="1:22" x14ac:dyDescent="0.25">
      <c r="A227" s="34" t="s">
        <v>247</v>
      </c>
      <c r="B227" s="16">
        <v>0.31</v>
      </c>
      <c r="C227" s="8">
        <v>0</v>
      </c>
      <c r="D227" s="8">
        <v>21.797999999999998</v>
      </c>
      <c r="E227" s="8">
        <v>6.9000000000000006E-2</v>
      </c>
      <c r="F227" s="8">
        <v>1.02</v>
      </c>
      <c r="G227" s="8">
        <v>7.5999999999999998E-2</v>
      </c>
      <c r="H227" s="8">
        <v>2E-3</v>
      </c>
      <c r="I227" s="8">
        <v>0.05</v>
      </c>
      <c r="J227" s="8">
        <v>0.12</v>
      </c>
      <c r="K227" s="38">
        <f t="shared" si="33"/>
        <v>0.315</v>
      </c>
      <c r="L227" s="38">
        <f t="shared" si="34"/>
        <v>41.134679999999996</v>
      </c>
      <c r="M227" s="29">
        <f t="shared" si="35"/>
        <v>1686.3045040622094</v>
      </c>
      <c r="N227" s="29">
        <f t="shared" si="36"/>
        <v>5.3739587471855214E+25</v>
      </c>
      <c r="O227" s="35">
        <f t="shared" si="37"/>
        <v>1741.5814218624623</v>
      </c>
      <c r="P227" s="35">
        <f t="shared" si="38"/>
        <v>41.204718916334087</v>
      </c>
      <c r="Q227" s="35">
        <f t="shared" si="39"/>
        <v>-7.0038916334091539E-2</v>
      </c>
      <c r="R227" s="35">
        <f t="shared" si="40"/>
        <v>4.9437639720371629E-2</v>
      </c>
      <c r="S227" s="18">
        <v>1536.5007801017907</v>
      </c>
      <c r="T227" s="35">
        <f t="shared" si="41"/>
        <v>40.932663925447557</v>
      </c>
      <c r="U227" s="35">
        <f t="shared" si="42"/>
        <v>0.20201607455243931</v>
      </c>
      <c r="V227" s="35">
        <f t="shared" si="43"/>
        <v>0.4112924603434287</v>
      </c>
    </row>
    <row r="228" spans="1:22" x14ac:dyDescent="0.25">
      <c r="A228" s="34" t="s">
        <v>248</v>
      </c>
      <c r="B228" s="16">
        <v>0.311</v>
      </c>
      <c r="C228" s="8">
        <v>0</v>
      </c>
      <c r="D228" s="8">
        <v>21.795999999999999</v>
      </c>
      <c r="E228" s="8">
        <v>4.9000000000000002E-2</v>
      </c>
      <c r="F228" s="8">
        <v>0.872</v>
      </c>
      <c r="G228" s="8">
        <v>6.8000000000000005E-2</v>
      </c>
      <c r="H228" s="8">
        <v>-0.126</v>
      </c>
      <c r="I228" s="8">
        <v>0.04</v>
      </c>
      <c r="J228" s="8">
        <v>0.12</v>
      </c>
      <c r="K228" s="38">
        <f t="shared" si="33"/>
        <v>0.27700000000000002</v>
      </c>
      <c r="L228" s="38">
        <f t="shared" si="34"/>
        <v>41.511564</v>
      </c>
      <c r="M228" s="29">
        <f t="shared" si="35"/>
        <v>2005.9162656137328</v>
      </c>
      <c r="N228" s="29">
        <f t="shared" si="36"/>
        <v>5.3930749251909625E+25</v>
      </c>
      <c r="O228" s="35">
        <f t="shared" si="37"/>
        <v>1747.7765532427932</v>
      </c>
      <c r="P228" s="35">
        <f t="shared" si="38"/>
        <v>41.212429544533677</v>
      </c>
      <c r="Q228" s="35">
        <f t="shared" si="39"/>
        <v>0.29913445546632289</v>
      </c>
      <c r="R228" s="35">
        <f t="shared" si="40"/>
        <v>1.166200816472696</v>
      </c>
      <c r="S228" s="18">
        <v>1542.2374119990202</v>
      </c>
      <c r="T228" s="35">
        <f t="shared" si="41"/>
        <v>40.940756170729628</v>
      </c>
      <c r="U228" s="35">
        <f t="shared" si="42"/>
        <v>0.57080782927037177</v>
      </c>
      <c r="V228" s="35">
        <f t="shared" si="43"/>
        <v>4.2463941659131992</v>
      </c>
    </row>
    <row r="229" spans="1:22" x14ac:dyDescent="0.25">
      <c r="A229" s="34" t="s">
        <v>249</v>
      </c>
      <c r="B229" s="16">
        <v>0.311</v>
      </c>
      <c r="C229" s="8">
        <v>0</v>
      </c>
      <c r="D229" s="8">
        <v>21.571000000000002</v>
      </c>
      <c r="E229" s="8">
        <v>5.0999999999999997E-2</v>
      </c>
      <c r="F229" s="8">
        <v>1.0149999999999999</v>
      </c>
      <c r="G229" s="8">
        <v>0.05</v>
      </c>
      <c r="H229" s="8">
        <v>-9.9000000000000005E-2</v>
      </c>
      <c r="I229" s="8">
        <v>3.3000000000000002E-2</v>
      </c>
      <c r="J229" s="8">
        <v>0.12</v>
      </c>
      <c r="K229" s="38">
        <f t="shared" si="33"/>
        <v>0.254</v>
      </c>
      <c r="L229" s="38">
        <f t="shared" si="34"/>
        <v>41.223075000000001</v>
      </c>
      <c r="M229" s="29">
        <f t="shared" si="35"/>
        <v>1756.3659135550945</v>
      </c>
      <c r="N229" s="29">
        <f t="shared" si="36"/>
        <v>5.3930749251909625E+25</v>
      </c>
      <c r="O229" s="35">
        <f t="shared" si="37"/>
        <v>1747.7765532427932</v>
      </c>
      <c r="P229" s="35">
        <f t="shared" si="38"/>
        <v>41.212429544533677</v>
      </c>
      <c r="Q229" s="35">
        <f t="shared" si="39"/>
        <v>1.0645455466324449E-2</v>
      </c>
      <c r="R229" s="35">
        <f t="shared" si="40"/>
        <v>1.7565522054296158E-3</v>
      </c>
      <c r="S229" s="18">
        <v>1542.2374119990202</v>
      </c>
      <c r="T229" s="35">
        <f t="shared" si="41"/>
        <v>40.940756170729628</v>
      </c>
      <c r="U229" s="35">
        <f t="shared" si="42"/>
        <v>0.28231882927037333</v>
      </c>
      <c r="V229" s="35">
        <f t="shared" si="43"/>
        <v>1.2354132519157139</v>
      </c>
    </row>
    <row r="230" spans="1:22" x14ac:dyDescent="0.25">
      <c r="A230" s="34" t="s">
        <v>250</v>
      </c>
      <c r="B230" s="16">
        <v>0.314</v>
      </c>
      <c r="C230" s="8">
        <v>0</v>
      </c>
      <c r="D230" s="8">
        <v>21.597999999999999</v>
      </c>
      <c r="E230" s="8">
        <v>4.2000000000000003E-2</v>
      </c>
      <c r="F230" s="8">
        <v>1.0900000000000001</v>
      </c>
      <c r="G230" s="8">
        <v>5.1999999999999998E-2</v>
      </c>
      <c r="H230" s="8">
        <v>-5.7000000000000002E-2</v>
      </c>
      <c r="I230" s="8">
        <v>3.6999999999999998E-2</v>
      </c>
      <c r="J230" s="8">
        <v>0.12</v>
      </c>
      <c r="K230" s="38">
        <f t="shared" si="33"/>
        <v>0.251</v>
      </c>
      <c r="L230" s="38">
        <f t="shared" si="34"/>
        <v>41.129639999999995</v>
      </c>
      <c r="M230" s="29">
        <f t="shared" si="35"/>
        <v>1682.3951201782916</v>
      </c>
      <c r="N230" s="29">
        <f t="shared" si="36"/>
        <v>5.4504828486541568E+25</v>
      </c>
      <c r="O230" s="35">
        <f t="shared" si="37"/>
        <v>1766.3811941927377</v>
      </c>
      <c r="P230" s="35">
        <f t="shared" si="38"/>
        <v>41.235422161750847</v>
      </c>
      <c r="Q230" s="35">
        <f t="shared" si="39"/>
        <v>-0.10578216175085231</v>
      </c>
      <c r="R230" s="35">
        <f t="shared" si="40"/>
        <v>0.17761409731089159</v>
      </c>
      <c r="S230" s="18">
        <v>1559.4737287646187</v>
      </c>
      <c r="T230" s="35">
        <f t="shared" si="41"/>
        <v>40.964890314674975</v>
      </c>
      <c r="U230" s="35">
        <f t="shared" si="42"/>
        <v>0.16474968532502032</v>
      </c>
      <c r="V230" s="35">
        <f t="shared" si="43"/>
        <v>0.43082584109289085</v>
      </c>
    </row>
    <row r="231" spans="1:22" x14ac:dyDescent="0.25">
      <c r="A231" s="34" t="s">
        <v>251</v>
      </c>
      <c r="B231" s="16">
        <v>0.32200000000000001</v>
      </c>
      <c r="C231" s="8">
        <v>0</v>
      </c>
      <c r="D231" s="8">
        <v>21.535</v>
      </c>
      <c r="E231" s="8">
        <v>4.2000000000000003E-2</v>
      </c>
      <c r="F231" s="8">
        <v>1.0249999999999999</v>
      </c>
      <c r="G231" s="8">
        <v>5.6000000000000001E-2</v>
      </c>
      <c r="H231" s="8">
        <v>-0.123</v>
      </c>
      <c r="I231" s="8">
        <v>3.3000000000000002E-2</v>
      </c>
      <c r="J231" s="8">
        <v>0.12</v>
      </c>
      <c r="K231" s="38">
        <f t="shared" si="33"/>
        <v>0.251</v>
      </c>
      <c r="L231" s="38">
        <f t="shared" si="34"/>
        <v>41.263665000000003</v>
      </c>
      <c r="M231" s="29">
        <f t="shared" si="35"/>
        <v>1789.5053453943051</v>
      </c>
      <c r="N231" s="29">
        <f t="shared" si="36"/>
        <v>5.6040039164034944E+25</v>
      </c>
      <c r="O231" s="35">
        <f t="shared" si="37"/>
        <v>1816.1339839023281</v>
      </c>
      <c r="P231" s="35">
        <f t="shared" si="38"/>
        <v>41.295739425559105</v>
      </c>
      <c r="Q231" s="35">
        <f t="shared" si="39"/>
        <v>-3.2074425559102338E-2</v>
      </c>
      <c r="R231" s="35">
        <f t="shared" si="40"/>
        <v>1.6329403897499994E-2</v>
      </c>
      <c r="S231" s="18">
        <v>1605.6300384394551</v>
      </c>
      <c r="T231" s="35">
        <f t="shared" si="41"/>
        <v>41.028227422105886</v>
      </c>
      <c r="U231" s="35">
        <f t="shared" si="42"/>
        <v>0.23543757789411757</v>
      </c>
      <c r="V231" s="35">
        <f t="shared" si="43"/>
        <v>0.8798408451397387</v>
      </c>
    </row>
    <row r="232" spans="1:22" x14ac:dyDescent="0.25">
      <c r="A232" s="34" t="s">
        <v>252</v>
      </c>
      <c r="B232" s="16">
        <v>0.32300000000000001</v>
      </c>
      <c r="C232" s="8">
        <v>1E-3</v>
      </c>
      <c r="D232" s="8">
        <v>22.001000000000001</v>
      </c>
      <c r="E232" s="8">
        <v>0.03</v>
      </c>
      <c r="F232" s="8">
        <v>0.98699999999999999</v>
      </c>
      <c r="G232" s="8">
        <v>2.1000000000000001E-2</v>
      </c>
      <c r="H232" s="8">
        <v>-1.2999999999999999E-2</v>
      </c>
      <c r="I232" s="8">
        <v>0.02</v>
      </c>
      <c r="J232" s="8">
        <v>0.12</v>
      </c>
      <c r="K232" s="38">
        <f t="shared" si="33"/>
        <v>0.191</v>
      </c>
      <c r="L232" s="38">
        <f t="shared" si="34"/>
        <v>41.379778999999999</v>
      </c>
      <c r="M232" s="29">
        <f t="shared" si="35"/>
        <v>1887.7992099493317</v>
      </c>
      <c r="N232" s="29">
        <f t="shared" si="36"/>
        <v>5.6232381328622031E+25</v>
      </c>
      <c r="O232" s="35">
        <f t="shared" si="37"/>
        <v>1822.367368940148</v>
      </c>
      <c r="P232" s="35">
        <f t="shared" si="38"/>
        <v>41.30317965193646</v>
      </c>
      <c r="Q232" s="35">
        <f t="shared" si="39"/>
        <v>7.6599348063538741E-2</v>
      </c>
      <c r="R232" s="35">
        <f t="shared" si="40"/>
        <v>0.16083605503574891</v>
      </c>
      <c r="S232" s="18">
        <v>1611.4191977025766</v>
      </c>
      <c r="T232" s="35">
        <f t="shared" si="41"/>
        <v>41.036042666611607</v>
      </c>
      <c r="U232" s="35">
        <f t="shared" si="42"/>
        <v>0.34373633338839227</v>
      </c>
      <c r="V232" s="35">
        <f t="shared" si="43"/>
        <v>3.2388001121486791</v>
      </c>
    </row>
    <row r="233" spans="1:22" x14ac:dyDescent="0.25">
      <c r="A233" s="34" t="s">
        <v>253</v>
      </c>
      <c r="B233" s="16">
        <v>0.32800000000000001</v>
      </c>
      <c r="C233" s="8">
        <v>0</v>
      </c>
      <c r="D233" s="8">
        <v>21.632999999999999</v>
      </c>
      <c r="E233" s="8">
        <v>4.2000000000000003E-2</v>
      </c>
      <c r="F233" s="8">
        <v>1.0760000000000001</v>
      </c>
      <c r="G233" s="8">
        <v>6.7000000000000004E-2</v>
      </c>
      <c r="H233" s="8">
        <v>-4.1000000000000002E-2</v>
      </c>
      <c r="I233" s="8">
        <v>3.5999999999999997E-2</v>
      </c>
      <c r="J233" s="8">
        <v>0.12</v>
      </c>
      <c r="K233" s="38">
        <f t="shared" si="33"/>
        <v>0.26500000000000001</v>
      </c>
      <c r="L233" s="38">
        <f t="shared" si="34"/>
        <v>41.112501999999992</v>
      </c>
      <c r="M233" s="29">
        <f t="shared" si="35"/>
        <v>1669.1693445721248</v>
      </c>
      <c r="N233" s="29">
        <f t="shared" si="36"/>
        <v>5.7195552747762377E+25</v>
      </c>
      <c r="O233" s="35">
        <f t="shared" si="37"/>
        <v>1853.5816288285823</v>
      </c>
      <c r="P233" s="35">
        <f t="shared" si="38"/>
        <v>41.340058582173754</v>
      </c>
      <c r="Q233" s="35">
        <f t="shared" si="39"/>
        <v>-0.22755658217376151</v>
      </c>
      <c r="R233" s="35">
        <f t="shared" si="40"/>
        <v>0.73737270331938576</v>
      </c>
      <c r="S233" s="18">
        <v>1640.4300186262299</v>
      </c>
      <c r="T233" s="35">
        <f t="shared" si="41"/>
        <v>41.074788539740375</v>
      </c>
      <c r="U233" s="35">
        <f t="shared" si="42"/>
        <v>3.7713460259617193E-2</v>
      </c>
      <c r="V233" s="35">
        <f t="shared" si="43"/>
        <v>2.0253543392719474E-2</v>
      </c>
    </row>
    <row r="234" spans="1:22" x14ac:dyDescent="0.25">
      <c r="A234" s="34" t="s">
        <v>254</v>
      </c>
      <c r="B234" s="16">
        <v>0.33200000000000002</v>
      </c>
      <c r="C234" s="8">
        <v>2E-3</v>
      </c>
      <c r="D234" s="8">
        <v>21.866</v>
      </c>
      <c r="E234" s="8">
        <v>3.2000000000000001E-2</v>
      </c>
      <c r="F234" s="8">
        <v>1.048</v>
      </c>
      <c r="G234" s="8">
        <v>0.02</v>
      </c>
      <c r="H234" s="8">
        <v>1.6E-2</v>
      </c>
      <c r="I234" s="8">
        <v>2.1999999999999999E-2</v>
      </c>
      <c r="J234" s="8">
        <v>0.12</v>
      </c>
      <c r="K234" s="38">
        <f t="shared" si="33"/>
        <v>0.19400000000000001</v>
      </c>
      <c r="L234" s="38">
        <f t="shared" si="34"/>
        <v>41.162976</v>
      </c>
      <c r="M234" s="29">
        <f t="shared" si="35"/>
        <v>1708.422175580462</v>
      </c>
      <c r="N234" s="29">
        <f t="shared" si="36"/>
        <v>5.7967835082588142E+25</v>
      </c>
      <c r="O234" s="35">
        <f t="shared" si="37"/>
        <v>1878.6095948037496</v>
      </c>
      <c r="P234" s="35">
        <f t="shared" si="38"/>
        <v>41.369182680601327</v>
      </c>
      <c r="Q234" s="35">
        <f t="shared" si="39"/>
        <v>-0.2062066806013263</v>
      </c>
      <c r="R234" s="35">
        <f t="shared" si="40"/>
        <v>1.1298011245779944</v>
      </c>
      <c r="S234" s="18">
        <v>1663.7163831416265</v>
      </c>
      <c r="T234" s="35">
        <f t="shared" si="41"/>
        <v>41.105396466339762</v>
      </c>
      <c r="U234" s="35">
        <f t="shared" si="42"/>
        <v>5.7579533660238269E-2</v>
      </c>
      <c r="V234" s="35">
        <f t="shared" si="43"/>
        <v>8.8091260934491225E-2</v>
      </c>
    </row>
    <row r="235" spans="1:22" x14ac:dyDescent="0.25">
      <c r="A235" s="34" t="s">
        <v>255</v>
      </c>
      <c r="B235" s="16">
        <v>0.33700000000000002</v>
      </c>
      <c r="C235" s="8">
        <v>0</v>
      </c>
      <c r="D235" s="8">
        <v>21.957000000000001</v>
      </c>
      <c r="E235" s="8">
        <v>0.03</v>
      </c>
      <c r="F235" s="8">
        <v>1.127</v>
      </c>
      <c r="G235" s="8">
        <v>1.2999999999999999E-2</v>
      </c>
      <c r="H235" s="8">
        <v>-4.0000000000000001E-3</v>
      </c>
      <c r="I235" s="8">
        <v>2.1000000000000001E-2</v>
      </c>
      <c r="J235" s="8">
        <v>0.12</v>
      </c>
      <c r="K235" s="38">
        <f t="shared" si="33"/>
        <v>0.184</v>
      </c>
      <c r="L235" s="38">
        <f t="shared" si="34"/>
        <v>41.328188999999995</v>
      </c>
      <c r="M235" s="29">
        <f t="shared" si="35"/>
        <v>1843.4773245800427</v>
      </c>
      <c r="N235" s="29">
        <f t="shared" si="36"/>
        <v>5.8935356432052006E+25</v>
      </c>
      <c r="O235" s="35">
        <f t="shared" si="37"/>
        <v>1909.9648263332817</v>
      </c>
      <c r="P235" s="35">
        <f t="shared" si="38"/>
        <v>41.405126847050099</v>
      </c>
      <c r="Q235" s="35">
        <f t="shared" si="39"/>
        <v>-7.6937847050103869E-2</v>
      </c>
      <c r="R235" s="35">
        <f t="shared" si="40"/>
        <v>0.17484145524294592</v>
      </c>
      <c r="S235" s="18">
        <v>1692.9209127694885</v>
      </c>
      <c r="T235" s="35">
        <f t="shared" si="41"/>
        <v>41.143183349463527</v>
      </c>
      <c r="U235" s="35">
        <f t="shared" si="42"/>
        <v>0.18500565053646767</v>
      </c>
      <c r="V235" s="35">
        <f t="shared" si="43"/>
        <v>1.0109608556953451</v>
      </c>
    </row>
    <row r="236" spans="1:22" x14ac:dyDescent="0.25">
      <c r="A236" s="34" t="s">
        <v>256</v>
      </c>
      <c r="B236" s="16">
        <v>0.34</v>
      </c>
      <c r="C236" s="8">
        <v>0</v>
      </c>
      <c r="D236" s="8">
        <v>21.79</v>
      </c>
      <c r="E236" s="8">
        <v>6.0999999999999999E-2</v>
      </c>
      <c r="F236" s="8">
        <v>1.1910000000000001</v>
      </c>
      <c r="G236" s="8">
        <v>5.3999999999999999E-2</v>
      </c>
      <c r="H236" s="8">
        <v>-0.04</v>
      </c>
      <c r="I236" s="8">
        <v>4.2999999999999997E-2</v>
      </c>
      <c r="J236" s="8">
        <v>0.12</v>
      </c>
      <c r="K236" s="38">
        <f t="shared" si="33"/>
        <v>0.27799999999999997</v>
      </c>
      <c r="L236" s="38">
        <f t="shared" si="34"/>
        <v>41.283276999999998</v>
      </c>
      <c r="M236" s="29">
        <f t="shared" si="35"/>
        <v>1805.7407548140898</v>
      </c>
      <c r="N236" s="29">
        <f t="shared" si="36"/>
        <v>5.9517019807475962E+25</v>
      </c>
      <c r="O236" s="35">
        <f t="shared" si="37"/>
        <v>1928.815252547415</v>
      </c>
      <c r="P236" s="35">
        <f t="shared" si="38"/>
        <v>41.426453158329224</v>
      </c>
      <c r="Q236" s="35">
        <f t="shared" si="39"/>
        <v>-0.1431761583292257</v>
      </c>
      <c r="R236" s="35">
        <f t="shared" si="40"/>
        <v>0.26524781732202674</v>
      </c>
      <c r="S236" s="18">
        <v>1710.4948815443258</v>
      </c>
      <c r="T236" s="35">
        <f t="shared" si="41"/>
        <v>41.16560889473817</v>
      </c>
      <c r="U236" s="35">
        <f t="shared" si="42"/>
        <v>0.1176681052618278</v>
      </c>
      <c r="V236" s="35">
        <f t="shared" si="43"/>
        <v>0.1791545856310309</v>
      </c>
    </row>
    <row r="237" spans="1:22" x14ac:dyDescent="0.25">
      <c r="A237" s="34" t="s">
        <v>257</v>
      </c>
      <c r="B237" s="16">
        <v>0.34</v>
      </c>
      <c r="C237" s="8">
        <v>0</v>
      </c>
      <c r="D237" s="8">
        <v>22.141999999999999</v>
      </c>
      <c r="E237" s="8">
        <v>2.9000000000000001E-2</v>
      </c>
      <c r="F237" s="8">
        <v>1.0589999999999999</v>
      </c>
      <c r="G237" s="8">
        <v>1.4999999999999999E-2</v>
      </c>
      <c r="H237" s="8">
        <v>8.9999999999999993E-3</v>
      </c>
      <c r="I237" s="8">
        <v>0.02</v>
      </c>
      <c r="J237" s="8">
        <v>0.12</v>
      </c>
      <c r="K237" s="38">
        <f t="shared" si="33"/>
        <v>0.184</v>
      </c>
      <c r="L237" s="38">
        <f t="shared" si="34"/>
        <v>41.462502999999998</v>
      </c>
      <c r="M237" s="29">
        <f t="shared" si="35"/>
        <v>1961.103884839318</v>
      </c>
      <c r="N237" s="29">
        <f t="shared" si="36"/>
        <v>5.9517019807475962E+25</v>
      </c>
      <c r="O237" s="35">
        <f t="shared" si="37"/>
        <v>1928.815252547415</v>
      </c>
      <c r="P237" s="35">
        <f t="shared" si="38"/>
        <v>41.426453158329224</v>
      </c>
      <c r="Q237" s="35">
        <f t="shared" si="39"/>
        <v>3.6049841670774185E-2</v>
      </c>
      <c r="R237" s="35">
        <f t="shared" si="40"/>
        <v>3.8385842523862443E-2</v>
      </c>
      <c r="S237" s="18">
        <v>1710.4948815443258</v>
      </c>
      <c r="T237" s="35">
        <f t="shared" si="41"/>
        <v>41.16560889473817</v>
      </c>
      <c r="U237" s="35">
        <f t="shared" si="42"/>
        <v>0.29689410526182769</v>
      </c>
      <c r="V237" s="35">
        <f t="shared" si="43"/>
        <v>2.603559479537489</v>
      </c>
    </row>
    <row r="238" spans="1:22" x14ac:dyDescent="0.25">
      <c r="A238" s="34" t="s">
        <v>258</v>
      </c>
      <c r="B238" s="16">
        <v>0.34699999999999998</v>
      </c>
      <c r="C238" s="8">
        <v>1E-3</v>
      </c>
      <c r="D238" s="8">
        <v>22.420999999999999</v>
      </c>
      <c r="E238" s="8">
        <v>3.4000000000000002E-2</v>
      </c>
      <c r="F238" s="8">
        <v>0.88</v>
      </c>
      <c r="G238" s="8">
        <v>1.4E-2</v>
      </c>
      <c r="H238" s="8">
        <v>2E-3</v>
      </c>
      <c r="I238" s="8">
        <v>2.4E-2</v>
      </c>
      <c r="J238" s="8">
        <v>0.12</v>
      </c>
      <c r="K238" s="38">
        <f t="shared" si="33"/>
        <v>0.192</v>
      </c>
      <c r="L238" s="38">
        <f t="shared" si="34"/>
        <v>41.737099999999998</v>
      </c>
      <c r="M238" s="29">
        <f t="shared" si="35"/>
        <v>2225.4610619560453</v>
      </c>
      <c r="N238" s="29">
        <f t="shared" si="36"/>
        <v>6.0877568719403162E+25</v>
      </c>
      <c r="O238" s="35">
        <f t="shared" si="37"/>
        <v>1972.907639929223</v>
      </c>
      <c r="P238" s="35">
        <f t="shared" si="38"/>
        <v>41.475533772920954</v>
      </c>
      <c r="Q238" s="35">
        <f t="shared" si="39"/>
        <v>0.26156622707904376</v>
      </c>
      <c r="R238" s="35">
        <f t="shared" si="40"/>
        <v>1.8559269517243349</v>
      </c>
      <c r="S238" s="18">
        <v>1751.6493655608406</v>
      </c>
      <c r="T238" s="35">
        <f t="shared" si="41"/>
        <v>41.217235880615291</v>
      </c>
      <c r="U238" s="35">
        <f t="shared" si="42"/>
        <v>0.51986411938470667</v>
      </c>
      <c r="V238" s="35">
        <f t="shared" si="43"/>
        <v>7.3312365078026405</v>
      </c>
    </row>
    <row r="239" spans="1:22" x14ac:dyDescent="0.25">
      <c r="A239" s="34" t="s">
        <v>259</v>
      </c>
      <c r="B239" s="16">
        <v>0.34799999999999998</v>
      </c>
      <c r="C239" s="8">
        <v>1E-3</v>
      </c>
      <c r="D239" s="8">
        <v>22.58</v>
      </c>
      <c r="E239" s="8">
        <v>0.04</v>
      </c>
      <c r="F239" s="8">
        <v>0.84499999999999997</v>
      </c>
      <c r="G239" s="8">
        <v>1.7000000000000001E-2</v>
      </c>
      <c r="H239" s="8">
        <v>0.14199999999999999</v>
      </c>
      <c r="I239" s="8">
        <v>2.8000000000000001E-2</v>
      </c>
      <c r="J239" s="8">
        <v>0.12</v>
      </c>
      <c r="K239" s="38">
        <f t="shared" si="33"/>
        <v>0.20500000000000002</v>
      </c>
      <c r="L239" s="38">
        <f t="shared" si="34"/>
        <v>41.452754999999996</v>
      </c>
      <c r="M239" s="29">
        <f t="shared" si="35"/>
        <v>1952.3199851099714</v>
      </c>
      <c r="N239" s="29">
        <f t="shared" si="36"/>
        <v>6.1072312135197436E+25</v>
      </c>
      <c r="O239" s="35">
        <f t="shared" si="37"/>
        <v>1979.2188442188908</v>
      </c>
      <c r="P239" s="35">
        <f t="shared" si="38"/>
        <v>41.482469086196147</v>
      </c>
      <c r="Q239" s="35">
        <f t="shared" si="39"/>
        <v>-2.9714086196150902E-2</v>
      </c>
      <c r="R239" s="35">
        <f t="shared" si="40"/>
        <v>2.1009563794700425E-2</v>
      </c>
      <c r="S239" s="18">
        <v>1757.5454783008311</v>
      </c>
      <c r="T239" s="35">
        <f t="shared" si="41"/>
        <v>41.224532858273122</v>
      </c>
      <c r="U239" s="35">
        <f t="shared" si="42"/>
        <v>0.22822214172687438</v>
      </c>
      <c r="V239" s="35">
        <f t="shared" si="43"/>
        <v>1.2393895532278769</v>
      </c>
    </row>
    <row r="240" spans="1:22" x14ac:dyDescent="0.25">
      <c r="A240" s="34" t="s">
        <v>260</v>
      </c>
      <c r="B240" s="16">
        <v>0.34799999999999998</v>
      </c>
      <c r="C240" s="8">
        <v>1E-3</v>
      </c>
      <c r="D240" s="8">
        <v>22.248999999999999</v>
      </c>
      <c r="E240" s="8">
        <v>3.4000000000000002E-2</v>
      </c>
      <c r="F240" s="8">
        <v>0.98799999999999999</v>
      </c>
      <c r="G240" s="8">
        <v>0.02</v>
      </c>
      <c r="H240" s="8">
        <v>-4.5999999999999999E-2</v>
      </c>
      <c r="I240" s="8">
        <v>2.4E-2</v>
      </c>
      <c r="J240" s="8">
        <v>0.12</v>
      </c>
      <c r="K240" s="38">
        <f t="shared" si="33"/>
        <v>0.19800000000000001</v>
      </c>
      <c r="L240" s="38">
        <f t="shared" si="34"/>
        <v>41.731215999999996</v>
      </c>
      <c r="M240" s="29">
        <f t="shared" si="35"/>
        <v>2219.4389325818279</v>
      </c>
      <c r="N240" s="29">
        <f t="shared" si="36"/>
        <v>6.1072312135197436E+25</v>
      </c>
      <c r="O240" s="35">
        <f t="shared" si="37"/>
        <v>1979.2188442188908</v>
      </c>
      <c r="P240" s="35">
        <f t="shared" si="38"/>
        <v>41.482469086196147</v>
      </c>
      <c r="Q240" s="35">
        <f t="shared" si="39"/>
        <v>0.24874691380384917</v>
      </c>
      <c r="R240" s="35">
        <f t="shared" si="40"/>
        <v>1.5782835202259862</v>
      </c>
      <c r="S240" s="18">
        <v>1757.5454783008311</v>
      </c>
      <c r="T240" s="35">
        <f t="shared" si="41"/>
        <v>41.224532858273122</v>
      </c>
      <c r="U240" s="35">
        <f t="shared" si="42"/>
        <v>0.50668314172687445</v>
      </c>
      <c r="V240" s="35">
        <f t="shared" si="43"/>
        <v>6.5485105119430651</v>
      </c>
    </row>
    <row r="241" spans="1:22" x14ac:dyDescent="0.25">
      <c r="A241" s="34" t="s">
        <v>261</v>
      </c>
      <c r="B241" s="16">
        <v>0.35</v>
      </c>
      <c r="C241" s="8">
        <v>0</v>
      </c>
      <c r="D241" s="8">
        <v>22.062000000000001</v>
      </c>
      <c r="E241" s="8">
        <v>7.3999999999999996E-2</v>
      </c>
      <c r="F241" s="8">
        <v>1.1259999999999999</v>
      </c>
      <c r="G241" s="8">
        <v>7.9000000000000001E-2</v>
      </c>
      <c r="H241" s="8">
        <v>2.1999999999999999E-2</v>
      </c>
      <c r="I241" s="8">
        <v>4.9000000000000002E-2</v>
      </c>
      <c r="J241" s="8">
        <v>0.12</v>
      </c>
      <c r="K241" s="38">
        <f t="shared" si="33"/>
        <v>0.32200000000000001</v>
      </c>
      <c r="L241" s="38">
        <f t="shared" si="34"/>
        <v>41.351662000000005</v>
      </c>
      <c r="M241" s="29">
        <f t="shared" si="35"/>
        <v>1863.5128851335453</v>
      </c>
      <c r="N241" s="29">
        <f t="shared" si="36"/>
        <v>6.1462082220439537E+25</v>
      </c>
      <c r="O241" s="35">
        <f t="shared" si="37"/>
        <v>1991.8504324239716</v>
      </c>
      <c r="P241" s="35">
        <f t="shared" si="38"/>
        <v>41.496283621212349</v>
      </c>
      <c r="Q241" s="35">
        <f t="shared" si="39"/>
        <v>-0.14462162121234456</v>
      </c>
      <c r="R241" s="35">
        <f t="shared" si="40"/>
        <v>0.20172267005600544</v>
      </c>
      <c r="S241" s="18">
        <v>1769.35032689798</v>
      </c>
      <c r="T241" s="35">
        <f t="shared" si="41"/>
        <v>41.239069153173531</v>
      </c>
      <c r="U241" s="35">
        <f t="shared" si="42"/>
        <v>0.11259284682647319</v>
      </c>
      <c r="V241" s="35">
        <f t="shared" si="43"/>
        <v>0.12226716905684246</v>
      </c>
    </row>
    <row r="242" spans="1:22" x14ac:dyDescent="0.25">
      <c r="A242" s="34" t="s">
        <v>262</v>
      </c>
      <c r="B242" s="16">
        <v>0.35</v>
      </c>
      <c r="C242" s="8">
        <v>0.01</v>
      </c>
      <c r="D242" s="8">
        <v>22.693000000000001</v>
      </c>
      <c r="E242" s="8">
        <v>0.03</v>
      </c>
      <c r="F242" s="8">
        <v>0.93100000000000005</v>
      </c>
      <c r="G242" s="8">
        <v>2.1999999999999999E-2</v>
      </c>
      <c r="H242" s="8">
        <v>5.7000000000000002E-2</v>
      </c>
      <c r="I242" s="8">
        <v>2.1999999999999999E-2</v>
      </c>
      <c r="J242" s="8">
        <v>0.12</v>
      </c>
      <c r="K242" s="38">
        <f t="shared" si="33"/>
        <v>0.19400000000000001</v>
      </c>
      <c r="L242" s="38">
        <f t="shared" si="34"/>
        <v>41.844447000000002</v>
      </c>
      <c r="M242" s="29">
        <f t="shared" si="35"/>
        <v>2338.2416923785149</v>
      </c>
      <c r="N242" s="29">
        <f t="shared" si="36"/>
        <v>6.1462082220439537E+25</v>
      </c>
      <c r="O242" s="35">
        <f t="shared" si="37"/>
        <v>1991.8504324239716</v>
      </c>
      <c r="P242" s="35">
        <f t="shared" si="38"/>
        <v>41.496283621212349</v>
      </c>
      <c r="Q242" s="35">
        <f t="shared" si="39"/>
        <v>0.34816337878765324</v>
      </c>
      <c r="R242" s="35">
        <f t="shared" si="40"/>
        <v>3.2207922820925416</v>
      </c>
      <c r="S242" s="18">
        <v>1769.35032689798</v>
      </c>
      <c r="T242" s="35">
        <f t="shared" si="41"/>
        <v>41.239069153173531</v>
      </c>
      <c r="U242" s="35">
        <f t="shared" si="42"/>
        <v>0.605377846826471</v>
      </c>
      <c r="V242" s="35">
        <f t="shared" si="43"/>
        <v>9.7375474925139276</v>
      </c>
    </row>
    <row r="243" spans="1:22" x14ac:dyDescent="0.25">
      <c r="A243" s="34" t="s">
        <v>263</v>
      </c>
      <c r="B243" s="16">
        <v>0.35399999999999998</v>
      </c>
      <c r="C243" s="8">
        <v>0</v>
      </c>
      <c r="D243" s="8">
        <v>22.417000000000002</v>
      </c>
      <c r="E243" s="8">
        <v>3.7999999999999999E-2</v>
      </c>
      <c r="F243" s="8">
        <v>1.1379999999999999</v>
      </c>
      <c r="G243" s="8">
        <v>2.5999999999999999E-2</v>
      </c>
      <c r="H243" s="8">
        <v>5.8000000000000003E-2</v>
      </c>
      <c r="I243" s="8">
        <v>2.4E-2</v>
      </c>
      <c r="J243" s="8">
        <v>0.12</v>
      </c>
      <c r="K243" s="38">
        <f t="shared" si="33"/>
        <v>0.20799999999999999</v>
      </c>
      <c r="L243" s="38">
        <f t="shared" si="34"/>
        <v>41.595746000000005</v>
      </c>
      <c r="M243" s="29">
        <f t="shared" si="35"/>
        <v>2085.2071239919665</v>
      </c>
      <c r="N243" s="29">
        <f t="shared" si="36"/>
        <v>6.2242752036335461E+25</v>
      </c>
      <c r="O243" s="35">
        <f t="shared" si="37"/>
        <v>2017.1502181486981</v>
      </c>
      <c r="P243" s="35">
        <f t="shared" si="38"/>
        <v>41.523691207682106</v>
      </c>
      <c r="Q243" s="35">
        <f t="shared" si="39"/>
        <v>7.2054792317899796E-2</v>
      </c>
      <c r="R243" s="35">
        <f t="shared" si="40"/>
        <v>0.12000492548020691</v>
      </c>
      <c r="S243" s="18">
        <v>1793.0103703263565</v>
      </c>
      <c r="T243" s="35">
        <f t="shared" si="41"/>
        <v>41.267914007103968</v>
      </c>
      <c r="U243" s="35">
        <f t="shared" si="42"/>
        <v>0.32783199289603715</v>
      </c>
      <c r="V243" s="35">
        <f t="shared" si="43"/>
        <v>2.4841395979610614</v>
      </c>
    </row>
    <row r="244" spans="1:22" x14ac:dyDescent="0.25">
      <c r="A244" s="34" t="s">
        <v>264</v>
      </c>
      <c r="B244" s="16">
        <v>0.35499999999999998</v>
      </c>
      <c r="C244" s="8">
        <v>1E-3</v>
      </c>
      <c r="D244" s="8">
        <v>22.951000000000001</v>
      </c>
      <c r="E244" s="8">
        <v>3.2000000000000001E-2</v>
      </c>
      <c r="F244" s="8">
        <v>1.002</v>
      </c>
      <c r="G244" s="8">
        <v>3.3000000000000002E-2</v>
      </c>
      <c r="H244" s="8">
        <v>0.24099999999999999</v>
      </c>
      <c r="I244" s="8">
        <v>2.5999999999999999E-2</v>
      </c>
      <c r="J244" s="8">
        <v>0.12</v>
      </c>
      <c r="K244" s="38">
        <f t="shared" si="33"/>
        <v>0.21099999999999999</v>
      </c>
      <c r="L244" s="38">
        <f t="shared" si="34"/>
        <v>41.536963999999998</v>
      </c>
      <c r="M244" s="29">
        <f t="shared" si="35"/>
        <v>2029.5174977686668</v>
      </c>
      <c r="N244" s="29">
        <f t="shared" si="36"/>
        <v>6.2438154133570826E+25</v>
      </c>
      <c r="O244" s="35">
        <f t="shared" si="37"/>
        <v>2023.4827688501023</v>
      </c>
      <c r="P244" s="35">
        <f t="shared" si="38"/>
        <v>41.53049755234764</v>
      </c>
      <c r="Q244" s="35">
        <f t="shared" si="39"/>
        <v>6.4664476523574876E-3</v>
      </c>
      <c r="R244" s="35">
        <f t="shared" si="40"/>
        <v>9.3921846411086152E-4</v>
      </c>
      <c r="S244" s="18">
        <v>1798.9358395865763</v>
      </c>
      <c r="T244" s="35">
        <f t="shared" si="41"/>
        <v>41.275078370895613</v>
      </c>
      <c r="U244" s="35">
        <f t="shared" si="42"/>
        <v>0.26188562910438407</v>
      </c>
      <c r="V244" s="35">
        <f t="shared" si="43"/>
        <v>1.5404883702387417</v>
      </c>
    </row>
    <row r="245" spans="1:22" x14ac:dyDescent="0.25">
      <c r="A245" s="34" t="s">
        <v>265</v>
      </c>
      <c r="B245" s="16">
        <v>0.35699999999999998</v>
      </c>
      <c r="C245" s="8">
        <v>2E-3</v>
      </c>
      <c r="D245" s="8">
        <v>22.437000000000001</v>
      </c>
      <c r="E245" s="8">
        <v>3.1E-2</v>
      </c>
      <c r="F245" s="8">
        <v>1.01</v>
      </c>
      <c r="G245" s="8">
        <v>1.7000000000000001E-2</v>
      </c>
      <c r="H245" s="8">
        <v>8.1000000000000003E-2</v>
      </c>
      <c r="I245" s="8">
        <v>2.3E-2</v>
      </c>
      <c r="J245" s="8">
        <v>0.12</v>
      </c>
      <c r="K245" s="38">
        <f t="shared" si="33"/>
        <v>0.191</v>
      </c>
      <c r="L245" s="38">
        <f t="shared" si="34"/>
        <v>41.524940000000001</v>
      </c>
      <c r="M245" s="29">
        <f t="shared" si="35"/>
        <v>2018.310594928427</v>
      </c>
      <c r="N245" s="29">
        <f t="shared" si="36"/>
        <v>6.2829239063721311E+25</v>
      </c>
      <c r="O245" s="35">
        <f t="shared" si="37"/>
        <v>2036.1569682766828</v>
      </c>
      <c r="P245" s="35">
        <f t="shared" si="38"/>
        <v>41.544056274582651</v>
      </c>
      <c r="Q245" s="35">
        <f t="shared" si="39"/>
        <v>-1.9116274582650306E-2</v>
      </c>
      <c r="R245" s="35">
        <f t="shared" si="40"/>
        <v>1.0017048708074947E-2</v>
      </c>
      <c r="S245" s="18">
        <v>1810.7992918104371</v>
      </c>
      <c r="T245" s="35">
        <f t="shared" si="41"/>
        <v>41.289351579870214</v>
      </c>
      <c r="U245" s="35">
        <f t="shared" si="42"/>
        <v>0.23558842012978687</v>
      </c>
      <c r="V245" s="35">
        <f t="shared" si="43"/>
        <v>1.5213920588593781</v>
      </c>
    </row>
    <row r="246" spans="1:22" x14ac:dyDescent="0.25">
      <c r="A246" s="34" t="s">
        <v>266</v>
      </c>
      <c r="B246" s="16">
        <v>0.35799999999999998</v>
      </c>
      <c r="C246" s="8">
        <v>1E-3</v>
      </c>
      <c r="D246" s="8">
        <v>22.536999999999999</v>
      </c>
      <c r="E246" s="8">
        <v>0.03</v>
      </c>
      <c r="F246" s="8">
        <v>0.96</v>
      </c>
      <c r="G246" s="8">
        <v>1.2999999999999999E-2</v>
      </c>
      <c r="H246" s="8">
        <v>0.11</v>
      </c>
      <c r="I246" s="8">
        <v>2.1000000000000001E-2</v>
      </c>
      <c r="J246" s="8">
        <v>0.12</v>
      </c>
      <c r="K246" s="38">
        <f t="shared" si="33"/>
        <v>0.184</v>
      </c>
      <c r="L246" s="38">
        <f t="shared" si="34"/>
        <v>41.526820000000001</v>
      </c>
      <c r="M246" s="29">
        <f t="shared" si="35"/>
        <v>2020.0587483606037</v>
      </c>
      <c r="N246" s="29">
        <f t="shared" si="36"/>
        <v>6.3024921658523032E+25</v>
      </c>
      <c r="O246" s="35">
        <f t="shared" si="37"/>
        <v>2042.4986092851293</v>
      </c>
      <c r="P246" s="35">
        <f t="shared" si="38"/>
        <v>41.550808847491055</v>
      </c>
      <c r="Q246" s="35">
        <f t="shared" si="39"/>
        <v>-2.3988847491054344E-2</v>
      </c>
      <c r="R246" s="35">
        <f t="shared" si="40"/>
        <v>1.6997424502276239E-2</v>
      </c>
      <c r="S246" s="18">
        <v>1816.7372644037046</v>
      </c>
      <c r="T246" s="35">
        <f t="shared" si="41"/>
        <v>41.296460622037841</v>
      </c>
      <c r="U246" s="35">
        <f t="shared" si="42"/>
        <v>0.23035937796215933</v>
      </c>
      <c r="V246" s="35">
        <f t="shared" si="43"/>
        <v>1.5673866675068815</v>
      </c>
    </row>
    <row r="247" spans="1:22" x14ac:dyDescent="0.25">
      <c r="A247" s="34" t="s">
        <v>267</v>
      </c>
      <c r="B247" s="16">
        <v>0.36899999999999999</v>
      </c>
      <c r="C247" s="8">
        <v>0</v>
      </c>
      <c r="D247" s="8">
        <v>22.166</v>
      </c>
      <c r="E247" s="8">
        <v>2.9000000000000001E-2</v>
      </c>
      <c r="F247" s="8">
        <v>1.071</v>
      </c>
      <c r="G247" s="8">
        <v>1.0999999999999999E-2</v>
      </c>
      <c r="H247" s="8">
        <v>-0.06</v>
      </c>
      <c r="I247" s="8">
        <v>1.9E-2</v>
      </c>
      <c r="J247" s="8">
        <v>0.12</v>
      </c>
      <c r="K247" s="38">
        <f t="shared" si="33"/>
        <v>0.17899999999999999</v>
      </c>
      <c r="L247" s="38">
        <f t="shared" si="34"/>
        <v>41.704236999999999</v>
      </c>
      <c r="M247" s="29">
        <f t="shared" si="35"/>
        <v>2192.0345749955786</v>
      </c>
      <c r="N247" s="29">
        <f t="shared" si="36"/>
        <v>6.518355947202935E+25</v>
      </c>
      <c r="O247" s="35">
        <f t="shared" si="37"/>
        <v>2112.4552965131684</v>
      </c>
      <c r="P247" s="35">
        <f t="shared" si="38"/>
        <v>41.623937636196047</v>
      </c>
      <c r="Q247" s="35">
        <f t="shared" si="39"/>
        <v>8.0299363803952417E-2</v>
      </c>
      <c r="R247" s="35">
        <f t="shared" si="40"/>
        <v>0.20124177857493533</v>
      </c>
      <c r="S247" s="18">
        <v>1882.3282180116573</v>
      </c>
      <c r="T247" s="35">
        <f t="shared" si="41"/>
        <v>41.373476764008529</v>
      </c>
      <c r="U247" s="35">
        <f t="shared" si="42"/>
        <v>0.33076023599146964</v>
      </c>
      <c r="V247" s="35">
        <f t="shared" si="43"/>
        <v>3.4144481668216566</v>
      </c>
    </row>
    <row r="248" spans="1:22" x14ac:dyDescent="0.25">
      <c r="A248" s="34" t="s">
        <v>268</v>
      </c>
      <c r="B248" s="16">
        <v>0.36899999999999999</v>
      </c>
      <c r="C248" s="8">
        <v>2E-3</v>
      </c>
      <c r="D248" s="8">
        <v>22.491</v>
      </c>
      <c r="E248" s="8">
        <v>6.5000000000000002E-2</v>
      </c>
      <c r="F248" s="8">
        <v>0.88200000000000001</v>
      </c>
      <c r="G248" s="8">
        <v>0.05</v>
      </c>
      <c r="H248" s="8">
        <v>1.4999999999999999E-2</v>
      </c>
      <c r="I248" s="8">
        <v>0.03</v>
      </c>
      <c r="J248" s="8">
        <v>0.12</v>
      </c>
      <c r="K248" s="38">
        <f t="shared" si="33"/>
        <v>0.26500000000000001</v>
      </c>
      <c r="L248" s="38">
        <f t="shared" si="34"/>
        <v>41.766704000000004</v>
      </c>
      <c r="M248" s="29">
        <f t="shared" si="35"/>
        <v>2256.0088552477791</v>
      </c>
      <c r="N248" s="29">
        <f t="shared" si="36"/>
        <v>6.518355947202935E+25</v>
      </c>
      <c r="O248" s="35">
        <f t="shared" si="37"/>
        <v>2112.4552965131684</v>
      </c>
      <c r="P248" s="35">
        <f t="shared" si="38"/>
        <v>41.623937636196047</v>
      </c>
      <c r="Q248" s="35">
        <f t="shared" si="39"/>
        <v>0.14276636380395757</v>
      </c>
      <c r="R248" s="35">
        <f t="shared" si="40"/>
        <v>0.29024186021792758</v>
      </c>
      <c r="S248" s="18">
        <v>1882.3282180116573</v>
      </c>
      <c r="T248" s="35">
        <f t="shared" si="41"/>
        <v>41.373476764008529</v>
      </c>
      <c r="U248" s="35">
        <f t="shared" si="42"/>
        <v>0.3932272359914748</v>
      </c>
      <c r="V248" s="35">
        <f t="shared" si="43"/>
        <v>2.2018890583908148</v>
      </c>
    </row>
    <row r="249" spans="1:22" x14ac:dyDescent="0.25">
      <c r="A249" s="34" t="s">
        <v>269</v>
      </c>
      <c r="B249" s="16">
        <v>0.37</v>
      </c>
      <c r="C249" s="8">
        <v>0.01</v>
      </c>
      <c r="D249" s="8">
        <v>22.663</v>
      </c>
      <c r="E249" s="8">
        <v>3.1E-2</v>
      </c>
      <c r="F249" s="8">
        <v>0.90200000000000002</v>
      </c>
      <c r="G249" s="8">
        <v>1.7999999999999999E-2</v>
      </c>
      <c r="H249" s="8">
        <v>9.6000000000000002E-2</v>
      </c>
      <c r="I249" s="8">
        <v>0.02</v>
      </c>
      <c r="J249" s="8">
        <v>0.12</v>
      </c>
      <c r="K249" s="38">
        <f t="shared" si="33"/>
        <v>0.189</v>
      </c>
      <c r="L249" s="38">
        <f t="shared" si="34"/>
        <v>41.688113999999999</v>
      </c>
      <c r="M249" s="29">
        <f t="shared" si="35"/>
        <v>2175.8191761280586</v>
      </c>
      <c r="N249" s="29">
        <f t="shared" si="36"/>
        <v>6.5380353423276749E+25</v>
      </c>
      <c r="O249" s="35">
        <f t="shared" si="37"/>
        <v>2118.8329541311555</v>
      </c>
      <c r="P249" s="35">
        <f t="shared" si="38"/>
        <v>41.63048359441111</v>
      </c>
      <c r="Q249" s="35">
        <f t="shared" si="39"/>
        <v>5.7630405588888323E-2</v>
      </c>
      <c r="R249" s="35">
        <f t="shared" si="40"/>
        <v>9.2977902307879681E-2</v>
      </c>
      <c r="S249" s="18">
        <v>1888.3157397047237</v>
      </c>
      <c r="T249" s="35">
        <f t="shared" si="41"/>
        <v>41.380373065665097</v>
      </c>
      <c r="U249" s="35">
        <f t="shared" si="42"/>
        <v>0.30774093433490179</v>
      </c>
      <c r="V249" s="35">
        <f t="shared" si="43"/>
        <v>2.6512270839371328</v>
      </c>
    </row>
    <row r="250" spans="1:22" x14ac:dyDescent="0.25">
      <c r="A250" s="34" t="s">
        <v>270</v>
      </c>
      <c r="B250" s="16">
        <v>0.371</v>
      </c>
      <c r="C250" s="8">
        <v>0</v>
      </c>
      <c r="D250" s="8">
        <v>22.292999999999999</v>
      </c>
      <c r="E250" s="8">
        <v>4.8000000000000001E-2</v>
      </c>
      <c r="F250" s="8">
        <v>1.054</v>
      </c>
      <c r="G250" s="8">
        <v>0.03</v>
      </c>
      <c r="H250" s="8">
        <v>-1.7999999999999999E-2</v>
      </c>
      <c r="I250" s="8">
        <v>3.5999999999999997E-2</v>
      </c>
      <c r="J250" s="8">
        <v>0.12</v>
      </c>
      <c r="K250" s="38">
        <f t="shared" si="33"/>
        <v>0.23399999999999999</v>
      </c>
      <c r="L250" s="38">
        <f t="shared" si="34"/>
        <v>41.697277999999997</v>
      </c>
      <c r="M250" s="29">
        <f t="shared" si="35"/>
        <v>2185.0209231047397</v>
      </c>
      <c r="N250" s="29">
        <f t="shared" si="36"/>
        <v>6.5577239226467501E+25</v>
      </c>
      <c r="O250" s="35">
        <f t="shared" si="37"/>
        <v>2125.2135884679014</v>
      </c>
      <c r="P250" s="35">
        <f t="shared" si="38"/>
        <v>41.637012920476472</v>
      </c>
      <c r="Q250" s="35">
        <f t="shared" si="39"/>
        <v>6.0265079523524889E-2</v>
      </c>
      <c r="R250" s="35">
        <f t="shared" si="40"/>
        <v>6.632843542217802E-2</v>
      </c>
      <c r="S250" s="18">
        <v>1894.30735717018</v>
      </c>
      <c r="T250" s="35">
        <f t="shared" si="41"/>
        <v>41.387252229971281</v>
      </c>
      <c r="U250" s="35">
        <f t="shared" si="42"/>
        <v>0.3100257700287159</v>
      </c>
      <c r="V250" s="35">
        <f t="shared" si="43"/>
        <v>1.7553506114745097</v>
      </c>
    </row>
    <row r="251" spans="1:22" x14ac:dyDescent="0.25">
      <c r="A251" s="34" t="s">
        <v>271</v>
      </c>
      <c r="B251" s="16">
        <v>0.372</v>
      </c>
      <c r="C251" s="8">
        <v>1E-3</v>
      </c>
      <c r="D251" s="8">
        <v>22.22</v>
      </c>
      <c r="E251" s="8">
        <v>3.1E-2</v>
      </c>
      <c r="F251" s="8">
        <v>1.02</v>
      </c>
      <c r="G251" s="8">
        <v>1.2E-2</v>
      </c>
      <c r="H251" s="8">
        <v>-4.1000000000000002E-2</v>
      </c>
      <c r="I251" s="8">
        <v>0.02</v>
      </c>
      <c r="J251" s="8">
        <v>0.12</v>
      </c>
      <c r="K251" s="38">
        <f t="shared" si="33"/>
        <v>0.183</v>
      </c>
      <c r="L251" s="38">
        <f t="shared" si="34"/>
        <v>41.691269999999996</v>
      </c>
      <c r="M251" s="29">
        <f t="shared" si="35"/>
        <v>2178.9837928394013</v>
      </c>
      <c r="N251" s="29">
        <f t="shared" si="36"/>
        <v>6.5774216765431358E+25</v>
      </c>
      <c r="O251" s="35">
        <f t="shared" si="37"/>
        <v>2131.5971957585848</v>
      </c>
      <c r="P251" s="35">
        <f t="shared" si="38"/>
        <v>41.643525701146643</v>
      </c>
      <c r="Q251" s="35">
        <f t="shared" si="39"/>
        <v>4.7744298853352518E-2</v>
      </c>
      <c r="R251" s="35">
        <f t="shared" si="40"/>
        <v>6.8067666188845244E-2</v>
      </c>
      <c r="S251" s="18">
        <v>1900.3030653101061</v>
      </c>
      <c r="T251" s="35">
        <f t="shared" si="41"/>
        <v>41.394114344489822</v>
      </c>
      <c r="U251" s="35">
        <f t="shared" si="42"/>
        <v>0.2971556555101742</v>
      </c>
      <c r="V251" s="35">
        <f t="shared" si="43"/>
        <v>2.6367309743999918</v>
      </c>
    </row>
    <row r="252" spans="1:22" x14ac:dyDescent="0.25">
      <c r="A252" s="34" t="s">
        <v>272</v>
      </c>
      <c r="B252" s="16">
        <v>0.373</v>
      </c>
      <c r="C252" s="8">
        <v>1E-3</v>
      </c>
      <c r="D252" s="8">
        <v>22.463000000000001</v>
      </c>
      <c r="E252" s="8">
        <v>3.1E-2</v>
      </c>
      <c r="F252" s="8">
        <v>0.92400000000000004</v>
      </c>
      <c r="G252" s="8">
        <v>1.2E-2</v>
      </c>
      <c r="H252" s="8">
        <v>-2.1999999999999999E-2</v>
      </c>
      <c r="I252" s="8">
        <v>0.02</v>
      </c>
      <c r="J252" s="8">
        <v>0.12</v>
      </c>
      <c r="K252" s="38">
        <f t="shared" si="33"/>
        <v>0.183</v>
      </c>
      <c r="L252" s="38">
        <f t="shared" si="34"/>
        <v>41.860688000000003</v>
      </c>
      <c r="M252" s="29">
        <f t="shared" si="35"/>
        <v>2355.7955658232663</v>
      </c>
      <c r="N252" s="29">
        <f t="shared" si="36"/>
        <v>6.5971285924193877E+25</v>
      </c>
      <c r="O252" s="35">
        <f t="shared" si="37"/>
        <v>2137.9837722447296</v>
      </c>
      <c r="P252" s="35">
        <f t="shared" si="38"/>
        <v>41.650022022485139</v>
      </c>
      <c r="Q252" s="35">
        <f t="shared" si="39"/>
        <v>0.21066597751486427</v>
      </c>
      <c r="R252" s="35">
        <f t="shared" si="40"/>
        <v>1.3252158643821343</v>
      </c>
      <c r="S252" s="18">
        <v>1906.3028590326169</v>
      </c>
      <c r="T252" s="35">
        <f t="shared" si="41"/>
        <v>41.400959496091446</v>
      </c>
      <c r="U252" s="35">
        <f t="shared" si="42"/>
        <v>0.45972850390855768</v>
      </c>
      <c r="V252" s="35">
        <f t="shared" si="43"/>
        <v>6.3110363792887441</v>
      </c>
    </row>
    <row r="253" spans="1:22" x14ac:dyDescent="0.25">
      <c r="A253" s="34" t="s">
        <v>273</v>
      </c>
      <c r="B253" s="16">
        <v>0.375</v>
      </c>
      <c r="C253" s="8">
        <v>1E-3</v>
      </c>
      <c r="D253" s="8">
        <v>22.145</v>
      </c>
      <c r="E253" s="8">
        <v>3.1E-2</v>
      </c>
      <c r="F253" s="8">
        <v>0.91100000000000003</v>
      </c>
      <c r="G253" s="8">
        <v>1.4E-2</v>
      </c>
      <c r="H253" s="8">
        <v>-0.12</v>
      </c>
      <c r="I253" s="8">
        <v>2.1999999999999999E-2</v>
      </c>
      <c r="J253" s="8">
        <v>0.12</v>
      </c>
      <c r="K253" s="38">
        <f t="shared" si="33"/>
        <v>0.187</v>
      </c>
      <c r="L253" s="38">
        <f t="shared" si="34"/>
        <v>41.847516999999996</v>
      </c>
      <c r="M253" s="29">
        <f t="shared" si="35"/>
        <v>2341.549806597654</v>
      </c>
      <c r="N253" s="29">
        <f t="shared" si="36"/>
        <v>6.6365698638193896E+25</v>
      </c>
      <c r="O253" s="35">
        <f t="shared" si="37"/>
        <v>2150.7658178011552</v>
      </c>
      <c r="P253" s="35">
        <f t="shared" si="38"/>
        <v>41.662965628010198</v>
      </c>
      <c r="Q253" s="35">
        <f t="shared" si="39"/>
        <v>0.18455137198979799</v>
      </c>
      <c r="R253" s="35">
        <f t="shared" si="40"/>
        <v>0.97398292497116845</v>
      </c>
      <c r="S253" s="18">
        <v>1918.3146828880169</v>
      </c>
      <c r="T253" s="35">
        <f t="shared" si="41"/>
        <v>41.414599254610778</v>
      </c>
      <c r="U253" s="35">
        <f t="shared" si="42"/>
        <v>0.43291774538921857</v>
      </c>
      <c r="V253" s="35">
        <f t="shared" si="43"/>
        <v>5.3595405723035912</v>
      </c>
    </row>
    <row r="254" spans="1:22" x14ac:dyDescent="0.25">
      <c r="A254" s="34" t="s">
        <v>274</v>
      </c>
      <c r="B254" s="16">
        <v>0.38100000000000001</v>
      </c>
      <c r="C254" s="8">
        <v>0</v>
      </c>
      <c r="D254" s="8">
        <v>21.943000000000001</v>
      </c>
      <c r="E254" s="8">
        <v>4.2999999999999997E-2</v>
      </c>
      <c r="F254" s="8">
        <v>1.1240000000000001</v>
      </c>
      <c r="G254" s="8">
        <v>0.05</v>
      </c>
      <c r="H254" s="8">
        <v>-4.9000000000000002E-2</v>
      </c>
      <c r="I254" s="8">
        <v>3.6999999999999998E-2</v>
      </c>
      <c r="J254" s="8">
        <v>0.12</v>
      </c>
      <c r="K254" s="38">
        <f t="shared" si="33"/>
        <v>0.25</v>
      </c>
      <c r="L254" s="38">
        <f t="shared" si="34"/>
        <v>41.454598000000004</v>
      </c>
      <c r="M254" s="29">
        <f t="shared" si="35"/>
        <v>1953.9776866182442</v>
      </c>
      <c r="N254" s="29">
        <f t="shared" si="36"/>
        <v>6.755112365440993E+25</v>
      </c>
      <c r="O254" s="35">
        <f t="shared" si="37"/>
        <v>2189.1828262371446</v>
      </c>
      <c r="P254" s="35">
        <f t="shared" si="38"/>
        <v>41.701410162591472</v>
      </c>
      <c r="Q254" s="35">
        <f t="shared" si="39"/>
        <v>-0.24681216259146765</v>
      </c>
      <c r="R254" s="35">
        <f t="shared" si="40"/>
        <v>0.974659897649233</v>
      </c>
      <c r="S254" s="18">
        <v>1954.4476807511412</v>
      </c>
      <c r="T254" s="35">
        <f t="shared" si="41"/>
        <v>41.45512024576459</v>
      </c>
      <c r="U254" s="35">
        <f t="shared" si="42"/>
        <v>-5.2224576458570482E-4</v>
      </c>
      <c r="V254" s="35">
        <f t="shared" si="43"/>
        <v>4.3638502180433184E-6</v>
      </c>
    </row>
    <row r="255" spans="1:22" x14ac:dyDescent="0.25">
      <c r="A255" s="34" t="s">
        <v>275</v>
      </c>
      <c r="B255" s="16">
        <v>0.39300000000000002</v>
      </c>
      <c r="C255" s="8">
        <v>0</v>
      </c>
      <c r="D255" s="8">
        <v>22.439</v>
      </c>
      <c r="E255" s="8">
        <v>6.5000000000000002E-2</v>
      </c>
      <c r="F255" s="8">
        <v>1.27</v>
      </c>
      <c r="G255" s="8">
        <v>0.10100000000000001</v>
      </c>
      <c r="H255" s="8">
        <v>0.14399999999999999</v>
      </c>
      <c r="I255" s="8">
        <v>5.2999999999999999E-2</v>
      </c>
      <c r="J255" s="8">
        <v>0.12</v>
      </c>
      <c r="K255" s="38">
        <f t="shared" si="33"/>
        <v>0.33899999999999997</v>
      </c>
      <c r="L255" s="38">
        <f t="shared" si="34"/>
        <v>41.36797</v>
      </c>
      <c r="M255" s="29">
        <f t="shared" si="35"/>
        <v>1877.5607592796741</v>
      </c>
      <c r="N255" s="29">
        <f t="shared" si="36"/>
        <v>6.9931732373142036E+25</v>
      </c>
      <c r="O255" s="35">
        <f t="shared" si="37"/>
        <v>2266.3331005938098</v>
      </c>
      <c r="P255" s="35">
        <f t="shared" si="38"/>
        <v>41.776618709274388</v>
      </c>
      <c r="Q255" s="35">
        <f t="shared" si="39"/>
        <v>-0.40864870927438801</v>
      </c>
      <c r="R255" s="35">
        <f t="shared" si="40"/>
        <v>1.4531179470386033</v>
      </c>
      <c r="S255" s="18">
        <v>2027.1489177923543</v>
      </c>
      <c r="T255" s="35">
        <f t="shared" si="41"/>
        <v>41.534428269365094</v>
      </c>
      <c r="U255" s="35">
        <f t="shared" si="42"/>
        <v>-0.16645826936509422</v>
      </c>
      <c r="V255" s="35">
        <f t="shared" si="43"/>
        <v>0.24110785182884129</v>
      </c>
    </row>
    <row r="256" spans="1:22" x14ac:dyDescent="0.25">
      <c r="A256" s="34" t="s">
        <v>276</v>
      </c>
      <c r="B256" s="16">
        <v>0.39500000000000002</v>
      </c>
      <c r="C256" s="8">
        <v>0</v>
      </c>
      <c r="D256" s="8">
        <v>22.271999999999998</v>
      </c>
      <c r="E256" s="8">
        <v>5.2999999999999999E-2</v>
      </c>
      <c r="F256" s="8">
        <v>1.1100000000000001</v>
      </c>
      <c r="G256" s="8">
        <v>4.5999999999999999E-2</v>
      </c>
      <c r="H256" s="8">
        <v>-8.7999999999999995E-2</v>
      </c>
      <c r="I256" s="8">
        <v>4.1000000000000002E-2</v>
      </c>
      <c r="J256" s="8">
        <v>0.12</v>
      </c>
      <c r="K256" s="38">
        <f t="shared" si="33"/>
        <v>0.26</v>
      </c>
      <c r="L256" s="38">
        <f t="shared" si="34"/>
        <v>41.90361</v>
      </c>
      <c r="M256" s="29">
        <f t="shared" si="35"/>
        <v>2402.8242150142287</v>
      </c>
      <c r="N256" s="29">
        <f t="shared" si="36"/>
        <v>7.0329754944022773E+25</v>
      </c>
      <c r="O256" s="35">
        <f t="shared" si="37"/>
        <v>2279.2321336444611</v>
      </c>
      <c r="P256" s="35">
        <f t="shared" si="38"/>
        <v>41.788942795772094</v>
      </c>
      <c r="Q256" s="35">
        <f t="shared" si="39"/>
        <v>0.11466720422790644</v>
      </c>
      <c r="R256" s="35">
        <f t="shared" si="40"/>
        <v>0.19450543972550891</v>
      </c>
      <c r="S256" s="18">
        <v>2039.32174373765</v>
      </c>
      <c r="T256" s="35">
        <f t="shared" si="41"/>
        <v>41.547428749063698</v>
      </c>
      <c r="U256" s="35">
        <f t="shared" si="42"/>
        <v>0.35618125093630226</v>
      </c>
      <c r="V256" s="35">
        <f t="shared" si="43"/>
        <v>1.8767024189134482</v>
      </c>
    </row>
    <row r="257" spans="1:22" x14ac:dyDescent="0.25">
      <c r="A257" s="34" t="s">
        <v>277</v>
      </c>
      <c r="B257" s="16">
        <v>0.40200000000000002</v>
      </c>
      <c r="C257" s="8">
        <v>1E-3</v>
      </c>
      <c r="D257" s="8">
        <v>22.614999999999998</v>
      </c>
      <c r="E257" s="8">
        <v>3.4000000000000002E-2</v>
      </c>
      <c r="F257" s="8">
        <v>0.93200000000000005</v>
      </c>
      <c r="G257" s="8">
        <v>1.6E-2</v>
      </c>
      <c r="H257" s="8">
        <v>2.8000000000000001E-2</v>
      </c>
      <c r="I257" s="8">
        <v>2.1999999999999999E-2</v>
      </c>
      <c r="J257" s="8">
        <v>0.12</v>
      </c>
      <c r="K257" s="38">
        <f t="shared" si="33"/>
        <v>0.192</v>
      </c>
      <c r="L257" s="38">
        <f t="shared" si="34"/>
        <v>41.857363999999997</v>
      </c>
      <c r="M257" s="29">
        <f t="shared" si="35"/>
        <v>2352.19217024009</v>
      </c>
      <c r="N257" s="29">
        <f t="shared" si="36"/>
        <v>7.1725631780620405E+25</v>
      </c>
      <c r="O257" s="35">
        <f t="shared" si="37"/>
        <v>2324.4694210929324</v>
      </c>
      <c r="P257" s="35">
        <f t="shared" si="38"/>
        <v>41.831619186585733</v>
      </c>
      <c r="Q257" s="35">
        <f t="shared" si="39"/>
        <v>2.574481341426349E-2</v>
      </c>
      <c r="R257" s="35">
        <f t="shared" si="40"/>
        <v>1.7979476392557543E-2</v>
      </c>
      <c r="S257" s="18">
        <v>2082.0514345972879</v>
      </c>
      <c r="T257" s="35">
        <f t="shared" si="41"/>
        <v>41.59245727017101</v>
      </c>
      <c r="U257" s="35">
        <f t="shared" si="42"/>
        <v>0.26490672982898644</v>
      </c>
      <c r="V257" s="35">
        <f t="shared" si="43"/>
        <v>1.9036343182695206</v>
      </c>
    </row>
    <row r="258" spans="1:22" x14ac:dyDescent="0.25">
      <c r="A258" s="34" t="s">
        <v>278</v>
      </c>
      <c r="B258" s="16">
        <v>0.40400000000000003</v>
      </c>
      <c r="C258" s="8">
        <v>1E-3</v>
      </c>
      <c r="D258" s="8">
        <v>22.614999999999998</v>
      </c>
      <c r="E258" s="8">
        <v>0.03</v>
      </c>
      <c r="F258" s="8">
        <v>0.96299999999999997</v>
      </c>
      <c r="G258" s="8">
        <v>1.2E-2</v>
      </c>
      <c r="H258" s="8">
        <v>-3.5999999999999997E-2</v>
      </c>
      <c r="I258" s="8">
        <v>0.02</v>
      </c>
      <c r="J258" s="8">
        <v>0.12</v>
      </c>
      <c r="K258" s="38">
        <f t="shared" si="33"/>
        <v>0.182</v>
      </c>
      <c r="L258" s="38">
        <f t="shared" si="34"/>
        <v>42.062241</v>
      </c>
      <c r="M258" s="29">
        <f t="shared" si="35"/>
        <v>2584.9265068886411</v>
      </c>
      <c r="N258" s="29">
        <f t="shared" si="36"/>
        <v>7.2125249458626938E+25</v>
      </c>
      <c r="O258" s="35">
        <f t="shared" si="37"/>
        <v>2337.420148044986</v>
      </c>
      <c r="P258" s="35">
        <f t="shared" si="38"/>
        <v>41.843683916213067</v>
      </c>
      <c r="Q258" s="35">
        <f t="shared" si="39"/>
        <v>0.2185570837869335</v>
      </c>
      <c r="R258" s="35">
        <f t="shared" si="40"/>
        <v>1.4420721794906615</v>
      </c>
      <c r="S258" s="18">
        <v>2094.2954122132587</v>
      </c>
      <c r="T258" s="35">
        <f t="shared" si="41"/>
        <v>41.60518970678396</v>
      </c>
      <c r="U258" s="35">
        <f t="shared" si="42"/>
        <v>0.45705129321603977</v>
      </c>
      <c r="V258" s="35">
        <f t="shared" si="43"/>
        <v>6.3064812411077877</v>
      </c>
    </row>
    <row r="259" spans="1:22" x14ac:dyDescent="0.25">
      <c r="A259" s="34" t="s">
        <v>279</v>
      </c>
      <c r="B259" s="16">
        <v>0.40699999999999997</v>
      </c>
      <c r="C259" s="8">
        <v>1E-3</v>
      </c>
      <c r="D259" s="8">
        <v>22.808</v>
      </c>
      <c r="E259" s="8">
        <v>3.2000000000000001E-2</v>
      </c>
      <c r="F259" s="8">
        <v>0.89100000000000001</v>
      </c>
      <c r="G259" s="8">
        <v>1.2999999999999999E-2</v>
      </c>
      <c r="H259" s="8">
        <v>-2.3E-2</v>
      </c>
      <c r="I259" s="8">
        <v>2.1000000000000001E-2</v>
      </c>
      <c r="J259" s="8">
        <v>0.12</v>
      </c>
      <c r="K259" s="38">
        <f t="shared" si="33"/>
        <v>0.186</v>
      </c>
      <c r="L259" s="38">
        <f t="shared" si="34"/>
        <v>42.203966999999999</v>
      </c>
      <c r="M259" s="29">
        <f t="shared" si="35"/>
        <v>2759.2649227798406</v>
      </c>
      <c r="N259" s="29">
        <f t="shared" si="36"/>
        <v>7.2725335773670108E+25</v>
      </c>
      <c r="O259" s="35">
        <f t="shared" si="37"/>
        <v>2356.8676210710942</v>
      </c>
      <c r="P259" s="35">
        <f t="shared" si="38"/>
        <v>41.861675950269301</v>
      </c>
      <c r="Q259" s="35">
        <f t="shared" si="39"/>
        <v>0.34229104973069724</v>
      </c>
      <c r="R259" s="35">
        <f t="shared" si="40"/>
        <v>3.3866100915060309</v>
      </c>
      <c r="S259" s="18">
        <v>2112.6908101756885</v>
      </c>
      <c r="T259" s="35">
        <f t="shared" si="41"/>
        <v>41.624179716071083</v>
      </c>
      <c r="U259" s="35">
        <f t="shared" si="42"/>
        <v>0.57978728392891554</v>
      </c>
      <c r="V259" s="35">
        <f t="shared" si="43"/>
        <v>9.7165364379023274</v>
      </c>
    </row>
    <row r="260" spans="1:22" x14ac:dyDescent="0.25">
      <c r="A260" s="34" t="s">
        <v>280</v>
      </c>
      <c r="B260" s="16">
        <v>0.41099999999999998</v>
      </c>
      <c r="C260" s="8">
        <v>1E-3</v>
      </c>
      <c r="D260" s="8">
        <v>22.562000000000001</v>
      </c>
      <c r="E260" s="8">
        <v>3.1E-2</v>
      </c>
      <c r="F260" s="8">
        <v>1.04</v>
      </c>
      <c r="G260" s="8">
        <v>1.2999999999999999E-2</v>
      </c>
      <c r="H260" s="8">
        <v>-5.0000000000000001E-3</v>
      </c>
      <c r="I260" s="8">
        <v>0.02</v>
      </c>
      <c r="J260" s="8">
        <v>0.12</v>
      </c>
      <c r="K260" s="38">
        <f t="shared" si="33"/>
        <v>0.184</v>
      </c>
      <c r="L260" s="38">
        <f t="shared" si="34"/>
        <v>41.92353</v>
      </c>
      <c r="M260" s="29">
        <f t="shared" si="35"/>
        <v>2424.9679329721316</v>
      </c>
      <c r="N260" s="29">
        <f t="shared" si="36"/>
        <v>7.3526677885875677E+25</v>
      </c>
      <c r="O260" s="35">
        <f t="shared" si="37"/>
        <v>2382.8373502936001</v>
      </c>
      <c r="P260" s="35">
        <f t="shared" si="38"/>
        <v>41.885471994609439</v>
      </c>
      <c r="Q260" s="35">
        <f t="shared" si="39"/>
        <v>3.8058005390560368E-2</v>
      </c>
      <c r="R260" s="35">
        <f t="shared" si="40"/>
        <v>4.2781538702384277E-2</v>
      </c>
      <c r="S260" s="18">
        <v>2137.2727412365907</v>
      </c>
      <c r="T260" s="35">
        <f t="shared" si="41"/>
        <v>41.649299734020879</v>
      </c>
      <c r="U260" s="35">
        <f t="shared" si="42"/>
        <v>0.2742302659791207</v>
      </c>
      <c r="V260" s="35">
        <f t="shared" si="43"/>
        <v>2.2212381491900786</v>
      </c>
    </row>
    <row r="261" spans="1:22" x14ac:dyDescent="0.25">
      <c r="A261" s="34" t="s">
        <v>281</v>
      </c>
      <c r="B261" s="16">
        <v>0.41499999999999998</v>
      </c>
      <c r="C261" s="8">
        <v>2E-3</v>
      </c>
      <c r="D261" s="8">
        <v>22.559000000000001</v>
      </c>
      <c r="E261" s="8">
        <v>3.4000000000000002E-2</v>
      </c>
      <c r="F261" s="8">
        <v>1.034</v>
      </c>
      <c r="G261" s="8">
        <v>1.7999999999999999E-2</v>
      </c>
      <c r="H261" s="8">
        <v>-1.2E-2</v>
      </c>
      <c r="I261" s="8">
        <v>2.5000000000000001E-2</v>
      </c>
      <c r="J261" s="8">
        <v>0.12</v>
      </c>
      <c r="K261" s="38">
        <f t="shared" si="33"/>
        <v>0.19700000000000001</v>
      </c>
      <c r="L261" s="38">
        <f t="shared" si="34"/>
        <v>41.941558000000001</v>
      </c>
      <c r="M261" s="29">
        <f t="shared" si="35"/>
        <v>2445.1843077940916</v>
      </c>
      <c r="N261" s="29">
        <f t="shared" si="36"/>
        <v>7.4329415925561681E+25</v>
      </c>
      <c r="O261" s="35">
        <f t="shared" si="37"/>
        <v>2408.8523184448095</v>
      </c>
      <c r="P261" s="35">
        <f t="shared" si="38"/>
        <v>41.909050875768969</v>
      </c>
      <c r="Q261" s="35">
        <f t="shared" si="39"/>
        <v>3.2507124231031526E-2</v>
      </c>
      <c r="R261" s="35">
        <f t="shared" si="40"/>
        <v>2.7228558472821171E-2</v>
      </c>
      <c r="S261" s="18">
        <v>2161.9169398601312</v>
      </c>
      <c r="T261" s="35">
        <f t="shared" si="41"/>
        <v>41.674195022431164</v>
      </c>
      <c r="U261" s="35">
        <f t="shared" si="42"/>
        <v>0.26736297756883687</v>
      </c>
      <c r="V261" s="35">
        <f t="shared" si="43"/>
        <v>1.8419171268127075</v>
      </c>
    </row>
    <row r="262" spans="1:22" x14ac:dyDescent="0.25">
      <c r="A262" s="34" t="s">
        <v>282</v>
      </c>
      <c r="B262" s="16">
        <v>0.41699999999999998</v>
      </c>
      <c r="C262" s="8">
        <v>1E-3</v>
      </c>
      <c r="D262" s="8">
        <v>22.488</v>
      </c>
      <c r="E262" s="8">
        <v>3.4000000000000002E-2</v>
      </c>
      <c r="F262" s="8">
        <v>1.125</v>
      </c>
      <c r="G262" s="8">
        <v>2.1999999999999999E-2</v>
      </c>
      <c r="H262" s="8">
        <v>2.1000000000000001E-2</v>
      </c>
      <c r="I262" s="8">
        <v>2.1999999999999999E-2</v>
      </c>
      <c r="J262" s="8">
        <v>0.12</v>
      </c>
      <c r="K262" s="38">
        <f t="shared" si="33"/>
        <v>0.19800000000000001</v>
      </c>
      <c r="L262" s="38">
        <f t="shared" si="34"/>
        <v>41.780645</v>
      </c>
      <c r="M262" s="29">
        <f t="shared" si="35"/>
        <v>2270.5391778768308</v>
      </c>
      <c r="N262" s="29">
        <f t="shared" si="36"/>
        <v>7.4731306252414217E+25</v>
      </c>
      <c r="O262" s="35">
        <f t="shared" si="37"/>
        <v>2421.8766969300214</v>
      </c>
      <c r="P262" s="35">
        <f t="shared" si="38"/>
        <v>41.920760142412462</v>
      </c>
      <c r="Q262" s="35">
        <f t="shared" si="39"/>
        <v>-0.14011514241246203</v>
      </c>
      <c r="R262" s="35">
        <f t="shared" si="40"/>
        <v>0.50077168486033352</v>
      </c>
      <c r="S262" s="18">
        <v>2174.2622926311897</v>
      </c>
      <c r="T262" s="35">
        <f t="shared" si="41"/>
        <v>41.68655967062621</v>
      </c>
      <c r="U262" s="35">
        <f t="shared" si="42"/>
        <v>9.4085329373790216E-2</v>
      </c>
      <c r="V262" s="35">
        <f t="shared" si="43"/>
        <v>0.225794541459407</v>
      </c>
    </row>
    <row r="263" spans="1:22" x14ac:dyDescent="0.25">
      <c r="A263" s="34" t="s">
        <v>283</v>
      </c>
      <c r="B263" s="16">
        <v>0.41899999999999998</v>
      </c>
      <c r="C263" s="8">
        <v>1E-3</v>
      </c>
      <c r="D263" s="8">
        <v>22.965</v>
      </c>
      <c r="E263" s="8">
        <v>3.3000000000000002E-2</v>
      </c>
      <c r="F263" s="8">
        <v>0.97</v>
      </c>
      <c r="G263" s="8">
        <v>2.5000000000000001E-2</v>
      </c>
      <c r="H263" s="8">
        <v>4.4999999999999998E-2</v>
      </c>
      <c r="I263" s="8">
        <v>2.5000000000000001E-2</v>
      </c>
      <c r="J263" s="8">
        <v>0.12</v>
      </c>
      <c r="K263" s="38">
        <f t="shared" ref="K263:K326" si="44">PeakMagnitudeError+StretchError+ColorError+ScatterError</f>
        <v>0.20300000000000001</v>
      </c>
      <c r="L263" s="38">
        <f t="shared" ref="L263:L326" si="45">PeakMagnitude+α*(Stretch-1)-β*Color-Mb</f>
        <v>42.159739999999999</v>
      </c>
      <c r="M263" s="29">
        <f t="shared" ref="M263:M326" si="46">10^((ObservedDistanceModuli-25)/5)</f>
        <v>2703.634626590987</v>
      </c>
      <c r="N263" s="29">
        <f t="shared" ref="N263:N326" si="47">(RedShift*Age*(2*InitialTangentVelocity-UniverseAcceleration*Age))/(2+RedShift)*(1+RedShift)</f>
        <v>7.5133542967912192E+25</v>
      </c>
      <c r="O263" s="35">
        <f t="shared" ref="O263:O326" si="48">N263/Mpc</f>
        <v>2434.9123011067213</v>
      </c>
      <c r="P263" s="35">
        <f t="shared" ref="P263:P326" si="49">(LOG10(T2LuminousDistance)*5+25)</f>
        <v>41.932416618654074</v>
      </c>
      <c r="Q263" s="35">
        <f t="shared" ref="Q263:Q326" si="50">ObservedDistanceModuli-T2DistanceModuli</f>
        <v>0.22732338134592567</v>
      </c>
      <c r="R263" s="35">
        <f t="shared" ref="R263:R326" si="51">(ObservedDistanceModuli-T2DistanceModuli)^2/TotalError^2</f>
        <v>1.253995964632608</v>
      </c>
      <c r="S263" s="18">
        <v>2186.623096234583</v>
      </c>
      <c r="T263" s="35">
        <f t="shared" ref="T263:T326" si="52">(LOG10(ΛCDMLuminousDistance)*5+25)</f>
        <v>41.698869655170043</v>
      </c>
      <c r="U263" s="35">
        <f t="shared" ref="U263:U326" si="53">ObservedDistanceModuli-ΛCDMDistanceModuli</f>
        <v>0.46087034482995648</v>
      </c>
      <c r="V263" s="35">
        <f t="shared" ref="V263:V326" si="54">(ObservedDistanceModuli-ΛCDMDistanceModuli)^2/TotalError^2</f>
        <v>5.1542496722483673</v>
      </c>
    </row>
    <row r="264" spans="1:22" x14ac:dyDescent="0.25">
      <c r="A264" s="34" t="s">
        <v>284</v>
      </c>
      <c r="B264" s="16">
        <v>0.42399999999999999</v>
      </c>
      <c r="C264" s="8">
        <v>1E-3</v>
      </c>
      <c r="D264" s="8">
        <v>22.753</v>
      </c>
      <c r="E264" s="8">
        <v>4.7E-2</v>
      </c>
      <c r="F264" s="8">
        <v>1.131</v>
      </c>
      <c r="G264" s="8">
        <v>1.7000000000000001E-2</v>
      </c>
      <c r="H264" s="8">
        <v>0.124</v>
      </c>
      <c r="I264" s="8">
        <v>2.3E-2</v>
      </c>
      <c r="J264" s="8">
        <v>0.12</v>
      </c>
      <c r="K264" s="38">
        <f t="shared" si="44"/>
        <v>0.20699999999999999</v>
      </c>
      <c r="L264" s="38">
        <f t="shared" si="45"/>
        <v>41.724136999999999</v>
      </c>
      <c r="M264" s="29">
        <f t="shared" si="46"/>
        <v>2212.2153425669367</v>
      </c>
      <c r="N264" s="29">
        <f t="shared" si="47"/>
        <v>7.6140644580308937E+25</v>
      </c>
      <c r="O264" s="35">
        <f t="shared" si="48"/>
        <v>2467.5502416007098</v>
      </c>
      <c r="P264" s="35">
        <f t="shared" si="49"/>
        <v>41.961330020341229</v>
      </c>
      <c r="Q264" s="35">
        <f t="shared" si="50"/>
        <v>-0.23719302034123046</v>
      </c>
      <c r="R264" s="35">
        <f t="shared" si="51"/>
        <v>1.3129951433778004</v>
      </c>
      <c r="S264" s="18">
        <v>2217.5924503192637</v>
      </c>
      <c r="T264" s="35">
        <f t="shared" si="52"/>
        <v>41.729408672003743</v>
      </c>
      <c r="U264" s="35">
        <f t="shared" si="53"/>
        <v>-5.2716720037437881E-3</v>
      </c>
      <c r="V264" s="35">
        <f t="shared" si="54"/>
        <v>6.4856882809531257E-4</v>
      </c>
    </row>
    <row r="265" spans="1:22" x14ac:dyDescent="0.25">
      <c r="A265" s="34" t="s">
        <v>285</v>
      </c>
      <c r="B265" s="16">
        <v>0.42699999999999999</v>
      </c>
      <c r="C265" s="8">
        <v>1E-3</v>
      </c>
      <c r="D265" s="8">
        <v>23.407</v>
      </c>
      <c r="E265" s="8">
        <v>3.6999999999999998E-2</v>
      </c>
      <c r="F265" s="8">
        <v>1.1000000000000001</v>
      </c>
      <c r="G265" s="8">
        <v>2.3E-2</v>
      </c>
      <c r="H265" s="8">
        <v>0.193</v>
      </c>
      <c r="I265" s="8">
        <v>2.5999999999999999E-2</v>
      </c>
      <c r="J265" s="8">
        <v>0.12</v>
      </c>
      <c r="K265" s="38">
        <f t="shared" si="44"/>
        <v>0.20599999999999999</v>
      </c>
      <c r="L265" s="38">
        <f t="shared" si="45"/>
        <v>42.157610000000005</v>
      </c>
      <c r="M265" s="29">
        <f t="shared" si="46"/>
        <v>2700.9839282564585</v>
      </c>
      <c r="N265" s="29">
        <f t="shared" si="47"/>
        <v>7.6745936589602224E+25</v>
      </c>
      <c r="O265" s="35">
        <f t="shared" si="48"/>
        <v>2487.1664196880292</v>
      </c>
      <c r="P265" s="35">
        <f t="shared" si="49"/>
        <v>41.978524227383303</v>
      </c>
      <c r="Q265" s="35">
        <f t="shared" si="50"/>
        <v>0.17908577261670189</v>
      </c>
      <c r="R265" s="35">
        <f t="shared" si="51"/>
        <v>0.75576665929213549</v>
      </c>
      <c r="S265" s="18">
        <v>2236.2200507366765</v>
      </c>
      <c r="T265" s="35">
        <f t="shared" si="52"/>
        <v>41.747572685961224</v>
      </c>
      <c r="U265" s="35">
        <f t="shared" si="53"/>
        <v>0.41003731403878163</v>
      </c>
      <c r="V265" s="35">
        <f t="shared" si="54"/>
        <v>3.9619803681812247</v>
      </c>
    </row>
    <row r="266" spans="1:22" x14ac:dyDescent="0.25">
      <c r="A266" s="34" t="s">
        <v>286</v>
      </c>
      <c r="B266" s="16">
        <v>0.435</v>
      </c>
      <c r="C266" s="8">
        <v>1E-3</v>
      </c>
      <c r="D266" s="8">
        <v>22.582000000000001</v>
      </c>
      <c r="E266" s="8">
        <v>3.5000000000000003E-2</v>
      </c>
      <c r="F266" s="8">
        <v>1.085</v>
      </c>
      <c r="G266" s="8">
        <v>2.5999999999999999E-2</v>
      </c>
      <c r="H266" s="8">
        <v>-1.4999999999999999E-2</v>
      </c>
      <c r="I266" s="8">
        <v>2.1999999999999999E-2</v>
      </c>
      <c r="J266" s="8">
        <v>0.12</v>
      </c>
      <c r="K266" s="38">
        <f t="shared" si="44"/>
        <v>0.20299999999999999</v>
      </c>
      <c r="L266" s="38">
        <f t="shared" si="45"/>
        <v>41.981445000000001</v>
      </c>
      <c r="M266" s="29">
        <f t="shared" si="46"/>
        <v>2490.5140723268805</v>
      </c>
      <c r="N266" s="29">
        <f t="shared" si="47"/>
        <v>7.8363804260205854E+25</v>
      </c>
      <c r="O266" s="35">
        <f t="shared" si="48"/>
        <v>2539.5979401129089</v>
      </c>
      <c r="P266" s="35">
        <f t="shared" si="49"/>
        <v>42.023824830714602</v>
      </c>
      <c r="Q266" s="35">
        <f t="shared" si="50"/>
        <v>-4.2379830714601496E-2</v>
      </c>
      <c r="R266" s="35">
        <f t="shared" si="51"/>
        <v>4.3583927088701027E-2</v>
      </c>
      <c r="S266" s="18">
        <v>2286.0611572291796</v>
      </c>
      <c r="T266" s="35">
        <f t="shared" si="52"/>
        <v>41.795439222798251</v>
      </c>
      <c r="U266" s="35">
        <f t="shared" si="53"/>
        <v>0.18600577720174982</v>
      </c>
      <c r="V266" s="35">
        <f t="shared" si="54"/>
        <v>0.83957749890623412</v>
      </c>
    </row>
    <row r="267" spans="1:22" x14ac:dyDescent="0.25">
      <c r="A267" s="34" t="s">
        <v>287</v>
      </c>
      <c r="B267" s="16">
        <v>0.437</v>
      </c>
      <c r="C267" s="8">
        <v>1E-3</v>
      </c>
      <c r="D267" s="8">
        <v>22.521000000000001</v>
      </c>
      <c r="E267" s="8">
        <v>3.1E-2</v>
      </c>
      <c r="F267" s="8">
        <v>0.96</v>
      </c>
      <c r="G267" s="8">
        <v>1.2999999999999999E-2</v>
      </c>
      <c r="H267" s="8">
        <v>-2.7E-2</v>
      </c>
      <c r="I267" s="8">
        <v>1.9E-2</v>
      </c>
      <c r="J267" s="8">
        <v>0.12</v>
      </c>
      <c r="K267" s="38">
        <f t="shared" si="44"/>
        <v>0.183</v>
      </c>
      <c r="L267" s="38">
        <f t="shared" si="45"/>
        <v>41.939630000000001</v>
      </c>
      <c r="M267" s="29">
        <f t="shared" si="46"/>
        <v>2443.0142488615443</v>
      </c>
      <c r="N267" s="29">
        <f t="shared" si="47"/>
        <v>7.8769120180493341E+25</v>
      </c>
      <c r="O267" s="35">
        <f t="shared" si="48"/>
        <v>2552.7333345207553</v>
      </c>
      <c r="P267" s="35">
        <f t="shared" si="49"/>
        <v>42.035027247944235</v>
      </c>
      <c r="Q267" s="35">
        <f t="shared" si="50"/>
        <v>-9.5397247944234209E-2</v>
      </c>
      <c r="R267" s="35">
        <f t="shared" si="51"/>
        <v>0.27174997507640414</v>
      </c>
      <c r="S267" s="18">
        <v>2298.5592981404257</v>
      </c>
      <c r="T267" s="35">
        <f t="shared" si="52"/>
        <v>41.807278560712227</v>
      </c>
      <c r="U267" s="35">
        <f t="shared" si="53"/>
        <v>0.13235143928777404</v>
      </c>
      <c r="V267" s="35">
        <f t="shared" si="54"/>
        <v>0.52306439372765201</v>
      </c>
    </row>
    <row r="268" spans="1:22" x14ac:dyDescent="0.25">
      <c r="A268" s="34" t="s">
        <v>288</v>
      </c>
      <c r="B268" s="16">
        <v>0.442</v>
      </c>
      <c r="C268" s="8">
        <v>1E-3</v>
      </c>
      <c r="D268" s="8">
        <v>23.007999999999999</v>
      </c>
      <c r="E268" s="8">
        <v>4.5999999999999999E-2</v>
      </c>
      <c r="F268" s="8">
        <v>0.82899999999999996</v>
      </c>
      <c r="G268" s="8">
        <v>2.7E-2</v>
      </c>
      <c r="H268" s="8">
        <v>0.03</v>
      </c>
      <c r="I268" s="8">
        <v>3.6999999999999998E-2</v>
      </c>
      <c r="J268" s="8">
        <v>0.12</v>
      </c>
      <c r="K268" s="38">
        <f t="shared" si="44"/>
        <v>0.22999999999999998</v>
      </c>
      <c r="L268" s="38">
        <f t="shared" si="45"/>
        <v>42.228962999999993</v>
      </c>
      <c r="M268" s="29">
        <f t="shared" si="46"/>
        <v>2791.2105631395025</v>
      </c>
      <c r="N268" s="29">
        <f t="shared" si="47"/>
        <v>7.9783886609569152E+25</v>
      </c>
      <c r="O268" s="35">
        <f t="shared" si="48"/>
        <v>2585.619674806373</v>
      </c>
      <c r="P268" s="35">
        <f t="shared" si="49"/>
        <v>42.062823218962812</v>
      </c>
      <c r="Q268" s="35">
        <f t="shared" si="50"/>
        <v>0.16613978103718097</v>
      </c>
      <c r="R268" s="35">
        <f t="shared" si="51"/>
        <v>0.52178500648549042</v>
      </c>
      <c r="S268" s="18">
        <v>2329.8705011229695</v>
      </c>
      <c r="T268" s="35">
        <f t="shared" si="52"/>
        <v>41.836658913690904</v>
      </c>
      <c r="U268" s="35">
        <f t="shared" si="53"/>
        <v>0.39230408630908897</v>
      </c>
      <c r="V268" s="35">
        <f t="shared" si="54"/>
        <v>2.9093099458376024</v>
      </c>
    </row>
    <row r="269" spans="1:22" x14ac:dyDescent="0.25">
      <c r="A269" s="34" t="s">
        <v>289</v>
      </c>
      <c r="B269" s="16">
        <v>0.442</v>
      </c>
      <c r="C269" s="8">
        <v>0</v>
      </c>
      <c r="D269" s="8">
        <v>22.684999999999999</v>
      </c>
      <c r="E269" s="8">
        <v>3.1E-2</v>
      </c>
      <c r="F269" s="8">
        <v>1.1220000000000001</v>
      </c>
      <c r="G269" s="8">
        <v>2.4E-2</v>
      </c>
      <c r="H269" s="8">
        <v>2.1000000000000001E-2</v>
      </c>
      <c r="I269" s="8">
        <v>0.02</v>
      </c>
      <c r="J269" s="8">
        <v>0.12</v>
      </c>
      <c r="K269" s="38">
        <f t="shared" si="44"/>
        <v>0.19500000000000001</v>
      </c>
      <c r="L269" s="38">
        <f t="shared" si="45"/>
        <v>41.977204</v>
      </c>
      <c r="M269" s="29">
        <f t="shared" si="46"/>
        <v>2485.6547139896479</v>
      </c>
      <c r="N269" s="29">
        <f t="shared" si="47"/>
        <v>7.9783886609569152E+25</v>
      </c>
      <c r="O269" s="35">
        <f t="shared" si="48"/>
        <v>2585.619674806373</v>
      </c>
      <c r="P269" s="35">
        <f t="shared" si="49"/>
        <v>42.062823218962812</v>
      </c>
      <c r="Q269" s="35">
        <f t="shared" si="50"/>
        <v>-8.5619218962811772E-2</v>
      </c>
      <c r="R269" s="35">
        <f t="shared" si="51"/>
        <v>0.1927850271085314</v>
      </c>
      <c r="S269" s="18">
        <v>2329.8705011229695</v>
      </c>
      <c r="T269" s="35">
        <f t="shared" si="52"/>
        <v>41.836658913690904</v>
      </c>
      <c r="U269" s="35">
        <f t="shared" si="53"/>
        <v>0.14054508630909623</v>
      </c>
      <c r="V269" s="35">
        <f t="shared" si="54"/>
        <v>0.51947196017439334</v>
      </c>
    </row>
    <row r="270" spans="1:22" x14ac:dyDescent="0.25">
      <c r="A270" s="34" t="s">
        <v>290</v>
      </c>
      <c r="B270" s="16">
        <v>0.44900000000000001</v>
      </c>
      <c r="C270" s="8">
        <v>1E-3</v>
      </c>
      <c r="D270" s="8">
        <v>22.654</v>
      </c>
      <c r="E270" s="8">
        <v>4.8000000000000001E-2</v>
      </c>
      <c r="F270" s="8">
        <v>1.0660000000000001</v>
      </c>
      <c r="G270" s="8">
        <v>3.3000000000000002E-2</v>
      </c>
      <c r="H270" s="8">
        <v>-5.2999999999999999E-2</v>
      </c>
      <c r="I270" s="8">
        <v>0.04</v>
      </c>
      <c r="J270" s="8">
        <v>0.12</v>
      </c>
      <c r="K270" s="38">
        <f t="shared" si="44"/>
        <v>0.24099999999999999</v>
      </c>
      <c r="L270" s="38">
        <f t="shared" si="45"/>
        <v>42.169592000000002</v>
      </c>
      <c r="M270" s="29">
        <f t="shared" si="46"/>
        <v>2715.9289224478985</v>
      </c>
      <c r="N270" s="29">
        <f t="shared" si="47"/>
        <v>8.120808325916025E+25</v>
      </c>
      <c r="O270" s="35">
        <f t="shared" si="48"/>
        <v>2631.7747448895893</v>
      </c>
      <c r="P270" s="35">
        <f t="shared" si="49"/>
        <v>42.101243575093534</v>
      </c>
      <c r="Q270" s="35">
        <f t="shared" si="50"/>
        <v>6.8348424906467642E-2</v>
      </c>
      <c r="R270" s="35">
        <f t="shared" si="51"/>
        <v>8.0430901451336009E-2</v>
      </c>
      <c r="S270" s="18">
        <v>2373.8633110592295</v>
      </c>
      <c r="T270" s="35">
        <f t="shared" si="52"/>
        <v>41.87727854158112</v>
      </c>
      <c r="U270" s="35">
        <f t="shared" si="53"/>
        <v>0.29231345841888157</v>
      </c>
      <c r="V270" s="35">
        <f t="shared" si="54"/>
        <v>1.4711722933972764</v>
      </c>
    </row>
    <row r="271" spans="1:22" x14ac:dyDescent="0.25">
      <c r="A271" s="34" t="s">
        <v>291</v>
      </c>
      <c r="B271" s="16">
        <v>0.45</v>
      </c>
      <c r="C271" s="8">
        <v>0.01</v>
      </c>
      <c r="D271" s="8">
        <v>22.916</v>
      </c>
      <c r="E271" s="8">
        <v>3.5999999999999997E-2</v>
      </c>
      <c r="F271" s="8">
        <v>0.83099999999999996</v>
      </c>
      <c r="G271" s="8">
        <v>2.1000000000000001E-2</v>
      </c>
      <c r="H271" s="8">
        <v>4.2000000000000003E-2</v>
      </c>
      <c r="I271" s="8">
        <v>3.3000000000000002E-2</v>
      </c>
      <c r="J271" s="8">
        <v>0.12</v>
      </c>
      <c r="K271" s="38">
        <f t="shared" si="44"/>
        <v>0.21</v>
      </c>
      <c r="L271" s="38">
        <f t="shared" si="45"/>
        <v>42.099696999999999</v>
      </c>
      <c r="M271" s="29">
        <f t="shared" si="46"/>
        <v>2629.9009986988353</v>
      </c>
      <c r="N271" s="29">
        <f t="shared" si="47"/>
        <v>8.141187372833728E+25</v>
      </c>
      <c r="O271" s="35">
        <f t="shared" si="48"/>
        <v>2638.3791442117322</v>
      </c>
      <c r="P271" s="35">
        <f t="shared" si="49"/>
        <v>42.106686026573549</v>
      </c>
      <c r="Q271" s="35">
        <f t="shared" si="50"/>
        <v>-6.989026573549495E-3</v>
      </c>
      <c r="R271" s="35">
        <f t="shared" si="51"/>
        <v>1.1076302141900453E-3</v>
      </c>
      <c r="S271" s="18">
        <v>2380.1628819421226</v>
      </c>
      <c r="T271" s="35">
        <f t="shared" si="52"/>
        <v>41.883033390972003</v>
      </c>
      <c r="U271" s="35">
        <f t="shared" si="53"/>
        <v>0.21666360902799653</v>
      </c>
      <c r="V271" s="35">
        <f t="shared" si="54"/>
        <v>1.0644698294112596</v>
      </c>
    </row>
    <row r="272" spans="1:22" x14ac:dyDescent="0.25">
      <c r="A272" s="34" t="s">
        <v>292</v>
      </c>
      <c r="B272" s="16">
        <v>0.45100000000000001</v>
      </c>
      <c r="C272" s="8">
        <v>1E-3</v>
      </c>
      <c r="D272" s="8">
        <v>23.259</v>
      </c>
      <c r="E272" s="8">
        <v>3.3000000000000002E-2</v>
      </c>
      <c r="F272" s="8">
        <v>0.97599999999999998</v>
      </c>
      <c r="G272" s="8">
        <v>1.4999999999999999E-2</v>
      </c>
      <c r="H272" s="8">
        <v>0.223</v>
      </c>
      <c r="I272" s="8">
        <v>2.4E-2</v>
      </c>
      <c r="J272" s="8">
        <v>0.12</v>
      </c>
      <c r="K272" s="38">
        <f t="shared" si="44"/>
        <v>0.192</v>
      </c>
      <c r="L272" s="38">
        <f t="shared" si="45"/>
        <v>41.897481999999997</v>
      </c>
      <c r="M272" s="29">
        <f t="shared" si="46"/>
        <v>2396.052888046861</v>
      </c>
      <c r="N272" s="29">
        <f t="shared" si="47"/>
        <v>8.1615747342321318E+25</v>
      </c>
      <c r="O272" s="35">
        <f t="shared" si="48"/>
        <v>2644.9862380735617</v>
      </c>
      <c r="P272" s="35">
        <f t="shared" si="49"/>
        <v>42.11211708366271</v>
      </c>
      <c r="Q272" s="35">
        <f t="shared" si="50"/>
        <v>-0.21463508366271355</v>
      </c>
      <c r="R272" s="35">
        <f t="shared" si="51"/>
        <v>1.2496804236897798</v>
      </c>
      <c r="S272" s="18">
        <v>2386.4661598739426</v>
      </c>
      <c r="T272" s="35">
        <f t="shared" si="52"/>
        <v>41.888776402218184</v>
      </c>
      <c r="U272" s="35">
        <f t="shared" si="53"/>
        <v>8.7055977818124575E-3</v>
      </c>
      <c r="V272" s="35">
        <f t="shared" si="54"/>
        <v>2.0558656884412429E-3</v>
      </c>
    </row>
    <row r="273" spans="1:22" x14ac:dyDescent="0.25">
      <c r="A273" s="34" t="s">
        <v>293</v>
      </c>
      <c r="B273" s="16">
        <v>0.46100000000000002</v>
      </c>
      <c r="C273" s="8">
        <v>1E-3</v>
      </c>
      <c r="D273" s="8">
        <v>22.593</v>
      </c>
      <c r="E273" s="8">
        <v>5.8999999999999997E-2</v>
      </c>
      <c r="F273" s="8">
        <v>1.208</v>
      </c>
      <c r="G273" s="8">
        <v>7.4999999999999997E-2</v>
      </c>
      <c r="H273" s="8">
        <v>1.2E-2</v>
      </c>
      <c r="I273" s="8">
        <v>3.9E-2</v>
      </c>
      <c r="J273" s="8">
        <v>0.12</v>
      </c>
      <c r="K273" s="38">
        <f t="shared" si="44"/>
        <v>0.29300000000000004</v>
      </c>
      <c r="L273" s="38">
        <f t="shared" si="45"/>
        <v>41.926016000000004</v>
      </c>
      <c r="M273" s="29">
        <f t="shared" si="46"/>
        <v>2427.7457359067516</v>
      </c>
      <c r="N273" s="29">
        <f t="shared" si="47"/>
        <v>8.3659034148464411E+25</v>
      </c>
      <c r="O273" s="35">
        <f t="shared" si="48"/>
        <v>2711.204653743001</v>
      </c>
      <c r="P273" s="35">
        <f t="shared" si="49"/>
        <v>42.165811506450332</v>
      </c>
      <c r="Q273" s="35">
        <f t="shared" si="50"/>
        <v>-0.23979550645032788</v>
      </c>
      <c r="R273" s="35">
        <f t="shared" si="51"/>
        <v>0.66980261754672998</v>
      </c>
      <c r="S273" s="18">
        <v>2449.7018146846394</v>
      </c>
      <c r="T273" s="35">
        <f t="shared" si="52"/>
        <v>41.945566119540395</v>
      </c>
      <c r="U273" s="35">
        <f t="shared" si="53"/>
        <v>-1.9550119540390654E-2</v>
      </c>
      <c r="V273" s="35">
        <f t="shared" si="54"/>
        <v>4.4520865012238273E-3</v>
      </c>
    </row>
    <row r="274" spans="1:22" x14ac:dyDescent="0.25">
      <c r="A274" s="34" t="s">
        <v>294</v>
      </c>
      <c r="B274" s="16">
        <v>0.46100000000000002</v>
      </c>
      <c r="C274" s="8">
        <v>1E-3</v>
      </c>
      <c r="D274" s="8">
        <v>22.981999999999999</v>
      </c>
      <c r="E274" s="8">
        <v>3.2000000000000001E-2</v>
      </c>
      <c r="F274" s="8">
        <v>0.91300000000000003</v>
      </c>
      <c r="G274" s="8">
        <v>1.4E-2</v>
      </c>
      <c r="H274" s="8">
        <v>-2.1000000000000001E-2</v>
      </c>
      <c r="I274" s="8">
        <v>2.1000000000000001E-2</v>
      </c>
      <c r="J274" s="8">
        <v>0.12</v>
      </c>
      <c r="K274" s="38">
        <f t="shared" si="44"/>
        <v>0.187</v>
      </c>
      <c r="L274" s="38">
        <f t="shared" si="45"/>
        <v>42.374940999999993</v>
      </c>
      <c r="M274" s="29">
        <f t="shared" si="46"/>
        <v>2985.3015056692202</v>
      </c>
      <c r="N274" s="29">
        <f t="shared" si="47"/>
        <v>8.3659034148464411E+25</v>
      </c>
      <c r="O274" s="35">
        <f t="shared" si="48"/>
        <v>2711.204653743001</v>
      </c>
      <c r="P274" s="35">
        <f t="shared" si="49"/>
        <v>42.165811506450332</v>
      </c>
      <c r="Q274" s="35">
        <f t="shared" si="50"/>
        <v>0.20912949354966059</v>
      </c>
      <c r="R274" s="35">
        <f t="shared" si="51"/>
        <v>1.2506833215801862</v>
      </c>
      <c r="S274" s="18">
        <v>2449.7018146846394</v>
      </c>
      <c r="T274" s="35">
        <f t="shared" si="52"/>
        <v>41.945566119540395</v>
      </c>
      <c r="U274" s="35">
        <f t="shared" si="53"/>
        <v>0.42937488045959782</v>
      </c>
      <c r="V274" s="35">
        <f t="shared" si="54"/>
        <v>5.272177870962679</v>
      </c>
    </row>
    <row r="275" spans="1:22" x14ac:dyDescent="0.25">
      <c r="A275" s="34" t="s">
        <v>295</v>
      </c>
      <c r="B275" s="16">
        <v>0.46800000000000003</v>
      </c>
      <c r="C275" s="8">
        <v>2E-3</v>
      </c>
      <c r="D275" s="8">
        <v>23.817</v>
      </c>
      <c r="E275" s="8">
        <v>4.1000000000000002E-2</v>
      </c>
      <c r="F275" s="8">
        <v>1.048</v>
      </c>
      <c r="G275" s="8">
        <v>3.7999999999999999E-2</v>
      </c>
      <c r="H275" s="8">
        <v>0.158</v>
      </c>
      <c r="I275" s="8">
        <v>0.04</v>
      </c>
      <c r="J275" s="8">
        <v>0.12</v>
      </c>
      <c r="K275" s="38">
        <f t="shared" si="44"/>
        <v>0.23899999999999999</v>
      </c>
      <c r="L275" s="38">
        <f t="shared" si="45"/>
        <v>42.669516000000002</v>
      </c>
      <c r="M275" s="29">
        <f t="shared" si="46"/>
        <v>3419.0322712886586</v>
      </c>
      <c r="N275" s="29">
        <f t="shared" si="47"/>
        <v>8.5094222001171266E+25</v>
      </c>
      <c r="O275" s="35">
        <f t="shared" si="48"/>
        <v>2757.715924460626</v>
      </c>
      <c r="P275" s="35">
        <f t="shared" si="49"/>
        <v>42.202747634809484</v>
      </c>
      <c r="Q275" s="35">
        <f t="shared" si="50"/>
        <v>0.4667683651905179</v>
      </c>
      <c r="R275" s="35">
        <f t="shared" si="51"/>
        <v>3.8142313114726405</v>
      </c>
      <c r="S275" s="18">
        <v>2494.1846151021073</v>
      </c>
      <c r="T275" s="35">
        <f t="shared" si="52"/>
        <v>41.984642980180858</v>
      </c>
      <c r="U275" s="35">
        <f t="shared" si="53"/>
        <v>0.68487301981914328</v>
      </c>
      <c r="V275" s="35">
        <f t="shared" si="54"/>
        <v>8.2115343442200359</v>
      </c>
    </row>
    <row r="276" spans="1:22" x14ac:dyDescent="0.25">
      <c r="A276" s="34" t="s">
        <v>296</v>
      </c>
      <c r="B276" s="16">
        <v>0.47</v>
      </c>
      <c r="C276" s="8">
        <v>0.02</v>
      </c>
      <c r="D276" s="8">
        <v>23.042999999999999</v>
      </c>
      <c r="E276" s="8">
        <v>3.5999999999999997E-2</v>
      </c>
      <c r="F276" s="8">
        <v>0.83199999999999996</v>
      </c>
      <c r="G276" s="8">
        <v>1.4999999999999999E-2</v>
      </c>
      <c r="H276" s="8">
        <v>-5.7000000000000002E-2</v>
      </c>
      <c r="I276" s="8">
        <v>3.1E-2</v>
      </c>
      <c r="J276" s="8">
        <v>0.12</v>
      </c>
      <c r="K276" s="38">
        <f t="shared" si="44"/>
        <v>0.20199999999999999</v>
      </c>
      <c r="L276" s="38">
        <f t="shared" si="45"/>
        <v>42.536714000000003</v>
      </c>
      <c r="M276" s="29">
        <f t="shared" si="46"/>
        <v>3216.198166380821</v>
      </c>
      <c r="N276" s="29">
        <f t="shared" si="47"/>
        <v>8.5505009210495404E+25</v>
      </c>
      <c r="O276" s="35">
        <f t="shared" si="48"/>
        <v>2771.0286312705234</v>
      </c>
      <c r="P276" s="35">
        <f t="shared" si="49"/>
        <v>42.213205065465758</v>
      </c>
      <c r="Q276" s="35">
        <f t="shared" si="50"/>
        <v>0.3235089345342459</v>
      </c>
      <c r="R276" s="35">
        <f t="shared" si="51"/>
        <v>2.5648963514234637</v>
      </c>
      <c r="S276" s="18">
        <v>2506.9266786291846</v>
      </c>
      <c r="T276" s="35">
        <f t="shared" si="52"/>
        <v>41.995708160552127</v>
      </c>
      <c r="U276" s="35">
        <f t="shared" si="53"/>
        <v>0.54100583944787672</v>
      </c>
      <c r="V276" s="35">
        <f t="shared" si="54"/>
        <v>7.1730055464342168</v>
      </c>
    </row>
    <row r="277" spans="1:22" x14ac:dyDescent="0.25">
      <c r="A277" s="34" t="s">
        <v>297</v>
      </c>
      <c r="B277" s="16">
        <v>0.47</v>
      </c>
      <c r="C277" s="8">
        <v>0.01</v>
      </c>
      <c r="D277" s="8">
        <v>22.641999999999999</v>
      </c>
      <c r="E277" s="8">
        <v>3.3000000000000002E-2</v>
      </c>
      <c r="F277" s="8">
        <v>1.1599999999999999</v>
      </c>
      <c r="G277" s="8">
        <v>1.7999999999999999E-2</v>
      </c>
      <c r="H277" s="8">
        <v>-2.5999999999999999E-2</v>
      </c>
      <c r="I277" s="8">
        <v>2.4E-2</v>
      </c>
      <c r="J277" s="8">
        <v>0.12</v>
      </c>
      <c r="K277" s="38">
        <f t="shared" si="44"/>
        <v>0.19500000000000001</v>
      </c>
      <c r="L277" s="38">
        <f t="shared" si="45"/>
        <v>42.0869</v>
      </c>
      <c r="M277" s="29">
        <f t="shared" si="46"/>
        <v>2614.4479496607073</v>
      </c>
      <c r="N277" s="29">
        <f t="shared" si="47"/>
        <v>8.5505009210495404E+25</v>
      </c>
      <c r="O277" s="35">
        <f t="shared" si="48"/>
        <v>2771.0286312705234</v>
      </c>
      <c r="P277" s="35">
        <f t="shared" si="49"/>
        <v>42.213205065465758</v>
      </c>
      <c r="Q277" s="35">
        <f t="shared" si="50"/>
        <v>-0.12630506546575759</v>
      </c>
      <c r="R277" s="35">
        <f t="shared" si="51"/>
        <v>0.41953897599761497</v>
      </c>
      <c r="S277" s="18">
        <v>2506.9266786291846</v>
      </c>
      <c r="T277" s="35">
        <f t="shared" si="52"/>
        <v>41.995708160552127</v>
      </c>
      <c r="U277" s="35">
        <f t="shared" si="53"/>
        <v>9.1191839447873235E-2</v>
      </c>
      <c r="V277" s="35">
        <f t="shared" si="54"/>
        <v>0.21869695152890697</v>
      </c>
    </row>
    <row r="278" spans="1:22" x14ac:dyDescent="0.25">
      <c r="A278" s="34" t="s">
        <v>298</v>
      </c>
      <c r="B278" s="16">
        <v>0.47</v>
      </c>
      <c r="C278" s="8">
        <v>0.01</v>
      </c>
      <c r="D278" s="8">
        <v>23.521000000000001</v>
      </c>
      <c r="E278" s="8">
        <v>3.4000000000000002E-2</v>
      </c>
      <c r="F278" s="8">
        <v>0.78700000000000003</v>
      </c>
      <c r="G278" s="8">
        <v>1.7000000000000001E-2</v>
      </c>
      <c r="H278" s="8">
        <v>0.108</v>
      </c>
      <c r="I278" s="8">
        <v>2.8000000000000001E-2</v>
      </c>
      <c r="J278" s="8">
        <v>0.12</v>
      </c>
      <c r="K278" s="38">
        <f t="shared" si="44"/>
        <v>0.19900000000000001</v>
      </c>
      <c r="L278" s="38">
        <f t="shared" si="45"/>
        <v>42.491649000000002</v>
      </c>
      <c r="M278" s="29">
        <f t="shared" si="46"/>
        <v>3150.1395986102743</v>
      </c>
      <c r="N278" s="29">
        <f t="shared" si="47"/>
        <v>8.5505009210495404E+25</v>
      </c>
      <c r="O278" s="35">
        <f t="shared" si="48"/>
        <v>2771.0286312705234</v>
      </c>
      <c r="P278" s="35">
        <f t="shared" si="49"/>
        <v>42.213205065465758</v>
      </c>
      <c r="Q278" s="35">
        <f t="shared" si="50"/>
        <v>0.27844393453424487</v>
      </c>
      <c r="R278" s="35">
        <f t="shared" si="51"/>
        <v>1.9578047190452474</v>
      </c>
      <c r="S278" s="18">
        <v>2506.9266786291846</v>
      </c>
      <c r="T278" s="35">
        <f t="shared" si="52"/>
        <v>41.995708160552127</v>
      </c>
      <c r="U278" s="35">
        <f t="shared" si="53"/>
        <v>0.4959408394478757</v>
      </c>
      <c r="V278" s="35">
        <f t="shared" si="54"/>
        <v>6.2108864986304289</v>
      </c>
    </row>
    <row r="279" spans="1:22" x14ac:dyDescent="0.25">
      <c r="A279" s="34" t="s">
        <v>299</v>
      </c>
      <c r="B279" s="16">
        <v>0.47199999999999998</v>
      </c>
      <c r="C279" s="8">
        <v>1E-3</v>
      </c>
      <c r="D279" s="8">
        <v>23.771000000000001</v>
      </c>
      <c r="E279" s="8">
        <v>3.5000000000000003E-2</v>
      </c>
      <c r="F279" s="8">
        <v>1.0449999999999999</v>
      </c>
      <c r="G279" s="8">
        <v>2.7E-2</v>
      </c>
      <c r="H279" s="8">
        <v>0.184</v>
      </c>
      <c r="I279" s="8">
        <v>3.2000000000000001E-2</v>
      </c>
      <c r="J279" s="8">
        <v>0.12</v>
      </c>
      <c r="K279" s="38">
        <f t="shared" si="44"/>
        <v>0.214</v>
      </c>
      <c r="L279" s="38">
        <f t="shared" si="45"/>
        <v>42.541695000000004</v>
      </c>
      <c r="M279" s="29">
        <f t="shared" si="46"/>
        <v>3223.5840629455174</v>
      </c>
      <c r="N279" s="29">
        <f t="shared" si="47"/>
        <v>8.591612098559763E+25</v>
      </c>
      <c r="O279" s="35">
        <f t="shared" si="48"/>
        <v>2784.3518565409427</v>
      </c>
      <c r="P279" s="35">
        <f t="shared" si="49"/>
        <v>42.223620579438567</v>
      </c>
      <c r="Q279" s="35">
        <f t="shared" si="50"/>
        <v>0.31807442056143742</v>
      </c>
      <c r="R279" s="35">
        <f t="shared" si="51"/>
        <v>2.2091740985128432</v>
      </c>
      <c r="S279" s="18">
        <v>2519.6832057629631</v>
      </c>
      <c r="T279" s="35">
        <f t="shared" si="52"/>
        <v>42.006729706610855</v>
      </c>
      <c r="U279" s="35">
        <f t="shared" si="53"/>
        <v>0.53496529338914911</v>
      </c>
      <c r="V279" s="35">
        <f t="shared" si="54"/>
        <v>6.2491891241798054</v>
      </c>
    </row>
    <row r="280" spans="1:22" x14ac:dyDescent="0.25">
      <c r="A280" s="34" t="s">
        <v>300</v>
      </c>
      <c r="B280" s="16">
        <v>0.47399999999999998</v>
      </c>
      <c r="C280" s="8">
        <v>1E-3</v>
      </c>
      <c r="D280" s="8">
        <v>22.719000000000001</v>
      </c>
      <c r="E280" s="8">
        <v>3.5000000000000003E-2</v>
      </c>
      <c r="F280" s="8">
        <v>0.98899999999999999</v>
      </c>
      <c r="G280" s="8">
        <v>0.02</v>
      </c>
      <c r="H280" s="8">
        <v>-9.6000000000000002E-2</v>
      </c>
      <c r="I280" s="8">
        <v>2.1999999999999999E-2</v>
      </c>
      <c r="J280" s="8">
        <v>0.12</v>
      </c>
      <c r="K280" s="38">
        <f t="shared" si="44"/>
        <v>0.19700000000000001</v>
      </c>
      <c r="L280" s="38">
        <f t="shared" si="45"/>
        <v>42.357863000000002</v>
      </c>
      <c r="M280" s="29">
        <f t="shared" si="46"/>
        <v>2961.9150604736251</v>
      </c>
      <c r="N280" s="29">
        <f t="shared" si="47"/>
        <v>8.6327556539333805E+25</v>
      </c>
      <c r="O280" s="35">
        <f t="shared" si="48"/>
        <v>2797.6855747622799</v>
      </c>
      <c r="P280" s="35">
        <f t="shared" si="49"/>
        <v>42.233994517864701</v>
      </c>
      <c r="Q280" s="35">
        <f t="shared" si="50"/>
        <v>0.12386848213530044</v>
      </c>
      <c r="R280" s="35">
        <f t="shared" si="51"/>
        <v>0.39535676947365928</v>
      </c>
      <c r="S280" s="18">
        <v>2532.4541605704121</v>
      </c>
      <c r="T280" s="35">
        <f t="shared" si="52"/>
        <v>42.017707965143828</v>
      </c>
      <c r="U280" s="35">
        <f t="shared" si="53"/>
        <v>0.34015503485617415</v>
      </c>
      <c r="V280" s="35">
        <f t="shared" si="54"/>
        <v>2.9814076048855944</v>
      </c>
    </row>
    <row r="281" spans="1:22" x14ac:dyDescent="0.25">
      <c r="A281" s="34" t="s">
        <v>301</v>
      </c>
      <c r="B281" s="16">
        <v>0.47899999999999998</v>
      </c>
      <c r="C281" s="8">
        <v>1E-3</v>
      </c>
      <c r="D281" s="8">
        <v>22.677</v>
      </c>
      <c r="E281" s="8">
        <v>3.4000000000000002E-2</v>
      </c>
      <c r="F281" s="8">
        <v>1.133</v>
      </c>
      <c r="G281" s="8">
        <v>1.4999999999999999E-2</v>
      </c>
      <c r="H281" s="8">
        <v>-1.2E-2</v>
      </c>
      <c r="I281" s="8">
        <v>2.1999999999999999E-2</v>
      </c>
      <c r="J281" s="8">
        <v>0.12</v>
      </c>
      <c r="K281" s="38">
        <f t="shared" si="44"/>
        <v>0.191</v>
      </c>
      <c r="L281" s="38">
        <f t="shared" si="45"/>
        <v>42.074111000000002</v>
      </c>
      <c r="M281" s="29">
        <f t="shared" si="46"/>
        <v>2599.0952766774994</v>
      </c>
      <c r="N281" s="29">
        <f t="shared" si="47"/>
        <v>8.7357556812485368E+25</v>
      </c>
      <c r="O281" s="35">
        <f t="shared" si="48"/>
        <v>2831.0656103119295</v>
      </c>
      <c r="P281" s="35">
        <f t="shared" si="49"/>
        <v>42.259749671562787</v>
      </c>
      <c r="Q281" s="35">
        <f t="shared" si="50"/>
        <v>-0.18563867156278491</v>
      </c>
      <c r="R281" s="35">
        <f t="shared" si="51"/>
        <v>0.94464834789604246</v>
      </c>
      <c r="S281" s="18">
        <v>2564.4444337116006</v>
      </c>
      <c r="T281" s="35">
        <f t="shared" si="52"/>
        <v>42.044966466133687</v>
      </c>
      <c r="U281" s="35">
        <f t="shared" si="53"/>
        <v>2.9144533866315214E-2</v>
      </c>
      <c r="V281" s="35">
        <f t="shared" si="54"/>
        <v>2.3283458630103192E-2</v>
      </c>
    </row>
    <row r="282" spans="1:22" x14ac:dyDescent="0.25">
      <c r="A282" s="34" t="s">
        <v>302</v>
      </c>
      <c r="B282" s="16">
        <v>0.48</v>
      </c>
      <c r="C282" s="8">
        <v>0.01</v>
      </c>
      <c r="D282" s="8">
        <v>22.940999999999999</v>
      </c>
      <c r="E282" s="8">
        <v>3.5999999999999997E-2</v>
      </c>
      <c r="F282" s="8">
        <v>0.98499999999999999</v>
      </c>
      <c r="G282" s="8">
        <v>2.4E-2</v>
      </c>
      <c r="H282" s="8">
        <v>-1.4999999999999999E-2</v>
      </c>
      <c r="I282" s="8">
        <v>2.3E-2</v>
      </c>
      <c r="J282" s="8">
        <v>0.12</v>
      </c>
      <c r="K282" s="38">
        <f t="shared" si="44"/>
        <v>0.20299999999999999</v>
      </c>
      <c r="L282" s="38">
        <f t="shared" si="45"/>
        <v>42.325744999999998</v>
      </c>
      <c r="M282" s="29">
        <f t="shared" si="46"/>
        <v>2918.4281116911343</v>
      </c>
      <c r="N282" s="29">
        <f t="shared" si="47"/>
        <v>8.7563798038991783E+25</v>
      </c>
      <c r="O282" s="35">
        <f t="shared" si="48"/>
        <v>2837.7494332700758</v>
      </c>
      <c r="P282" s="35">
        <f t="shared" si="49"/>
        <v>42.264870228066258</v>
      </c>
      <c r="Q282" s="35">
        <f t="shared" si="50"/>
        <v>6.0874771933740135E-2</v>
      </c>
      <c r="R282" s="35">
        <f t="shared" si="51"/>
        <v>8.9925449731487681E-2</v>
      </c>
      <c r="S282" s="18">
        <v>2570.8532331352421</v>
      </c>
      <c r="T282" s="35">
        <f t="shared" si="52"/>
        <v>42.050386420050401</v>
      </c>
      <c r="U282" s="35">
        <f t="shared" si="53"/>
        <v>0.27535857994959656</v>
      </c>
      <c r="V282" s="35">
        <f t="shared" si="54"/>
        <v>1.8399463115304513</v>
      </c>
    </row>
    <row r="283" spans="1:22" x14ac:dyDescent="0.25">
      <c r="A283" s="34" t="s">
        <v>303</v>
      </c>
      <c r="B283" s="16">
        <v>0.49</v>
      </c>
      <c r="C283" s="8">
        <v>0.01</v>
      </c>
      <c r="D283" s="8">
        <v>22.879000000000001</v>
      </c>
      <c r="E283" s="8">
        <v>3.5999999999999997E-2</v>
      </c>
      <c r="F283" s="8">
        <v>1.054</v>
      </c>
      <c r="G283" s="8">
        <v>1.9E-2</v>
      </c>
      <c r="H283" s="8">
        <v>-3.4000000000000002E-2</v>
      </c>
      <c r="I283" s="8">
        <v>2.3E-2</v>
      </c>
      <c r="J283" s="8">
        <v>0.12</v>
      </c>
      <c r="K283" s="38">
        <f t="shared" si="44"/>
        <v>0.19799999999999998</v>
      </c>
      <c r="L283" s="38">
        <f t="shared" si="45"/>
        <v>42.333358000000004</v>
      </c>
      <c r="M283" s="29">
        <f t="shared" si="46"/>
        <v>2928.6778325172259</v>
      </c>
      <c r="N283" s="29">
        <f t="shared" si="47"/>
        <v>8.9630603377306752E+25</v>
      </c>
      <c r="O283" s="35">
        <f t="shared" si="48"/>
        <v>2904.730032659691</v>
      </c>
      <c r="P283" s="35">
        <f t="shared" si="49"/>
        <v>42.315528875069873</v>
      </c>
      <c r="Q283" s="35">
        <f t="shared" si="50"/>
        <v>1.7829124930131002E-2</v>
      </c>
      <c r="R283" s="35">
        <f t="shared" si="51"/>
        <v>8.1082975149020207E-3</v>
      </c>
      <c r="S283" s="18">
        <v>2635.1369147671503</v>
      </c>
      <c r="T283" s="35">
        <f t="shared" si="52"/>
        <v>42.104015924655755</v>
      </c>
      <c r="U283" s="35">
        <f t="shared" si="53"/>
        <v>0.229342075344249</v>
      </c>
      <c r="V283" s="35">
        <f t="shared" si="54"/>
        <v>1.3416433915724719</v>
      </c>
    </row>
    <row r="284" spans="1:22" x14ac:dyDescent="0.25">
      <c r="A284" s="34" t="s">
        <v>304</v>
      </c>
      <c r="B284" s="16">
        <v>0.496</v>
      </c>
      <c r="C284" s="8">
        <v>1E-3</v>
      </c>
      <c r="D284" s="8">
        <v>22.992000000000001</v>
      </c>
      <c r="E284" s="8">
        <v>3.5000000000000003E-2</v>
      </c>
      <c r="F284" s="8">
        <v>0.92500000000000004</v>
      </c>
      <c r="G284" s="8">
        <v>1.2999999999999999E-2</v>
      </c>
      <c r="H284" s="8">
        <v>-6.2E-2</v>
      </c>
      <c r="I284" s="8">
        <v>2.8000000000000001E-2</v>
      </c>
      <c r="J284" s="8">
        <v>0.12</v>
      </c>
      <c r="K284" s="38">
        <f t="shared" si="44"/>
        <v>0.19600000000000001</v>
      </c>
      <c r="L284" s="38">
        <f t="shared" si="45"/>
        <v>42.515034999999997</v>
      </c>
      <c r="M284" s="29">
        <f t="shared" si="46"/>
        <v>3184.2488453399665</v>
      </c>
      <c r="N284" s="29">
        <f t="shared" si="47"/>
        <v>9.0874494422459556E+25</v>
      </c>
      <c r="O284" s="35">
        <f t="shared" si="48"/>
        <v>2945.0417960537393</v>
      </c>
      <c r="P284" s="35">
        <f t="shared" si="49"/>
        <v>42.345457313385893</v>
      </c>
      <c r="Q284" s="35">
        <f t="shared" si="50"/>
        <v>0.16957768661410455</v>
      </c>
      <c r="R284" s="35">
        <f t="shared" si="51"/>
        <v>0.74855767902414228</v>
      </c>
      <c r="S284" s="18">
        <v>2673.8767084093988</v>
      </c>
      <c r="T284" s="35">
        <f t="shared" si="52"/>
        <v>42.135706891047349</v>
      </c>
      <c r="U284" s="35">
        <f t="shared" si="53"/>
        <v>0.37932810895264879</v>
      </c>
      <c r="V284" s="35">
        <f t="shared" si="54"/>
        <v>3.7455699250726928</v>
      </c>
    </row>
    <row r="285" spans="1:22" x14ac:dyDescent="0.25">
      <c r="A285" s="34" t="s">
        <v>305</v>
      </c>
      <c r="B285" s="16">
        <v>0.499</v>
      </c>
      <c r="C285" s="8">
        <v>1E-3</v>
      </c>
      <c r="D285" s="8">
        <v>23.108000000000001</v>
      </c>
      <c r="E285" s="8">
        <v>3.7999999999999999E-2</v>
      </c>
      <c r="F285" s="8">
        <v>1.01</v>
      </c>
      <c r="G285" s="8">
        <v>3.3000000000000002E-2</v>
      </c>
      <c r="H285" s="8">
        <v>-1.2999999999999999E-2</v>
      </c>
      <c r="I285" s="8">
        <v>3.1E-2</v>
      </c>
      <c r="J285" s="8">
        <v>0.12</v>
      </c>
      <c r="K285" s="38">
        <f t="shared" si="44"/>
        <v>0.222</v>
      </c>
      <c r="L285" s="38">
        <f t="shared" si="45"/>
        <v>42.490160000000003</v>
      </c>
      <c r="M285" s="29">
        <f t="shared" si="46"/>
        <v>3147.9802573133466</v>
      </c>
      <c r="N285" s="29">
        <f t="shared" si="47"/>
        <v>9.14975027581249E+25</v>
      </c>
      <c r="O285" s="35">
        <f t="shared" si="48"/>
        <v>2965.2321211772523</v>
      </c>
      <c r="P285" s="35">
        <f t="shared" si="49"/>
        <v>42.360293480070716</v>
      </c>
      <c r="Q285" s="35">
        <f t="shared" si="50"/>
        <v>0.12986651992928699</v>
      </c>
      <c r="R285" s="35">
        <f t="shared" si="51"/>
        <v>0.34220665933251959</v>
      </c>
      <c r="S285" s="18">
        <v>2693.2939271632945</v>
      </c>
      <c r="T285" s="35">
        <f t="shared" si="52"/>
        <v>42.151418759221279</v>
      </c>
      <c r="U285" s="35">
        <f t="shared" si="53"/>
        <v>0.33874124077872381</v>
      </c>
      <c r="V285" s="35">
        <f t="shared" si="54"/>
        <v>2.3282531491824798</v>
      </c>
    </row>
    <row r="286" spans="1:22" x14ac:dyDescent="0.25">
      <c r="A286" s="34" t="s">
        <v>306</v>
      </c>
      <c r="B286" s="16">
        <v>0.499</v>
      </c>
      <c r="C286" s="8">
        <v>1E-3</v>
      </c>
      <c r="D286" s="8">
        <v>23.273</v>
      </c>
      <c r="E286" s="8">
        <v>3.9E-2</v>
      </c>
      <c r="F286" s="8">
        <v>1.054</v>
      </c>
      <c r="G286" s="8">
        <v>3.9E-2</v>
      </c>
      <c r="H286" s="8">
        <v>3.5999999999999997E-2</v>
      </c>
      <c r="I286" s="8">
        <v>3.5999999999999997E-2</v>
      </c>
      <c r="J286" s="8">
        <v>0.12</v>
      </c>
      <c r="K286" s="38">
        <f t="shared" si="44"/>
        <v>0.23399999999999999</v>
      </c>
      <c r="L286" s="38">
        <f t="shared" si="45"/>
        <v>42.508257999999998</v>
      </c>
      <c r="M286" s="29">
        <f t="shared" si="46"/>
        <v>3174.3265386572898</v>
      </c>
      <c r="N286" s="29">
        <f t="shared" si="47"/>
        <v>9.14975027581249E+25</v>
      </c>
      <c r="O286" s="35">
        <f t="shared" si="48"/>
        <v>2965.2321211772523</v>
      </c>
      <c r="P286" s="35">
        <f t="shared" si="49"/>
        <v>42.360293480070716</v>
      </c>
      <c r="Q286" s="35">
        <f t="shared" si="50"/>
        <v>0.14796451992928183</v>
      </c>
      <c r="R286" s="35">
        <f t="shared" si="51"/>
        <v>0.399837445355812</v>
      </c>
      <c r="S286" s="18">
        <v>2693.2939271632945</v>
      </c>
      <c r="T286" s="35">
        <f t="shared" si="52"/>
        <v>42.151418759221279</v>
      </c>
      <c r="U286" s="35">
        <f t="shared" si="53"/>
        <v>0.35683924077871865</v>
      </c>
      <c r="V286" s="35">
        <f t="shared" si="54"/>
        <v>2.3254847644008394</v>
      </c>
    </row>
    <row r="287" spans="1:22" x14ac:dyDescent="0.25">
      <c r="A287" s="34" t="s">
        <v>307</v>
      </c>
      <c r="B287" s="16">
        <v>0.504</v>
      </c>
      <c r="C287" s="8">
        <v>1E-3</v>
      </c>
      <c r="D287" s="8">
        <v>23.012</v>
      </c>
      <c r="E287" s="8">
        <v>3.5000000000000003E-2</v>
      </c>
      <c r="F287" s="8">
        <v>1.137</v>
      </c>
      <c r="G287" s="8">
        <v>0.02</v>
      </c>
      <c r="H287" s="8">
        <v>1.7000000000000001E-2</v>
      </c>
      <c r="I287" s="8">
        <v>2.8000000000000001E-2</v>
      </c>
      <c r="J287" s="8">
        <v>0.12</v>
      </c>
      <c r="K287" s="38">
        <f t="shared" si="44"/>
        <v>0.20300000000000001</v>
      </c>
      <c r="L287" s="38">
        <f t="shared" si="45"/>
        <v>42.318928999999997</v>
      </c>
      <c r="M287" s="29">
        <f t="shared" si="46"/>
        <v>2909.2818664007996</v>
      </c>
      <c r="N287" s="29">
        <f t="shared" si="47"/>
        <v>9.2537415718816386E+25</v>
      </c>
      <c r="O287" s="35">
        <f t="shared" si="48"/>
        <v>2998.9334050518783</v>
      </c>
      <c r="P287" s="35">
        <f t="shared" si="49"/>
        <v>42.384834109158405</v>
      </c>
      <c r="Q287" s="35">
        <f t="shared" si="50"/>
        <v>-6.5905109158407527E-2</v>
      </c>
      <c r="R287" s="35">
        <f t="shared" si="51"/>
        <v>0.1054013301264678</v>
      </c>
      <c r="S287" s="18">
        <v>2725.7256602949683</v>
      </c>
      <c r="T287" s="35">
        <f t="shared" si="52"/>
        <v>42.177410713443948</v>
      </c>
      <c r="U287" s="35">
        <f t="shared" si="53"/>
        <v>0.14151828655604959</v>
      </c>
      <c r="V287" s="35">
        <f t="shared" si="54"/>
        <v>0.48599639471378014</v>
      </c>
    </row>
    <row r="288" spans="1:22" x14ac:dyDescent="0.25">
      <c r="A288" s="34" t="s">
        <v>308</v>
      </c>
      <c r="B288" s="16">
        <v>0.50900000000000001</v>
      </c>
      <c r="C288" s="8">
        <v>1E-3</v>
      </c>
      <c r="D288" s="8">
        <v>23.558</v>
      </c>
      <c r="E288" s="8">
        <v>3.6999999999999998E-2</v>
      </c>
      <c r="F288" s="8">
        <v>1.095</v>
      </c>
      <c r="G288" s="8">
        <v>0.02</v>
      </c>
      <c r="H288" s="8">
        <v>0.185</v>
      </c>
      <c r="I288" s="8">
        <v>2.7E-2</v>
      </c>
      <c r="J288" s="8">
        <v>0.12</v>
      </c>
      <c r="K288" s="38">
        <f t="shared" si="44"/>
        <v>0.20399999999999999</v>
      </c>
      <c r="L288" s="38">
        <f t="shared" si="45"/>
        <v>42.332915</v>
      </c>
      <c r="M288" s="29">
        <f t="shared" si="46"/>
        <v>2928.0804167075535</v>
      </c>
      <c r="N288" s="29">
        <f t="shared" si="47"/>
        <v>9.357927570696808E+25</v>
      </c>
      <c r="O288" s="35">
        <f t="shared" si="48"/>
        <v>3032.697787789225</v>
      </c>
      <c r="P288" s="35">
        <f t="shared" si="49"/>
        <v>42.40914567233331</v>
      </c>
      <c r="Q288" s="35">
        <f t="shared" si="50"/>
        <v>-7.6230672333309712E-2</v>
      </c>
      <c r="R288" s="35">
        <f t="shared" si="51"/>
        <v>0.13963656777173281</v>
      </c>
      <c r="S288" s="18">
        <v>2758.2440540656225</v>
      </c>
      <c r="T288" s="35">
        <f t="shared" si="52"/>
        <v>42.203163453225088</v>
      </c>
      <c r="U288" s="35">
        <f t="shared" si="53"/>
        <v>0.12975154677491219</v>
      </c>
      <c r="V288" s="35">
        <f t="shared" si="54"/>
        <v>0.40454305772977284</v>
      </c>
    </row>
    <row r="289" spans="1:22" x14ac:dyDescent="0.25">
      <c r="A289" s="34" t="s">
        <v>309</v>
      </c>
      <c r="B289" s="16">
        <v>0.51</v>
      </c>
      <c r="C289" s="8">
        <v>0.01</v>
      </c>
      <c r="D289" s="8">
        <v>22.913</v>
      </c>
      <c r="E289" s="8">
        <v>3.6999999999999998E-2</v>
      </c>
      <c r="F289" s="8">
        <v>1.099</v>
      </c>
      <c r="G289" s="8">
        <v>2.5999999999999999E-2</v>
      </c>
      <c r="H289" s="8">
        <v>-0.1</v>
      </c>
      <c r="I289" s="8">
        <v>2.8000000000000001E-2</v>
      </c>
      <c r="J289" s="8">
        <v>0.12</v>
      </c>
      <c r="K289" s="38">
        <f t="shared" si="44"/>
        <v>0.21099999999999999</v>
      </c>
      <c r="L289" s="38">
        <f t="shared" si="45"/>
        <v>42.580552999999995</v>
      </c>
      <c r="M289" s="29">
        <f t="shared" si="46"/>
        <v>3281.7885844009561</v>
      </c>
      <c r="N289" s="29">
        <f t="shared" si="47"/>
        <v>9.3787880323958911E+25</v>
      </c>
      <c r="O289" s="35">
        <f t="shared" si="48"/>
        <v>3039.4582030167558</v>
      </c>
      <c r="P289" s="35">
        <f t="shared" si="49"/>
        <v>42.413980877894957</v>
      </c>
      <c r="Q289" s="35">
        <f t="shared" si="50"/>
        <v>0.16657212210503758</v>
      </c>
      <c r="R289" s="35">
        <f t="shared" si="51"/>
        <v>0.62321762454966312</v>
      </c>
      <c r="S289" s="18">
        <v>2764.7580849338487</v>
      </c>
      <c r="T289" s="35">
        <f t="shared" si="52"/>
        <v>42.208285683674404</v>
      </c>
      <c r="U289" s="35">
        <f t="shared" si="53"/>
        <v>0.37226731632559051</v>
      </c>
      <c r="V289" s="35">
        <f t="shared" si="54"/>
        <v>3.1127547630164929</v>
      </c>
    </row>
    <row r="290" spans="1:22" x14ac:dyDescent="0.25">
      <c r="A290" s="34" t="s">
        <v>310</v>
      </c>
      <c r="B290" s="16">
        <v>0.51300000000000001</v>
      </c>
      <c r="C290" s="8">
        <v>1E-3</v>
      </c>
      <c r="D290" s="8">
        <v>23.783000000000001</v>
      </c>
      <c r="E290" s="8">
        <v>0.04</v>
      </c>
      <c r="F290" s="8">
        <v>1.1539999999999999</v>
      </c>
      <c r="G290" s="8">
        <v>2.5000000000000001E-2</v>
      </c>
      <c r="H290" s="8">
        <v>0.17100000000000001</v>
      </c>
      <c r="I290" s="8">
        <v>3.1E-2</v>
      </c>
      <c r="J290" s="8">
        <v>0.12</v>
      </c>
      <c r="K290" s="38">
        <f t="shared" si="44"/>
        <v>0.216</v>
      </c>
      <c r="L290" s="38">
        <f t="shared" si="45"/>
        <v>42.610408000000007</v>
      </c>
      <c r="M290" s="29">
        <f t="shared" si="46"/>
        <v>3327.2206288367711</v>
      </c>
      <c r="N290" s="29">
        <f t="shared" si="47"/>
        <v>9.4414157747457021E+25</v>
      </c>
      <c r="O290" s="35">
        <f t="shared" si="48"/>
        <v>3059.754472061758</v>
      </c>
      <c r="P290" s="35">
        <f t="shared" si="49"/>
        <v>42.428432891056758</v>
      </c>
      <c r="Q290" s="35">
        <f t="shared" si="50"/>
        <v>0.18197510894324864</v>
      </c>
      <c r="R290" s="35">
        <f t="shared" si="51"/>
        <v>0.70976809574132405</v>
      </c>
      <c r="S290" s="18">
        <v>2784.3208049605328</v>
      </c>
      <c r="T290" s="35">
        <f t="shared" si="52"/>
        <v>42.223596362662242</v>
      </c>
      <c r="U290" s="35">
        <f t="shared" si="53"/>
        <v>0.38681163733776458</v>
      </c>
      <c r="V290" s="35">
        <f t="shared" si="54"/>
        <v>3.2069453613666479</v>
      </c>
    </row>
    <row r="291" spans="1:22" x14ac:dyDescent="0.25">
      <c r="A291" s="34" t="s">
        <v>311</v>
      </c>
      <c r="B291" s="16">
        <v>0.51500000000000001</v>
      </c>
      <c r="C291" s="8">
        <v>2E-3</v>
      </c>
      <c r="D291" s="8">
        <v>23.57</v>
      </c>
      <c r="E291" s="8">
        <v>4.1000000000000002E-2</v>
      </c>
      <c r="F291" s="8">
        <v>1.0920000000000001</v>
      </c>
      <c r="G291" s="8">
        <v>2.4E-2</v>
      </c>
      <c r="H291" s="8">
        <v>0.11899999999999999</v>
      </c>
      <c r="I291" s="8">
        <v>3.3000000000000002E-2</v>
      </c>
      <c r="J291" s="8">
        <v>0.12</v>
      </c>
      <c r="K291" s="38">
        <f t="shared" si="44"/>
        <v>0.218</v>
      </c>
      <c r="L291" s="38">
        <f t="shared" si="45"/>
        <v>42.551054000000001</v>
      </c>
      <c r="M291" s="29">
        <f t="shared" si="46"/>
        <v>3237.5076254187084</v>
      </c>
      <c r="N291" s="29">
        <f t="shared" si="47"/>
        <v>9.4832061418611893E+25</v>
      </c>
      <c r="O291" s="35">
        <f t="shared" si="48"/>
        <v>3073.2978076929185</v>
      </c>
      <c r="P291" s="35">
        <f t="shared" si="49"/>
        <v>42.438023230782463</v>
      </c>
      <c r="Q291" s="35">
        <f t="shared" si="50"/>
        <v>0.11303076921753785</v>
      </c>
      <c r="R291" s="35">
        <f t="shared" si="51"/>
        <v>0.26883163853859743</v>
      </c>
      <c r="S291" s="18">
        <v>2797.3797653206225</v>
      </c>
      <c r="T291" s="35">
        <f t="shared" si="52"/>
        <v>42.233757145564134</v>
      </c>
      <c r="U291" s="35">
        <f t="shared" si="53"/>
        <v>0.31729685443586675</v>
      </c>
      <c r="V291" s="35">
        <f t="shared" si="54"/>
        <v>2.118451599926261</v>
      </c>
    </row>
    <row r="292" spans="1:22" x14ac:dyDescent="0.25">
      <c r="A292" s="34" t="s">
        <v>312</v>
      </c>
      <c r="B292" s="16">
        <v>0.51500000000000001</v>
      </c>
      <c r="C292" s="8">
        <v>1E-3</v>
      </c>
      <c r="D292" s="8">
        <v>23.564</v>
      </c>
      <c r="E292" s="8">
        <v>6.9000000000000006E-2</v>
      </c>
      <c r="F292" s="8">
        <v>1.1659999999999999</v>
      </c>
      <c r="G292" s="8">
        <v>4.9000000000000002E-2</v>
      </c>
      <c r="H292" s="8">
        <v>0.16</v>
      </c>
      <c r="I292" s="8">
        <v>0.04</v>
      </c>
      <c r="J292" s="8">
        <v>0.12</v>
      </c>
      <c r="K292" s="38">
        <f t="shared" si="44"/>
        <v>0.27800000000000002</v>
      </c>
      <c r="L292" s="38">
        <f t="shared" si="45"/>
        <v>42.427601999999993</v>
      </c>
      <c r="M292" s="29">
        <f t="shared" si="46"/>
        <v>3058.5839131906846</v>
      </c>
      <c r="N292" s="29">
        <f t="shared" si="47"/>
        <v>9.4832061418611893E+25</v>
      </c>
      <c r="O292" s="35">
        <f t="shared" si="48"/>
        <v>3073.2978076929185</v>
      </c>
      <c r="P292" s="35">
        <f t="shared" si="49"/>
        <v>42.438023230782463</v>
      </c>
      <c r="Q292" s="35">
        <f t="shared" si="50"/>
        <v>-1.0421230782469593E-2</v>
      </c>
      <c r="R292" s="35">
        <f t="shared" si="51"/>
        <v>1.4052333085954631E-3</v>
      </c>
      <c r="S292" s="18">
        <v>2797.3797653206225</v>
      </c>
      <c r="T292" s="35">
        <f t="shared" si="52"/>
        <v>42.233757145564134</v>
      </c>
      <c r="U292" s="35">
        <f t="shared" si="53"/>
        <v>0.1938448544358593</v>
      </c>
      <c r="V292" s="35">
        <f t="shared" si="54"/>
        <v>0.48620448723227933</v>
      </c>
    </row>
    <row r="293" spans="1:22" x14ac:dyDescent="0.25">
      <c r="A293" s="34" t="s">
        <v>313</v>
      </c>
      <c r="B293" s="16">
        <v>0.51600000000000001</v>
      </c>
      <c r="C293" s="8">
        <v>1E-3</v>
      </c>
      <c r="D293" s="8">
        <v>22.902000000000001</v>
      </c>
      <c r="E293" s="8">
        <v>3.6999999999999998E-2</v>
      </c>
      <c r="F293" s="8">
        <v>1.169</v>
      </c>
      <c r="G293" s="8">
        <v>1.9E-2</v>
      </c>
      <c r="H293" s="8">
        <v>-3.4000000000000002E-2</v>
      </c>
      <c r="I293" s="8">
        <v>2.5000000000000001E-2</v>
      </c>
      <c r="J293" s="8">
        <v>0.12</v>
      </c>
      <c r="K293" s="38">
        <f t="shared" si="44"/>
        <v>0.20099999999999998</v>
      </c>
      <c r="L293" s="38">
        <f t="shared" si="45"/>
        <v>42.373263000000001</v>
      </c>
      <c r="M293" s="29">
        <f t="shared" si="46"/>
        <v>2982.99551231331</v>
      </c>
      <c r="N293" s="29">
        <f t="shared" si="47"/>
        <v>9.5041128595120791E+25</v>
      </c>
      <c r="O293" s="35">
        <f t="shared" si="48"/>
        <v>3080.0732134535197</v>
      </c>
      <c r="P293" s="35">
        <f t="shared" si="49"/>
        <v>42.442805199094693</v>
      </c>
      <c r="Q293" s="35">
        <f t="shared" si="50"/>
        <v>-6.9542199094691171E-2</v>
      </c>
      <c r="R293" s="35">
        <f t="shared" si="51"/>
        <v>0.11970291465373795</v>
      </c>
      <c r="S293" s="18">
        <v>2803.914376881185</v>
      </c>
      <c r="T293" s="35">
        <f t="shared" si="52"/>
        <v>42.238823737243813</v>
      </c>
      <c r="U293" s="35">
        <f t="shared" si="53"/>
        <v>0.13443926275618878</v>
      </c>
      <c r="V293" s="35">
        <f t="shared" si="54"/>
        <v>0.4473630694890614</v>
      </c>
    </row>
    <row r="294" spans="1:22" x14ac:dyDescent="0.25">
      <c r="A294" s="34" t="s">
        <v>314</v>
      </c>
      <c r="B294" s="16">
        <v>0.51900000000000002</v>
      </c>
      <c r="C294" s="8">
        <v>1E-3</v>
      </c>
      <c r="D294" s="8">
        <v>22.913</v>
      </c>
      <c r="E294" s="8">
        <v>3.5999999999999997E-2</v>
      </c>
      <c r="F294" s="8">
        <v>1.08</v>
      </c>
      <c r="G294" s="8">
        <v>1.6E-2</v>
      </c>
      <c r="H294" s="8">
        <v>-8.2000000000000003E-2</v>
      </c>
      <c r="I294" s="8">
        <v>2.4E-2</v>
      </c>
      <c r="J294" s="8">
        <v>0.12</v>
      </c>
      <c r="K294" s="38">
        <f t="shared" si="44"/>
        <v>0.19600000000000001</v>
      </c>
      <c r="L294" s="38">
        <f t="shared" si="45"/>
        <v>42.521419999999999</v>
      </c>
      <c r="M294" s="29">
        <f t="shared" si="46"/>
        <v>3193.6255932948761</v>
      </c>
      <c r="N294" s="29">
        <f t="shared" si="47"/>
        <v>9.5668790389452146E+25</v>
      </c>
      <c r="O294" s="35">
        <f t="shared" si="48"/>
        <v>3100.4143469017963</v>
      </c>
      <c r="P294" s="35">
        <f t="shared" si="49"/>
        <v>42.457098689410273</v>
      </c>
      <c r="Q294" s="35">
        <f t="shared" si="50"/>
        <v>6.4321310589726011E-2</v>
      </c>
      <c r="R294" s="35">
        <f t="shared" si="51"/>
        <v>0.10769551738806744</v>
      </c>
      <c r="S294" s="18">
        <v>2823.5386863536387</v>
      </c>
      <c r="T294" s="35">
        <f t="shared" si="52"/>
        <v>42.253968712719384</v>
      </c>
      <c r="U294" s="35">
        <f t="shared" si="53"/>
        <v>0.26745128728061474</v>
      </c>
      <c r="V294" s="35">
        <f t="shared" si="54"/>
        <v>1.861989563412586</v>
      </c>
    </row>
    <row r="295" spans="1:22" x14ac:dyDescent="0.25">
      <c r="A295" s="34" t="s">
        <v>315</v>
      </c>
      <c r="B295" s="16">
        <v>0.52200000000000002</v>
      </c>
      <c r="C295" s="8">
        <v>1E-3</v>
      </c>
      <c r="D295" s="8">
        <v>23.327000000000002</v>
      </c>
      <c r="E295" s="8">
        <v>3.7999999999999999E-2</v>
      </c>
      <c r="F295" s="8">
        <v>1.133</v>
      </c>
      <c r="G295" s="8">
        <v>2.7E-2</v>
      </c>
      <c r="H295" s="8">
        <v>3.6999999999999998E-2</v>
      </c>
      <c r="I295" s="8">
        <v>3.4000000000000002E-2</v>
      </c>
      <c r="J295" s="8">
        <v>0.12</v>
      </c>
      <c r="K295" s="38">
        <f t="shared" si="44"/>
        <v>0.219</v>
      </c>
      <c r="L295" s="38">
        <f t="shared" si="45"/>
        <v>42.570740999999998</v>
      </c>
      <c r="M295" s="29">
        <f t="shared" si="46"/>
        <v>3266.9929703735665</v>
      </c>
      <c r="N295" s="29">
        <f t="shared" si="47"/>
        <v>9.6297140664741283E+25</v>
      </c>
      <c r="O295" s="35">
        <f t="shared" si="48"/>
        <v>3120.7777924983752</v>
      </c>
      <c r="P295" s="35">
        <f t="shared" si="49"/>
        <v>42.471314234343389</v>
      </c>
      <c r="Q295" s="35">
        <f t="shared" si="50"/>
        <v>9.9426765656609462E-2</v>
      </c>
      <c r="R295" s="35">
        <f t="shared" si="51"/>
        <v>0.20611917451542577</v>
      </c>
      <c r="S295" s="18">
        <v>2843.1936195074222</v>
      </c>
      <c r="T295" s="35">
        <f t="shared" si="52"/>
        <v>42.269032179247908</v>
      </c>
      <c r="U295" s="35">
        <f t="shared" si="53"/>
        <v>0.30170882075208993</v>
      </c>
      <c r="V295" s="35">
        <f t="shared" si="54"/>
        <v>1.8979631892499478</v>
      </c>
    </row>
    <row r="296" spans="1:22" x14ac:dyDescent="0.25">
      <c r="A296" s="34" t="s">
        <v>316</v>
      </c>
      <c r="B296" s="16">
        <v>0.53100000000000003</v>
      </c>
      <c r="C296" s="8">
        <v>1E-3</v>
      </c>
      <c r="D296" s="8">
        <v>23.300999999999998</v>
      </c>
      <c r="E296" s="8">
        <v>4.4999999999999998E-2</v>
      </c>
      <c r="F296" s="8">
        <v>1.099</v>
      </c>
      <c r="G296" s="8">
        <v>5.1999999999999998E-2</v>
      </c>
      <c r="H296" s="8">
        <v>0.06</v>
      </c>
      <c r="I296" s="8">
        <v>3.2000000000000001E-2</v>
      </c>
      <c r="J296" s="8">
        <v>0.12</v>
      </c>
      <c r="K296" s="38">
        <f t="shared" si="44"/>
        <v>0.249</v>
      </c>
      <c r="L296" s="38">
        <f t="shared" si="45"/>
        <v>42.467753000000002</v>
      </c>
      <c r="M296" s="29">
        <f t="shared" si="46"/>
        <v>3115.6638833367306</v>
      </c>
      <c r="N296" s="29">
        <f t="shared" si="47"/>
        <v>9.8186297894614936E+25</v>
      </c>
      <c r="O296" s="35">
        <f t="shared" si="48"/>
        <v>3182.0012087787522</v>
      </c>
      <c r="P296" s="35">
        <f t="shared" si="49"/>
        <v>42.513501701452</v>
      </c>
      <c r="Q296" s="35">
        <f t="shared" si="50"/>
        <v>-4.5748701451998386E-2</v>
      </c>
      <c r="R296" s="35">
        <f t="shared" si="51"/>
        <v>3.375661174084417E-2</v>
      </c>
      <c r="S296" s="18">
        <v>2902.3410294080063</v>
      </c>
      <c r="T296" s="35">
        <f t="shared" si="52"/>
        <v>42.313742206753098</v>
      </c>
      <c r="U296" s="35">
        <f t="shared" si="53"/>
        <v>0.15401079324690414</v>
      </c>
      <c r="V296" s="35">
        <f t="shared" si="54"/>
        <v>0.38256357859616225</v>
      </c>
    </row>
    <row r="297" spans="1:22" x14ac:dyDescent="0.25">
      <c r="A297" s="34" t="s">
        <v>317</v>
      </c>
      <c r="B297" s="16">
        <v>0.53200000000000003</v>
      </c>
      <c r="C297" s="8">
        <v>1E-3</v>
      </c>
      <c r="D297" s="8">
        <v>23.468</v>
      </c>
      <c r="E297" s="8">
        <v>0.05</v>
      </c>
      <c r="F297" s="8">
        <v>0.94399999999999995</v>
      </c>
      <c r="G297" s="8">
        <v>0.04</v>
      </c>
      <c r="H297" s="8">
        <v>8.8999999999999996E-2</v>
      </c>
      <c r="I297" s="8">
        <v>4.5999999999999999E-2</v>
      </c>
      <c r="J297" s="8">
        <v>0.12</v>
      </c>
      <c r="K297" s="38">
        <f t="shared" si="44"/>
        <v>0.25600000000000001</v>
      </c>
      <c r="L297" s="38">
        <f t="shared" si="45"/>
        <v>42.521197999999998</v>
      </c>
      <c r="M297" s="29">
        <f t="shared" si="46"/>
        <v>3193.2991103801555</v>
      </c>
      <c r="N297" s="29">
        <f t="shared" si="47"/>
        <v>9.8396582523913225E+25</v>
      </c>
      <c r="O297" s="35">
        <f t="shared" si="48"/>
        <v>3188.8160694972294</v>
      </c>
      <c r="P297" s="35">
        <f t="shared" si="49"/>
        <v>42.518147349576196</v>
      </c>
      <c r="Q297" s="35">
        <f t="shared" si="50"/>
        <v>3.0506504238019261E-3</v>
      </c>
      <c r="R297" s="35">
        <f t="shared" si="51"/>
        <v>1.4200543225468249E-4</v>
      </c>
      <c r="S297" s="18">
        <v>2908.9297819061057</v>
      </c>
      <c r="T297" s="35">
        <f t="shared" si="52"/>
        <v>42.318666190115039</v>
      </c>
      <c r="U297" s="35">
        <f t="shared" si="53"/>
        <v>0.20253180988495956</v>
      </c>
      <c r="V297" s="35">
        <f t="shared" si="54"/>
        <v>0.6259023134655366</v>
      </c>
    </row>
    <row r="298" spans="1:22" x14ac:dyDescent="0.25">
      <c r="A298" s="34" t="s">
        <v>318</v>
      </c>
      <c r="B298" s="16">
        <v>0.53400000000000003</v>
      </c>
      <c r="C298" s="8">
        <v>1E-3</v>
      </c>
      <c r="D298" s="8">
        <v>23.006</v>
      </c>
      <c r="E298" s="8">
        <v>4.4999999999999998E-2</v>
      </c>
      <c r="F298" s="8">
        <v>1.113</v>
      </c>
      <c r="G298" s="8">
        <v>3.5999999999999997E-2</v>
      </c>
      <c r="H298" s="8">
        <v>-3.5999999999999997E-2</v>
      </c>
      <c r="I298" s="8">
        <v>3.2000000000000001E-2</v>
      </c>
      <c r="J298" s="8">
        <v>0.12</v>
      </c>
      <c r="K298" s="38">
        <f t="shared" si="44"/>
        <v>0.23299999999999998</v>
      </c>
      <c r="L298" s="38">
        <f t="shared" si="45"/>
        <v>42.475290999999999</v>
      </c>
      <c r="M298" s="29">
        <f t="shared" si="46"/>
        <v>3126.4983225057972</v>
      </c>
      <c r="N298" s="29">
        <f t="shared" si="47"/>
        <v>9.8817377669962359E+25</v>
      </c>
      <c r="O298" s="35">
        <f t="shared" si="48"/>
        <v>3202.4531114479682</v>
      </c>
      <c r="P298" s="35">
        <f t="shared" si="49"/>
        <v>42.527413898815098</v>
      </c>
      <c r="Q298" s="35">
        <f t="shared" si="50"/>
        <v>-5.2122898815099461E-2</v>
      </c>
      <c r="R298" s="35">
        <f t="shared" si="51"/>
        <v>5.004322387388048E-2</v>
      </c>
      <c r="S298" s="18">
        <v>2922.1173279836808</v>
      </c>
      <c r="T298" s="35">
        <f t="shared" si="52"/>
        <v>42.328488248054541</v>
      </c>
      <c r="U298" s="35">
        <f t="shared" si="53"/>
        <v>0.146802751945458</v>
      </c>
      <c r="V298" s="35">
        <f t="shared" si="54"/>
        <v>0.39696896201366161</v>
      </c>
    </row>
    <row r="299" spans="1:22" x14ac:dyDescent="0.25">
      <c r="A299" s="34" t="s">
        <v>319</v>
      </c>
      <c r="B299" s="16">
        <v>0.53600000000000003</v>
      </c>
      <c r="C299" s="8">
        <v>1E-3</v>
      </c>
      <c r="D299" s="8">
        <v>23.303000000000001</v>
      </c>
      <c r="E299" s="8">
        <v>0.04</v>
      </c>
      <c r="F299" s="8">
        <v>1.0589999999999999</v>
      </c>
      <c r="G299" s="8">
        <v>2.1000000000000001E-2</v>
      </c>
      <c r="H299" s="8">
        <v>8.1000000000000003E-2</v>
      </c>
      <c r="I299" s="8">
        <v>2.9000000000000001E-2</v>
      </c>
      <c r="J299" s="8">
        <v>0.12</v>
      </c>
      <c r="K299" s="38">
        <f t="shared" si="44"/>
        <v>0.21</v>
      </c>
      <c r="L299" s="38">
        <f t="shared" si="45"/>
        <v>42.398143000000005</v>
      </c>
      <c r="M299" s="29">
        <f t="shared" si="46"/>
        <v>3017.3702217575596</v>
      </c>
      <c r="N299" s="29">
        <f t="shared" si="47"/>
        <v>9.9238473405465947E+25</v>
      </c>
      <c r="O299" s="35">
        <f t="shared" si="48"/>
        <v>3216.0998948394977</v>
      </c>
      <c r="P299" s="35">
        <f t="shared" si="49"/>
        <v>42.536647649237459</v>
      </c>
      <c r="Q299" s="35">
        <f t="shared" si="50"/>
        <v>-0.1385046492374542</v>
      </c>
      <c r="R299" s="35">
        <f t="shared" si="51"/>
        <v>0.43500085851225001</v>
      </c>
      <c r="S299" s="18">
        <v>2935.3182346612375</v>
      </c>
      <c r="T299" s="35">
        <f t="shared" si="52"/>
        <v>42.338275962441372</v>
      </c>
      <c r="U299" s="35">
        <f t="shared" si="53"/>
        <v>5.9867037558632319E-2</v>
      </c>
      <c r="V299" s="35">
        <f t="shared" si="54"/>
        <v>8.127125138427875E-2</v>
      </c>
    </row>
    <row r="300" spans="1:22" x14ac:dyDescent="0.25">
      <c r="A300" s="34" t="s">
        <v>320</v>
      </c>
      <c r="B300" s="16">
        <v>0.53700000000000003</v>
      </c>
      <c r="C300" s="8">
        <v>1E-3</v>
      </c>
      <c r="D300" s="8">
        <v>22.916</v>
      </c>
      <c r="E300" s="8">
        <v>3.6999999999999998E-2</v>
      </c>
      <c r="F300" s="8">
        <v>1.1000000000000001</v>
      </c>
      <c r="G300" s="8">
        <v>1.7000000000000001E-2</v>
      </c>
      <c r="H300" s="8">
        <v>-0.114</v>
      </c>
      <c r="I300" s="8">
        <v>2.5000000000000001E-2</v>
      </c>
      <c r="J300" s="8">
        <v>0.12</v>
      </c>
      <c r="K300" s="38">
        <f t="shared" si="44"/>
        <v>0.19900000000000001</v>
      </c>
      <c r="L300" s="38">
        <f t="shared" si="45"/>
        <v>42.627520000000004</v>
      </c>
      <c r="M300" s="29">
        <f t="shared" si="46"/>
        <v>3353.543931644434</v>
      </c>
      <c r="N300" s="29">
        <f t="shared" si="47"/>
        <v>9.9449133772108956E+25</v>
      </c>
      <c r="O300" s="35">
        <f t="shared" si="48"/>
        <v>3222.9269323760313</v>
      </c>
      <c r="P300" s="35">
        <f t="shared" si="49"/>
        <v>42.541252298232472</v>
      </c>
      <c r="Q300" s="35">
        <f t="shared" si="50"/>
        <v>8.6267701767532401E-2</v>
      </c>
      <c r="R300" s="35">
        <f t="shared" si="51"/>
        <v>0.18792748587793015</v>
      </c>
      <c r="S300" s="18">
        <v>2941.9236879308828</v>
      </c>
      <c r="T300" s="35">
        <f t="shared" si="52"/>
        <v>42.343157015750279</v>
      </c>
      <c r="U300" s="35">
        <f t="shared" si="53"/>
        <v>0.28436298424972506</v>
      </c>
      <c r="V300" s="35">
        <f t="shared" si="54"/>
        <v>2.0419258809476872</v>
      </c>
    </row>
    <row r="301" spans="1:22" x14ac:dyDescent="0.25">
      <c r="A301" s="34" t="s">
        <v>321</v>
      </c>
      <c r="B301" s="16">
        <v>0.55000000000000004</v>
      </c>
      <c r="C301" s="8">
        <v>1.7999999999999999E-2</v>
      </c>
      <c r="D301" s="8">
        <v>23.347000000000001</v>
      </c>
      <c r="E301" s="8">
        <v>4.2999999999999997E-2</v>
      </c>
      <c r="F301" s="8">
        <v>1.095</v>
      </c>
      <c r="G301" s="8">
        <v>2.9000000000000001E-2</v>
      </c>
      <c r="H301" s="8">
        <v>0.13400000000000001</v>
      </c>
      <c r="I301" s="8">
        <v>3.7999999999999999E-2</v>
      </c>
      <c r="J301" s="8">
        <v>0.12</v>
      </c>
      <c r="K301" s="38">
        <f t="shared" si="44"/>
        <v>0.22999999999999998</v>
      </c>
      <c r="L301" s="38">
        <f t="shared" si="45"/>
        <v>42.281545000000001</v>
      </c>
      <c r="M301" s="29">
        <f t="shared" si="46"/>
        <v>2859.6244390709139</v>
      </c>
      <c r="N301" s="29">
        <f t="shared" si="47"/>
        <v>1.0219450064809467E+26</v>
      </c>
      <c r="O301" s="35">
        <f t="shared" si="48"/>
        <v>3311.8982135552437</v>
      </c>
      <c r="P301" s="35">
        <f t="shared" si="49"/>
        <v>42.600384904497517</v>
      </c>
      <c r="Q301" s="35">
        <f t="shared" si="50"/>
        <v>-0.31883990449751565</v>
      </c>
      <c r="R301" s="35">
        <f t="shared" si="51"/>
        <v>1.9217180472586941</v>
      </c>
      <c r="S301" s="18">
        <v>3028.0959236695635</v>
      </c>
      <c r="T301" s="35">
        <f t="shared" si="52"/>
        <v>42.405848142879492</v>
      </c>
      <c r="U301" s="35">
        <f t="shared" si="53"/>
        <v>-0.12430314287949074</v>
      </c>
      <c r="V301" s="35">
        <f t="shared" si="54"/>
        <v>0.29208452419128716</v>
      </c>
    </row>
    <row r="302" spans="1:22" x14ac:dyDescent="0.25">
      <c r="A302" s="34" t="s">
        <v>322</v>
      </c>
      <c r="B302" s="16">
        <v>0.55200000000000005</v>
      </c>
      <c r="C302" s="8">
        <v>0</v>
      </c>
      <c r="D302" s="8">
        <v>23.503</v>
      </c>
      <c r="E302" s="8">
        <v>3.9E-2</v>
      </c>
      <c r="F302" s="8">
        <v>0.93500000000000005</v>
      </c>
      <c r="G302" s="8">
        <v>1.7000000000000001E-2</v>
      </c>
      <c r="H302" s="8">
        <v>9.6000000000000002E-2</v>
      </c>
      <c r="I302" s="8">
        <v>3.4000000000000002E-2</v>
      </c>
      <c r="J302" s="8">
        <v>0.12</v>
      </c>
      <c r="K302" s="38">
        <f t="shared" si="44"/>
        <v>0.21</v>
      </c>
      <c r="L302" s="38">
        <f t="shared" si="45"/>
        <v>42.532965000000004</v>
      </c>
      <c r="M302" s="29">
        <f t="shared" si="46"/>
        <v>3210.6502605768587</v>
      </c>
      <c r="N302" s="29">
        <f t="shared" si="47"/>
        <v>1.0261797570405338E+26</v>
      </c>
      <c r="O302" s="35">
        <f t="shared" si="48"/>
        <v>3325.6221054713496</v>
      </c>
      <c r="P302" s="35">
        <f t="shared" si="49"/>
        <v>42.609364491355841</v>
      </c>
      <c r="Q302" s="35">
        <f t="shared" si="50"/>
        <v>-7.6399491355836346E-2</v>
      </c>
      <c r="R302" s="35">
        <f t="shared" si="51"/>
        <v>0.13235560724332229</v>
      </c>
      <c r="S302" s="18">
        <v>3041.4025373793984</v>
      </c>
      <c r="T302" s="35">
        <f t="shared" si="52"/>
        <v>42.415369519650625</v>
      </c>
      <c r="U302" s="35">
        <f t="shared" si="53"/>
        <v>0.1175954803493795</v>
      </c>
      <c r="V302" s="35">
        <f t="shared" si="54"/>
        <v>0.31357589565989347</v>
      </c>
    </row>
    <row r="303" spans="1:22" x14ac:dyDescent="0.25">
      <c r="A303" s="34" t="s">
        <v>323</v>
      </c>
      <c r="B303" s="16">
        <v>0.55200000000000005</v>
      </c>
      <c r="C303" s="8">
        <v>1E-3</v>
      </c>
      <c r="D303" s="8">
        <v>23.446999999999999</v>
      </c>
      <c r="E303" s="8">
        <v>4.2999999999999997E-2</v>
      </c>
      <c r="F303" s="8">
        <v>1.05</v>
      </c>
      <c r="G303" s="8">
        <v>4.9000000000000002E-2</v>
      </c>
      <c r="H303" s="8">
        <v>-2E-3</v>
      </c>
      <c r="I303" s="8">
        <v>3.6999999999999998E-2</v>
      </c>
      <c r="J303" s="8">
        <v>0.12</v>
      </c>
      <c r="K303" s="38">
        <f t="shared" si="44"/>
        <v>0.249</v>
      </c>
      <c r="L303" s="38">
        <f t="shared" si="45"/>
        <v>42.800609999999999</v>
      </c>
      <c r="M303" s="29">
        <f t="shared" si="46"/>
        <v>3631.800633075281</v>
      </c>
      <c r="N303" s="29">
        <f t="shared" si="47"/>
        <v>1.0261797570405338E+26</v>
      </c>
      <c r="O303" s="35">
        <f t="shared" si="48"/>
        <v>3325.6221054713496</v>
      </c>
      <c r="P303" s="35">
        <f t="shared" si="49"/>
        <v>42.609364491355841</v>
      </c>
      <c r="Q303" s="35">
        <f t="shared" si="50"/>
        <v>0.19124550864415824</v>
      </c>
      <c r="R303" s="35">
        <f t="shared" si="51"/>
        <v>0.58990733337466816</v>
      </c>
      <c r="S303" s="18">
        <v>3041.4025373793984</v>
      </c>
      <c r="T303" s="35">
        <f t="shared" si="52"/>
        <v>42.415369519650625</v>
      </c>
      <c r="U303" s="35">
        <f t="shared" si="53"/>
        <v>0.38524048034937408</v>
      </c>
      <c r="V303" s="35">
        <f t="shared" si="54"/>
        <v>2.3936747423399054</v>
      </c>
    </row>
    <row r="304" spans="1:22" x14ac:dyDescent="0.25">
      <c r="A304" s="34" t="s">
        <v>324</v>
      </c>
      <c r="B304" s="16">
        <v>0.55200000000000005</v>
      </c>
      <c r="C304" s="8">
        <v>1E-3</v>
      </c>
      <c r="D304" s="8">
        <v>23.231000000000002</v>
      </c>
      <c r="E304" s="8">
        <v>5.0999999999999997E-2</v>
      </c>
      <c r="F304" s="8">
        <v>1.0980000000000001</v>
      </c>
      <c r="G304" s="8">
        <v>2.5999999999999999E-2</v>
      </c>
      <c r="H304" s="8">
        <v>-2.8000000000000001E-2</v>
      </c>
      <c r="I304" s="8">
        <v>0.03</v>
      </c>
      <c r="J304" s="8">
        <v>0.12</v>
      </c>
      <c r="K304" s="38">
        <f t="shared" si="44"/>
        <v>0.22699999999999998</v>
      </c>
      <c r="L304" s="38">
        <f t="shared" si="45"/>
        <v>42.673045999999999</v>
      </c>
      <c r="M304" s="29">
        <f t="shared" si="46"/>
        <v>3424.5948559969233</v>
      </c>
      <c r="N304" s="29">
        <f t="shared" si="47"/>
        <v>1.0261797570405338E+26</v>
      </c>
      <c r="O304" s="35">
        <f t="shared" si="48"/>
        <v>3325.6221054713496</v>
      </c>
      <c r="P304" s="35">
        <f t="shared" si="49"/>
        <v>42.609364491355841</v>
      </c>
      <c r="Q304" s="35">
        <f t="shared" si="50"/>
        <v>6.3681508644158669E-2</v>
      </c>
      <c r="R304" s="35">
        <f t="shared" si="51"/>
        <v>7.8700043532691402E-2</v>
      </c>
      <c r="S304" s="18">
        <v>3041.4025373793984</v>
      </c>
      <c r="T304" s="35">
        <f t="shared" si="52"/>
        <v>42.415369519650625</v>
      </c>
      <c r="U304" s="35">
        <f t="shared" si="53"/>
        <v>0.25767648034937451</v>
      </c>
      <c r="V304" s="35">
        <f t="shared" si="54"/>
        <v>1.2885398227258749</v>
      </c>
    </row>
    <row r="305" spans="1:22" x14ac:dyDescent="0.25">
      <c r="A305" s="34" t="s">
        <v>325</v>
      </c>
      <c r="B305" s="16">
        <v>0.55900000000000005</v>
      </c>
      <c r="C305" s="8">
        <v>1E-3</v>
      </c>
      <c r="D305" s="8">
        <v>23.556000000000001</v>
      </c>
      <c r="E305" s="8">
        <v>4.1000000000000002E-2</v>
      </c>
      <c r="F305" s="8">
        <v>0.95299999999999996</v>
      </c>
      <c r="G305" s="8">
        <v>2.5999999999999999E-2</v>
      </c>
      <c r="H305" s="8">
        <v>2.3E-2</v>
      </c>
      <c r="I305" s="8">
        <v>3.5000000000000003E-2</v>
      </c>
      <c r="J305" s="8">
        <v>0.12</v>
      </c>
      <c r="K305" s="38">
        <f t="shared" si="44"/>
        <v>0.222</v>
      </c>
      <c r="L305" s="38">
        <f t="shared" si="45"/>
        <v>42.817101000000001</v>
      </c>
      <c r="M305" s="29">
        <f t="shared" si="46"/>
        <v>3659.4869266520218</v>
      </c>
      <c r="N305" s="29">
        <f t="shared" si="47"/>
        <v>1.0410245127792108E+26</v>
      </c>
      <c r="O305" s="35">
        <f t="shared" si="48"/>
        <v>3373.7306824493662</v>
      </c>
      <c r="P305" s="35">
        <f t="shared" si="49"/>
        <v>42.640552054285017</v>
      </c>
      <c r="Q305" s="35">
        <f t="shared" si="50"/>
        <v>0.17654894571498403</v>
      </c>
      <c r="R305" s="35">
        <f t="shared" si="51"/>
        <v>0.63244724927100837</v>
      </c>
      <c r="S305" s="18">
        <v>3088.0783816736866</v>
      </c>
      <c r="T305" s="35">
        <f t="shared" si="52"/>
        <v>42.448441575378645</v>
      </c>
      <c r="U305" s="35">
        <f t="shared" si="53"/>
        <v>0.36865942462135592</v>
      </c>
      <c r="V305" s="35">
        <f t="shared" si="54"/>
        <v>2.7576854833647677</v>
      </c>
    </row>
    <row r="306" spans="1:22" x14ac:dyDescent="0.25">
      <c r="A306" s="34" t="s">
        <v>326</v>
      </c>
      <c r="B306" s="16">
        <v>0.56000000000000005</v>
      </c>
      <c r="C306" s="8">
        <v>2E-3</v>
      </c>
      <c r="D306" s="8">
        <v>23.715</v>
      </c>
      <c r="E306" s="8">
        <v>3.9E-2</v>
      </c>
      <c r="F306" s="8">
        <v>1.042</v>
      </c>
      <c r="G306" s="8">
        <v>2.3E-2</v>
      </c>
      <c r="H306" s="8">
        <v>0.14299999999999999</v>
      </c>
      <c r="I306" s="8">
        <v>3.3000000000000002E-2</v>
      </c>
      <c r="J306" s="8">
        <v>0.12</v>
      </c>
      <c r="K306" s="38">
        <f t="shared" si="44"/>
        <v>0.215</v>
      </c>
      <c r="L306" s="38">
        <f t="shared" si="45"/>
        <v>42.613584000000003</v>
      </c>
      <c r="M306" s="29">
        <f t="shared" si="46"/>
        <v>3332.0905890916347</v>
      </c>
      <c r="N306" s="29">
        <f t="shared" si="47"/>
        <v>1.0431481176857931E+26</v>
      </c>
      <c r="O306" s="35">
        <f t="shared" si="48"/>
        <v>3380.612817252907</v>
      </c>
      <c r="P306" s="35">
        <f t="shared" si="49"/>
        <v>42.644977168588682</v>
      </c>
      <c r="Q306" s="35">
        <f t="shared" si="50"/>
        <v>-3.1393168588678577E-2</v>
      </c>
      <c r="R306" s="35">
        <f t="shared" si="51"/>
        <v>2.132030360275166E-2</v>
      </c>
      <c r="S306" s="18">
        <v>3094.7593468883738</v>
      </c>
      <c r="T306" s="35">
        <f t="shared" si="52"/>
        <v>42.453134416406016</v>
      </c>
      <c r="U306" s="35">
        <f t="shared" si="53"/>
        <v>0.1604495835939872</v>
      </c>
      <c r="V306" s="35">
        <f t="shared" si="54"/>
        <v>0.55692955923166876</v>
      </c>
    </row>
    <row r="307" spans="1:22" x14ac:dyDescent="0.25">
      <c r="A307" s="34" t="s">
        <v>327</v>
      </c>
      <c r="B307" s="16">
        <v>0.56000000000000005</v>
      </c>
      <c r="C307" s="8">
        <v>1E-3</v>
      </c>
      <c r="D307" s="8">
        <v>24.154</v>
      </c>
      <c r="E307" s="8">
        <v>4.8000000000000001E-2</v>
      </c>
      <c r="F307" s="8">
        <v>1.075</v>
      </c>
      <c r="G307" s="8">
        <v>3.5999999999999997E-2</v>
      </c>
      <c r="H307" s="8">
        <v>0.16400000000000001</v>
      </c>
      <c r="I307" s="8">
        <v>4.2000000000000003E-2</v>
      </c>
      <c r="J307" s="8">
        <v>0.12</v>
      </c>
      <c r="K307" s="38">
        <f t="shared" si="44"/>
        <v>0.246</v>
      </c>
      <c r="L307" s="38">
        <f t="shared" si="45"/>
        <v>42.991704999999996</v>
      </c>
      <c r="M307" s="29">
        <f t="shared" si="46"/>
        <v>3965.893066300805</v>
      </c>
      <c r="N307" s="29">
        <f t="shared" si="47"/>
        <v>1.0431481176857931E+26</v>
      </c>
      <c r="O307" s="35">
        <f t="shared" si="48"/>
        <v>3380.612817252907</v>
      </c>
      <c r="P307" s="35">
        <f t="shared" si="49"/>
        <v>42.644977168588682</v>
      </c>
      <c r="Q307" s="35">
        <f t="shared" si="50"/>
        <v>0.34672783141131447</v>
      </c>
      <c r="R307" s="35">
        <f t="shared" si="51"/>
        <v>1.9865851853260776</v>
      </c>
      <c r="S307" s="18">
        <v>3094.7593468883738</v>
      </c>
      <c r="T307" s="35">
        <f t="shared" si="52"/>
        <v>42.453134416406016</v>
      </c>
      <c r="U307" s="35">
        <f t="shared" si="53"/>
        <v>0.53857058359398025</v>
      </c>
      <c r="V307" s="35">
        <f t="shared" si="54"/>
        <v>4.7930840358378024</v>
      </c>
    </row>
    <row r="308" spans="1:22" x14ac:dyDescent="0.25">
      <c r="A308" s="34" t="s">
        <v>328</v>
      </c>
      <c r="B308" s="16">
        <v>0.56299999999999994</v>
      </c>
      <c r="C308" s="8">
        <v>1E-3</v>
      </c>
      <c r="D308" s="8">
        <v>23.495999999999999</v>
      </c>
      <c r="E308" s="8">
        <v>4.1000000000000002E-2</v>
      </c>
      <c r="F308" s="8">
        <v>0.98099999999999998</v>
      </c>
      <c r="G308" s="8">
        <v>2.1000000000000001E-2</v>
      </c>
      <c r="H308" s="8">
        <v>-5.0000000000000001E-3</v>
      </c>
      <c r="I308" s="8">
        <v>2.9000000000000001E-2</v>
      </c>
      <c r="J308" s="8">
        <v>0.12</v>
      </c>
      <c r="K308" s="38">
        <f t="shared" si="44"/>
        <v>0.21099999999999999</v>
      </c>
      <c r="L308" s="38">
        <f t="shared" si="45"/>
        <v>42.848856999999995</v>
      </c>
      <c r="M308" s="29">
        <f t="shared" si="46"/>
        <v>3713.3971520576524</v>
      </c>
      <c r="N308" s="29">
        <f t="shared" si="47"/>
        <v>1.0495233018447643E+26</v>
      </c>
      <c r="O308" s="35">
        <f t="shared" si="48"/>
        <v>3401.2733820516801</v>
      </c>
      <c r="P308" s="35">
        <f t="shared" si="49"/>
        <v>42.658207701776064</v>
      </c>
      <c r="Q308" s="35">
        <f t="shared" si="50"/>
        <v>0.1906492982239314</v>
      </c>
      <c r="R308" s="35">
        <f t="shared" si="51"/>
        <v>0.81640472840406841</v>
      </c>
      <c r="S308" s="18">
        <v>3114.8216361082837</v>
      </c>
      <c r="T308" s="35">
        <f t="shared" si="52"/>
        <v>42.467165913608738</v>
      </c>
      <c r="U308" s="35">
        <f t="shared" si="53"/>
        <v>0.38169108639125682</v>
      </c>
      <c r="V308" s="35">
        <f t="shared" si="54"/>
        <v>3.2723453073951143</v>
      </c>
    </row>
    <row r="309" spans="1:22" x14ac:dyDescent="0.25">
      <c r="A309" s="34" t="s">
        <v>329</v>
      </c>
      <c r="B309" s="16">
        <v>0.56599999999999995</v>
      </c>
      <c r="C309" s="8">
        <v>1E-3</v>
      </c>
      <c r="D309" s="8">
        <v>23.317</v>
      </c>
      <c r="E309" s="8">
        <v>0.04</v>
      </c>
      <c r="F309" s="8">
        <v>1.129</v>
      </c>
      <c r="G309" s="8">
        <v>2.5000000000000001E-2</v>
      </c>
      <c r="H309" s="8">
        <v>1.7999999999999999E-2</v>
      </c>
      <c r="I309" s="8">
        <v>3.6999999999999998E-2</v>
      </c>
      <c r="J309" s="8">
        <v>0.12</v>
      </c>
      <c r="K309" s="38">
        <f t="shared" si="44"/>
        <v>0.222</v>
      </c>
      <c r="L309" s="38">
        <f t="shared" si="45"/>
        <v>42.619623000000004</v>
      </c>
      <c r="M309" s="29">
        <f t="shared" si="46"/>
        <v>3341.370238186948</v>
      </c>
      <c r="N309" s="29">
        <f t="shared" si="47"/>
        <v>1.0559050222829491E+26</v>
      </c>
      <c r="O309" s="35">
        <f t="shared" si="48"/>
        <v>3421.9551294887692</v>
      </c>
      <c r="P309" s="35">
        <f t="shared" si="49"/>
        <v>42.671371552701054</v>
      </c>
      <c r="Q309" s="35">
        <f t="shared" si="50"/>
        <v>-5.1748552701049277E-2</v>
      </c>
      <c r="R309" s="35">
        <f t="shared" si="51"/>
        <v>5.4336350674727585E-2</v>
      </c>
      <c r="S309" s="18">
        <v>3134.9129324769142</v>
      </c>
      <c r="T309" s="35">
        <f t="shared" si="52"/>
        <v>42.481127417269207</v>
      </c>
      <c r="U309" s="35">
        <f t="shared" si="53"/>
        <v>0.13849558273079765</v>
      </c>
      <c r="V309" s="35">
        <f t="shared" si="54"/>
        <v>0.38919378370146934</v>
      </c>
    </row>
    <row r="310" spans="1:22" x14ac:dyDescent="0.25">
      <c r="A310" s="34" t="s">
        <v>330</v>
      </c>
      <c r="B310" s="16">
        <v>0.57099999999999995</v>
      </c>
      <c r="C310" s="8">
        <v>1E-3</v>
      </c>
      <c r="D310" s="8">
        <v>23.314</v>
      </c>
      <c r="E310" s="8">
        <v>7.5999999999999998E-2</v>
      </c>
      <c r="F310" s="8">
        <v>1.238</v>
      </c>
      <c r="G310" s="8">
        <v>0.57199999999999995</v>
      </c>
      <c r="H310" s="8">
        <v>3.9E-2</v>
      </c>
      <c r="I310" s="8">
        <v>6.3E-2</v>
      </c>
      <c r="J310" s="8">
        <v>0.12</v>
      </c>
      <c r="K310" s="38">
        <f t="shared" si="44"/>
        <v>0.83099999999999985</v>
      </c>
      <c r="L310" s="38">
        <f t="shared" si="45"/>
        <v>42.566915999999999</v>
      </c>
      <c r="M310" s="29">
        <f t="shared" si="46"/>
        <v>3261.2433008931666</v>
      </c>
      <c r="N310" s="29">
        <f t="shared" si="47"/>
        <v>1.0665556859328197E+26</v>
      </c>
      <c r="O310" s="35">
        <f t="shared" si="48"/>
        <v>3456.47157968079</v>
      </c>
      <c r="P310" s="35">
        <f t="shared" si="49"/>
        <v>42.693164951559424</v>
      </c>
      <c r="Q310" s="35">
        <f t="shared" si="50"/>
        <v>-0.12624895155942539</v>
      </c>
      <c r="R310" s="35">
        <f t="shared" si="51"/>
        <v>2.3080941104195205E-2</v>
      </c>
      <c r="S310" s="18">
        <v>3168.4625973989746</v>
      </c>
      <c r="T310" s="35">
        <f t="shared" si="52"/>
        <v>42.504242923979625</v>
      </c>
      <c r="U310" s="35">
        <f t="shared" si="53"/>
        <v>6.2673076020374197E-2</v>
      </c>
      <c r="V310" s="35">
        <f t="shared" si="54"/>
        <v>5.6880050536529062E-3</v>
      </c>
    </row>
    <row r="311" spans="1:22" x14ac:dyDescent="0.25">
      <c r="A311" s="34" t="s">
        <v>331</v>
      </c>
      <c r="B311" s="16">
        <v>0.57399999999999995</v>
      </c>
      <c r="C311" s="8">
        <v>4.0000000000000001E-3</v>
      </c>
      <c r="D311" s="8">
        <v>23.655999999999999</v>
      </c>
      <c r="E311" s="8">
        <v>4.7E-2</v>
      </c>
      <c r="F311" s="8">
        <v>1.024</v>
      </c>
      <c r="G311" s="8">
        <v>4.2999999999999997E-2</v>
      </c>
      <c r="H311" s="8">
        <v>4.4999999999999998E-2</v>
      </c>
      <c r="I311" s="8">
        <v>3.9E-2</v>
      </c>
      <c r="J311" s="8">
        <v>0.12</v>
      </c>
      <c r="K311" s="38">
        <f t="shared" si="44"/>
        <v>0.249</v>
      </c>
      <c r="L311" s="38">
        <f t="shared" si="45"/>
        <v>42.858677999999998</v>
      </c>
      <c r="M311" s="29">
        <f t="shared" si="46"/>
        <v>3730.2299095080707</v>
      </c>
      <c r="N311" s="29">
        <f t="shared" si="47"/>
        <v>1.0729547247900697E+26</v>
      </c>
      <c r="O311" s="35">
        <f t="shared" si="48"/>
        <v>3477.2094522917387</v>
      </c>
      <c r="P311" s="35">
        <f t="shared" si="49"/>
        <v>42.706154257607878</v>
      </c>
      <c r="Q311" s="35">
        <f t="shared" si="50"/>
        <v>0.15252374239211974</v>
      </c>
      <c r="R311" s="35">
        <f t="shared" si="51"/>
        <v>0.37521156099575337</v>
      </c>
      <c r="S311" s="18">
        <v>3188.6307261861925</v>
      </c>
      <c r="T311" s="35">
        <f t="shared" si="52"/>
        <v>42.518021133584369</v>
      </c>
      <c r="U311" s="35">
        <f t="shared" si="53"/>
        <v>0.3406568664156282</v>
      </c>
      <c r="V311" s="35">
        <f t="shared" si="54"/>
        <v>1.871697240949584</v>
      </c>
    </row>
    <row r="312" spans="1:22" x14ac:dyDescent="0.25">
      <c r="A312" s="34" t="s">
        <v>332</v>
      </c>
      <c r="B312" s="16">
        <v>0.57599999999999996</v>
      </c>
      <c r="C312" s="8">
        <v>2E-3</v>
      </c>
      <c r="D312" s="8">
        <v>23.512</v>
      </c>
      <c r="E312" s="8">
        <v>4.1000000000000002E-2</v>
      </c>
      <c r="F312" s="8">
        <v>0.86099999999999999</v>
      </c>
      <c r="G312" s="8">
        <v>1.7999999999999999E-2</v>
      </c>
      <c r="H312" s="8">
        <v>-3.9E-2</v>
      </c>
      <c r="I312" s="8">
        <v>3.4000000000000002E-2</v>
      </c>
      <c r="J312" s="8">
        <v>0.12</v>
      </c>
      <c r="K312" s="38">
        <f t="shared" si="44"/>
        <v>0.21299999999999999</v>
      </c>
      <c r="L312" s="38">
        <f t="shared" si="45"/>
        <v>42.953637000000001</v>
      </c>
      <c r="M312" s="29">
        <f t="shared" si="46"/>
        <v>3896.9730285921996</v>
      </c>
      <c r="N312" s="29">
        <f t="shared" si="47"/>
        <v>1.077224336996722E+26</v>
      </c>
      <c r="O312" s="35">
        <f t="shared" si="48"/>
        <v>3491.0463231117042</v>
      </c>
      <c r="P312" s="35">
        <f t="shared" si="49"/>
        <v>42.714778057789488</v>
      </c>
      <c r="Q312" s="35">
        <f t="shared" si="50"/>
        <v>0.23885894221051274</v>
      </c>
      <c r="R312" s="35">
        <f t="shared" si="51"/>
        <v>1.2575457751752313</v>
      </c>
      <c r="S312" s="18">
        <v>3202.0920510087217</v>
      </c>
      <c r="T312" s="35">
        <f t="shared" si="52"/>
        <v>42.527169062448763</v>
      </c>
      <c r="U312" s="35">
        <f t="shared" si="53"/>
        <v>0.42646793755123724</v>
      </c>
      <c r="V312" s="35">
        <f t="shared" si="54"/>
        <v>4.0087923859729324</v>
      </c>
    </row>
    <row r="313" spans="1:22" x14ac:dyDescent="0.25">
      <c r="A313" s="34" t="s">
        <v>333</v>
      </c>
      <c r="B313" s="16">
        <v>0.57899999999999996</v>
      </c>
      <c r="C313" s="8">
        <v>0</v>
      </c>
      <c r="D313" s="8">
        <v>23.321999999999999</v>
      </c>
      <c r="E313" s="8">
        <v>3.7999999999999999E-2</v>
      </c>
      <c r="F313" s="8">
        <v>1.161</v>
      </c>
      <c r="G313" s="8">
        <v>2.5000000000000001E-2</v>
      </c>
      <c r="H313" s="8">
        <v>3.5000000000000003E-2</v>
      </c>
      <c r="I313" s="8">
        <v>2.5999999999999999E-2</v>
      </c>
      <c r="J313" s="8">
        <v>0.12</v>
      </c>
      <c r="K313" s="38">
        <f t="shared" si="44"/>
        <v>0.20899999999999999</v>
      </c>
      <c r="L313" s="38">
        <f t="shared" si="45"/>
        <v>42.576116999999996</v>
      </c>
      <c r="M313" s="29">
        <f t="shared" si="46"/>
        <v>3275.0912143251744</v>
      </c>
      <c r="N313" s="29">
        <f t="shared" si="47"/>
        <v>1.0836341180724871E+26</v>
      </c>
      <c r="O313" s="35">
        <f t="shared" si="48"/>
        <v>3511.8190088819556</v>
      </c>
      <c r="P313" s="35">
        <f t="shared" si="49"/>
        <v>42.727660626333588</v>
      </c>
      <c r="Q313" s="35">
        <f t="shared" si="50"/>
        <v>-0.15154362633359142</v>
      </c>
      <c r="R313" s="35">
        <f t="shared" si="51"/>
        <v>0.52575423370195706</v>
      </c>
      <c r="S313" s="18">
        <v>3222.3078188916197</v>
      </c>
      <c r="T313" s="35">
        <f t="shared" si="52"/>
        <v>42.540835125575221</v>
      </c>
      <c r="U313" s="35">
        <f t="shared" si="53"/>
        <v>3.5281874424775594E-2</v>
      </c>
      <c r="V313" s="35">
        <f t="shared" si="54"/>
        <v>2.8497760191516546E-2</v>
      </c>
    </row>
    <row r="314" spans="1:22" x14ac:dyDescent="0.25">
      <c r="A314" s="34" t="s">
        <v>334</v>
      </c>
      <c r="B314" s="16">
        <v>0.57999999999999996</v>
      </c>
      <c r="C314" s="8">
        <v>0.01</v>
      </c>
      <c r="D314" s="8">
        <v>23.521000000000001</v>
      </c>
      <c r="E314" s="8">
        <v>5.8999999999999997E-2</v>
      </c>
      <c r="F314" s="8">
        <v>0.94599999999999995</v>
      </c>
      <c r="G314" s="8">
        <v>5.7000000000000002E-2</v>
      </c>
      <c r="H314" s="8">
        <v>-5.3999999999999999E-2</v>
      </c>
      <c r="I314" s="8">
        <v>0.05</v>
      </c>
      <c r="J314" s="8">
        <v>0.12</v>
      </c>
      <c r="K314" s="38">
        <f t="shared" si="44"/>
        <v>0.28599999999999998</v>
      </c>
      <c r="L314" s="38">
        <f t="shared" si="45"/>
        <v>43.022081999999997</v>
      </c>
      <c r="M314" s="29">
        <f t="shared" si="46"/>
        <v>4021.7623118537799</v>
      </c>
      <c r="N314" s="29">
        <f t="shared" si="47"/>
        <v>1.0857721385095389E+26</v>
      </c>
      <c r="O314" s="35">
        <f t="shared" si="48"/>
        <v>3518.747861238111</v>
      </c>
      <c r="P314" s="35">
        <f t="shared" si="49"/>
        <v>42.731940741115267</v>
      </c>
      <c r="Q314" s="35">
        <f t="shared" si="50"/>
        <v>0.29014125888473075</v>
      </c>
      <c r="R314" s="35">
        <f t="shared" si="51"/>
        <v>1.0291695206026745</v>
      </c>
      <c r="S314" s="18">
        <v>3229.0527341828883</v>
      </c>
      <c r="T314" s="35">
        <f t="shared" si="52"/>
        <v>42.545375688042803</v>
      </c>
      <c r="U314" s="35">
        <f t="shared" si="53"/>
        <v>0.47670631195719437</v>
      </c>
      <c r="V314" s="35">
        <f t="shared" si="54"/>
        <v>2.7782398633164211</v>
      </c>
    </row>
    <row r="315" spans="1:22" x14ac:dyDescent="0.25">
      <c r="A315" s="34" t="s">
        <v>335</v>
      </c>
      <c r="B315" s="16">
        <v>0.57999999999999996</v>
      </c>
      <c r="C315" s="8">
        <v>0.01</v>
      </c>
      <c r="D315" s="8">
        <v>23.335999999999999</v>
      </c>
      <c r="E315" s="8">
        <v>0.04</v>
      </c>
      <c r="F315" s="8">
        <v>1.095</v>
      </c>
      <c r="G315" s="8">
        <v>3.5999999999999997E-2</v>
      </c>
      <c r="H315" s="8">
        <v>0.01</v>
      </c>
      <c r="I315" s="8">
        <v>0.04</v>
      </c>
      <c r="J315" s="8">
        <v>0.12</v>
      </c>
      <c r="K315" s="38">
        <f t="shared" si="44"/>
        <v>0.23599999999999999</v>
      </c>
      <c r="L315" s="38">
        <f t="shared" si="45"/>
        <v>42.658664999999999</v>
      </c>
      <c r="M315" s="29">
        <f t="shared" si="46"/>
        <v>3401.9897439357542</v>
      </c>
      <c r="N315" s="29">
        <f t="shared" si="47"/>
        <v>1.0857721385095389E+26</v>
      </c>
      <c r="O315" s="35">
        <f t="shared" si="48"/>
        <v>3518.747861238111</v>
      </c>
      <c r="P315" s="35">
        <f t="shared" si="49"/>
        <v>42.731940741115267</v>
      </c>
      <c r="Q315" s="35">
        <f t="shared" si="50"/>
        <v>-7.3275741115267579E-2</v>
      </c>
      <c r="R315" s="35">
        <f t="shared" si="51"/>
        <v>9.6404306161873676E-2</v>
      </c>
      <c r="S315" s="18">
        <v>3229.0527341828883</v>
      </c>
      <c r="T315" s="35">
        <f t="shared" si="52"/>
        <v>42.545375688042803</v>
      </c>
      <c r="U315" s="35">
        <f t="shared" si="53"/>
        <v>0.11328931195719605</v>
      </c>
      <c r="V315" s="35">
        <f t="shared" si="54"/>
        <v>0.23043788070480617</v>
      </c>
    </row>
    <row r="316" spans="1:22" x14ac:dyDescent="0.25">
      <c r="A316" s="34" t="s">
        <v>336</v>
      </c>
      <c r="B316" s="16">
        <v>0.57999999999999996</v>
      </c>
      <c r="C316" s="8">
        <v>0.01</v>
      </c>
      <c r="D316" s="8">
        <v>23.303999999999998</v>
      </c>
      <c r="E316" s="8">
        <v>3.9E-2</v>
      </c>
      <c r="F316" s="8">
        <v>1.0780000000000001</v>
      </c>
      <c r="G316" s="8">
        <v>1.7000000000000001E-2</v>
      </c>
      <c r="H316" s="8">
        <v>-2.7E-2</v>
      </c>
      <c r="I316" s="8">
        <v>2.9000000000000001E-2</v>
      </c>
      <c r="J316" s="8">
        <v>0.12</v>
      </c>
      <c r="K316" s="38">
        <f t="shared" si="44"/>
        <v>0.20500000000000002</v>
      </c>
      <c r="L316" s="38">
        <f t="shared" si="45"/>
        <v>42.739975999999999</v>
      </c>
      <c r="M316" s="29">
        <f t="shared" si="46"/>
        <v>3531.7926628887976</v>
      </c>
      <c r="N316" s="29">
        <f t="shared" si="47"/>
        <v>1.0857721385095389E+26</v>
      </c>
      <c r="O316" s="35">
        <f t="shared" si="48"/>
        <v>3518.747861238111</v>
      </c>
      <c r="P316" s="35">
        <f t="shared" si="49"/>
        <v>42.731940741115267</v>
      </c>
      <c r="Q316" s="35">
        <f t="shared" si="50"/>
        <v>8.0352588847318884E-3</v>
      </c>
      <c r="R316" s="35">
        <f t="shared" si="51"/>
        <v>1.5363565816695478E-3</v>
      </c>
      <c r="S316" s="18">
        <v>3229.0527341828883</v>
      </c>
      <c r="T316" s="35">
        <f t="shared" si="52"/>
        <v>42.545375688042803</v>
      </c>
      <c r="U316" s="35">
        <f t="shared" si="53"/>
        <v>0.19460031195719552</v>
      </c>
      <c r="V316" s="35">
        <f t="shared" si="54"/>
        <v>0.90111318057912682</v>
      </c>
    </row>
    <row r="317" spans="1:22" x14ac:dyDescent="0.25">
      <c r="A317" s="34" t="s">
        <v>337</v>
      </c>
      <c r="B317" s="16">
        <v>0.58199999999999996</v>
      </c>
      <c r="C317" s="8">
        <v>5.0000000000000001E-3</v>
      </c>
      <c r="D317" s="8">
        <v>23.584</v>
      </c>
      <c r="E317" s="8">
        <v>4.2000000000000003E-2</v>
      </c>
      <c r="F317" s="8">
        <v>1.0980000000000001</v>
      </c>
      <c r="G317" s="8">
        <v>3.3000000000000002E-2</v>
      </c>
      <c r="H317" s="8">
        <v>1E-3</v>
      </c>
      <c r="I317" s="8">
        <v>0.04</v>
      </c>
      <c r="J317" s="8">
        <v>0.12</v>
      </c>
      <c r="K317" s="38">
        <f t="shared" si="44"/>
        <v>0.23500000000000001</v>
      </c>
      <c r="L317" s="38">
        <f t="shared" si="45"/>
        <v>42.935276000000002</v>
      </c>
      <c r="M317" s="29">
        <f t="shared" si="46"/>
        <v>3864.1608845996634</v>
      </c>
      <c r="N317" s="29">
        <f t="shared" si="47"/>
        <v>1.0900503145281753E+26</v>
      </c>
      <c r="O317" s="35">
        <f t="shared" si="48"/>
        <v>3532.6124854826062</v>
      </c>
      <c r="P317" s="35">
        <f t="shared" si="49"/>
        <v>42.740479997750342</v>
      </c>
      <c r="Q317" s="35">
        <f t="shared" si="50"/>
        <v>0.19479600224966021</v>
      </c>
      <c r="R317" s="35">
        <f t="shared" si="51"/>
        <v>0.68710697134358745</v>
      </c>
      <c r="S317" s="18">
        <v>3242.5520305632735</v>
      </c>
      <c r="T317" s="35">
        <f t="shared" si="52"/>
        <v>42.55443476789042</v>
      </c>
      <c r="U317" s="35">
        <f t="shared" si="53"/>
        <v>0.38084123210958154</v>
      </c>
      <c r="V317" s="35">
        <f t="shared" si="54"/>
        <v>2.6263475613353395</v>
      </c>
    </row>
    <row r="318" spans="1:22" x14ac:dyDescent="0.25">
      <c r="A318" s="34" t="s">
        <v>338</v>
      </c>
      <c r="B318" s="16">
        <v>0.58399999999999996</v>
      </c>
      <c r="C318" s="8">
        <v>1E-3</v>
      </c>
      <c r="D318" s="8">
        <v>23.271999999999998</v>
      </c>
      <c r="E318" s="8">
        <v>4.1000000000000002E-2</v>
      </c>
      <c r="F318" s="8">
        <v>1.028</v>
      </c>
      <c r="G318" s="8">
        <v>2.1000000000000001E-2</v>
      </c>
      <c r="H318" s="8">
        <v>-7.9000000000000001E-2</v>
      </c>
      <c r="I318" s="8">
        <v>3.6999999999999998E-2</v>
      </c>
      <c r="J318" s="8">
        <v>0.12</v>
      </c>
      <c r="K318" s="38">
        <f t="shared" si="44"/>
        <v>0.219</v>
      </c>
      <c r="L318" s="38">
        <f t="shared" si="45"/>
        <v>42.863385999999998</v>
      </c>
      <c r="M318" s="29">
        <f t="shared" si="46"/>
        <v>3738.3262473797135</v>
      </c>
      <c r="N318" s="29">
        <f t="shared" si="47"/>
        <v>1.0943313318975593E+26</v>
      </c>
      <c r="O318" s="35">
        <f t="shared" si="48"/>
        <v>3546.4863179177628</v>
      </c>
      <c r="P318" s="35">
        <f t="shared" si="49"/>
        <v>42.748991443558758</v>
      </c>
      <c r="Q318" s="35">
        <f t="shared" si="50"/>
        <v>0.11439455644124052</v>
      </c>
      <c r="R318" s="35">
        <f t="shared" si="51"/>
        <v>0.27284907619499521</v>
      </c>
      <c r="S318" s="18">
        <v>3256.0639223061885</v>
      </c>
      <c r="T318" s="35">
        <f t="shared" si="52"/>
        <v>42.563464611356622</v>
      </c>
      <c r="U318" s="35">
        <f t="shared" si="53"/>
        <v>0.29992138864337647</v>
      </c>
      <c r="V318" s="35">
        <f t="shared" si="54"/>
        <v>1.8755413641452698</v>
      </c>
    </row>
    <row r="319" spans="1:22" x14ac:dyDescent="0.25">
      <c r="A319" s="34" t="s">
        <v>339</v>
      </c>
      <c r="B319" s="16">
        <v>0.58499999999999996</v>
      </c>
      <c r="C319" s="8">
        <v>1E-3</v>
      </c>
      <c r="D319" s="8">
        <v>23.344999999999999</v>
      </c>
      <c r="E319" s="8">
        <v>4.2999999999999997E-2</v>
      </c>
      <c r="F319" s="8">
        <v>1.034</v>
      </c>
      <c r="G319" s="8">
        <v>1.9E-2</v>
      </c>
      <c r="H319" s="8">
        <v>-5.1999999999999998E-2</v>
      </c>
      <c r="I319" s="8">
        <v>2.9000000000000001E-2</v>
      </c>
      <c r="J319" s="8">
        <v>0.12</v>
      </c>
      <c r="K319" s="38">
        <f t="shared" si="44"/>
        <v>0.21099999999999999</v>
      </c>
      <c r="L319" s="38">
        <f t="shared" si="45"/>
        <v>42.852757999999994</v>
      </c>
      <c r="M319" s="29">
        <f t="shared" si="46"/>
        <v>3720.0741799904995</v>
      </c>
      <c r="N319" s="29">
        <f t="shared" si="47"/>
        <v>1.096472904027841E+26</v>
      </c>
      <c r="O319" s="35">
        <f t="shared" si="48"/>
        <v>3553.4266805277857</v>
      </c>
      <c r="P319" s="35">
        <f t="shared" si="49"/>
        <v>42.753236794374565</v>
      </c>
      <c r="Q319" s="35">
        <f t="shared" si="50"/>
        <v>9.9521205625428877E-2</v>
      </c>
      <c r="R319" s="35">
        <f t="shared" si="51"/>
        <v>0.22246738323799772</v>
      </c>
      <c r="S319" s="18">
        <v>3262.8245818213541</v>
      </c>
      <c r="T319" s="35">
        <f t="shared" si="52"/>
        <v>42.567968627911362</v>
      </c>
      <c r="U319" s="35">
        <f t="shared" si="53"/>
        <v>0.28478937208863186</v>
      </c>
      <c r="V319" s="35">
        <f t="shared" si="54"/>
        <v>1.8217242751653648</v>
      </c>
    </row>
    <row r="320" spans="1:22" x14ac:dyDescent="0.25">
      <c r="A320" s="34" t="s">
        <v>340</v>
      </c>
      <c r="B320" s="16">
        <v>0.58499999999999996</v>
      </c>
      <c r="C320" s="8">
        <v>1E-3</v>
      </c>
      <c r="D320" s="8">
        <v>23.745999999999999</v>
      </c>
      <c r="E320" s="8">
        <v>4.4999999999999998E-2</v>
      </c>
      <c r="F320" s="8">
        <v>1.034</v>
      </c>
      <c r="G320" s="8">
        <v>2.3E-2</v>
      </c>
      <c r="H320" s="8">
        <v>0.02</v>
      </c>
      <c r="I320" s="8">
        <v>3.4000000000000002E-2</v>
      </c>
      <c r="J320" s="8">
        <v>0.12</v>
      </c>
      <c r="K320" s="38">
        <f t="shared" si="44"/>
        <v>0.222</v>
      </c>
      <c r="L320" s="38">
        <f t="shared" si="45"/>
        <v>43.028397999999996</v>
      </c>
      <c r="M320" s="29">
        <f t="shared" si="46"/>
        <v>4033.4771409928926</v>
      </c>
      <c r="N320" s="29">
        <f t="shared" si="47"/>
        <v>1.096472904027841E+26</v>
      </c>
      <c r="O320" s="35">
        <f t="shared" si="48"/>
        <v>3553.4266805277857</v>
      </c>
      <c r="P320" s="35">
        <f t="shared" si="49"/>
        <v>42.753236794374565</v>
      </c>
      <c r="Q320" s="35">
        <f t="shared" si="50"/>
        <v>0.27516120562543023</v>
      </c>
      <c r="R320" s="35">
        <f t="shared" si="51"/>
        <v>1.5362732140500019</v>
      </c>
      <c r="S320" s="18">
        <v>3262.8245818213541</v>
      </c>
      <c r="T320" s="35">
        <f t="shared" si="52"/>
        <v>42.567968627911362</v>
      </c>
      <c r="U320" s="35">
        <f t="shared" si="53"/>
        <v>0.46042937208863322</v>
      </c>
      <c r="V320" s="35">
        <f t="shared" si="54"/>
        <v>4.3015016370816701</v>
      </c>
    </row>
    <row r="321" spans="1:22" x14ac:dyDescent="0.25">
      <c r="A321" s="34" t="s">
        <v>341</v>
      </c>
      <c r="B321" s="16">
        <v>0.58499999999999996</v>
      </c>
      <c r="C321" s="8">
        <v>1E-3</v>
      </c>
      <c r="D321" s="8">
        <v>23.559000000000001</v>
      </c>
      <c r="E321" s="8">
        <v>4.4999999999999998E-2</v>
      </c>
      <c r="F321" s="8">
        <v>0.94</v>
      </c>
      <c r="G321" s="8">
        <v>3.3000000000000002E-2</v>
      </c>
      <c r="H321" s="8">
        <v>-6.4000000000000001E-2</v>
      </c>
      <c r="I321" s="8">
        <v>3.9E-2</v>
      </c>
      <c r="J321" s="8">
        <v>0.12</v>
      </c>
      <c r="K321" s="38">
        <f t="shared" si="44"/>
        <v>0.23699999999999999</v>
      </c>
      <c r="L321" s="38">
        <f t="shared" si="45"/>
        <v>43.090500000000006</v>
      </c>
      <c r="M321" s="29">
        <f t="shared" si="46"/>
        <v>4150.4960033471361</v>
      </c>
      <c r="N321" s="29">
        <f t="shared" si="47"/>
        <v>1.096472904027841E+26</v>
      </c>
      <c r="O321" s="35">
        <f t="shared" si="48"/>
        <v>3553.4266805277857</v>
      </c>
      <c r="P321" s="35">
        <f t="shared" si="49"/>
        <v>42.753236794374565</v>
      </c>
      <c r="Q321" s="35">
        <f t="shared" si="50"/>
        <v>0.33726320562544032</v>
      </c>
      <c r="R321" s="35">
        <f t="shared" si="51"/>
        <v>2.0250755731586469</v>
      </c>
      <c r="S321" s="18">
        <v>3262.8245818213541</v>
      </c>
      <c r="T321" s="35">
        <f t="shared" si="52"/>
        <v>42.567968627911362</v>
      </c>
      <c r="U321" s="35">
        <f t="shared" si="53"/>
        <v>0.52253137208864331</v>
      </c>
      <c r="V321" s="35">
        <f t="shared" si="54"/>
        <v>4.861027164749955</v>
      </c>
    </row>
    <row r="322" spans="1:22" x14ac:dyDescent="0.25">
      <c r="A322" s="34" t="s">
        <v>342</v>
      </c>
      <c r="B322" s="16">
        <v>0.58699999999999997</v>
      </c>
      <c r="C322" s="8">
        <v>1E-3</v>
      </c>
      <c r="D322" s="8">
        <v>24.102</v>
      </c>
      <c r="E322" s="8">
        <v>0.05</v>
      </c>
      <c r="F322" s="8">
        <v>1.1259999999999999</v>
      </c>
      <c r="G322" s="8">
        <v>3.4000000000000002E-2</v>
      </c>
      <c r="H322" s="8">
        <v>0.155</v>
      </c>
      <c r="I322" s="8">
        <v>0.04</v>
      </c>
      <c r="J322" s="8">
        <v>0.12</v>
      </c>
      <c r="K322" s="38">
        <f t="shared" si="44"/>
        <v>0.24399999999999999</v>
      </c>
      <c r="L322" s="38">
        <f t="shared" si="45"/>
        <v>42.975372</v>
      </c>
      <c r="M322" s="29">
        <f t="shared" si="46"/>
        <v>3936.1750121180416</v>
      </c>
      <c r="N322" s="29">
        <f t="shared" si="47"/>
        <v>1.1007581710688541E+26</v>
      </c>
      <c r="O322" s="35">
        <f t="shared" si="48"/>
        <v>3567.3142852107517</v>
      </c>
      <c r="P322" s="35">
        <f t="shared" si="49"/>
        <v>42.761706864774212</v>
      </c>
      <c r="Q322" s="35">
        <f t="shared" si="50"/>
        <v>0.21366513522578856</v>
      </c>
      <c r="R322" s="35">
        <f t="shared" si="51"/>
        <v>0.76680982953262755</v>
      </c>
      <c r="S322" s="18">
        <v>3276.3553089529323</v>
      </c>
      <c r="T322" s="35">
        <f t="shared" si="52"/>
        <v>42.576954966586918</v>
      </c>
      <c r="U322" s="35">
        <f t="shared" si="53"/>
        <v>0.39841703341308232</v>
      </c>
      <c r="V322" s="35">
        <f t="shared" si="54"/>
        <v>2.666220984172285</v>
      </c>
    </row>
    <row r="323" spans="1:22" x14ac:dyDescent="0.25">
      <c r="A323" s="34" t="s">
        <v>343</v>
      </c>
      <c r="B323" s="16">
        <v>0.58899999999999997</v>
      </c>
      <c r="C323" s="8">
        <v>1E-3</v>
      </c>
      <c r="D323" s="8">
        <v>23.626999999999999</v>
      </c>
      <c r="E323" s="8">
        <v>4.3999999999999997E-2</v>
      </c>
      <c r="F323" s="8">
        <v>1.0289999999999999</v>
      </c>
      <c r="G323" s="8">
        <v>0.03</v>
      </c>
      <c r="H323" s="8">
        <v>1.7999999999999999E-2</v>
      </c>
      <c r="I323" s="8">
        <v>4.1000000000000002E-2</v>
      </c>
      <c r="J323" s="8">
        <v>0.12</v>
      </c>
      <c r="K323" s="38">
        <f t="shared" si="44"/>
        <v>0.23499999999999999</v>
      </c>
      <c r="L323" s="38">
        <f t="shared" si="45"/>
        <v>42.914923000000002</v>
      </c>
      <c r="M323" s="29">
        <f t="shared" si="46"/>
        <v>3828.1116866467532</v>
      </c>
      <c r="N323" s="29">
        <f t="shared" si="47"/>
        <v>1.1050462630176474E+26</v>
      </c>
      <c r="O323" s="35">
        <f t="shared" si="48"/>
        <v>3581.2110447963505</v>
      </c>
      <c r="P323" s="35">
        <f t="shared" si="49"/>
        <v>42.770149576142671</v>
      </c>
      <c r="Q323" s="35">
        <f t="shared" si="50"/>
        <v>0.14477342385733039</v>
      </c>
      <c r="R323" s="35">
        <f t="shared" si="51"/>
        <v>0.37952637854910354</v>
      </c>
      <c r="S323" s="18">
        <v>3289.8985547022598</v>
      </c>
      <c r="T323" s="35">
        <f t="shared" si="52"/>
        <v>42.585912532588353</v>
      </c>
      <c r="U323" s="35">
        <f t="shared" si="53"/>
        <v>0.32901046741164919</v>
      </c>
      <c r="V323" s="35">
        <f t="shared" si="54"/>
        <v>1.9601247200802512</v>
      </c>
    </row>
    <row r="324" spans="1:22" x14ac:dyDescent="0.25">
      <c r="A324" s="34" t="s">
        <v>344</v>
      </c>
      <c r="B324" s="16">
        <v>0.59</v>
      </c>
      <c r="C324" s="8">
        <v>0.01</v>
      </c>
      <c r="D324" s="8">
        <v>23.402999999999999</v>
      </c>
      <c r="E324" s="8">
        <v>4.2000000000000003E-2</v>
      </c>
      <c r="F324" s="8">
        <v>1.163</v>
      </c>
      <c r="G324" s="8">
        <v>2.1999999999999999E-2</v>
      </c>
      <c r="H324" s="8">
        <v>4.1000000000000002E-2</v>
      </c>
      <c r="I324" s="8">
        <v>3.1E-2</v>
      </c>
      <c r="J324" s="8">
        <v>0.12</v>
      </c>
      <c r="K324" s="38">
        <f t="shared" si="44"/>
        <v>0.215</v>
      </c>
      <c r="L324" s="38">
        <f t="shared" si="45"/>
        <v>42.638631000000004</v>
      </c>
      <c r="M324" s="29">
        <f t="shared" si="46"/>
        <v>3370.747336334462</v>
      </c>
      <c r="N324" s="29">
        <f t="shared" si="47"/>
        <v>1.107191366287403E+26</v>
      </c>
      <c r="O324" s="35">
        <f t="shared" si="48"/>
        <v>3588.1628510500536</v>
      </c>
      <c r="P324" s="35">
        <f t="shared" si="49"/>
        <v>42.774360727751343</v>
      </c>
      <c r="Q324" s="35">
        <f t="shared" si="50"/>
        <v>-0.13572972775133962</v>
      </c>
      <c r="R324" s="35">
        <f t="shared" si="51"/>
        <v>0.39854102748410547</v>
      </c>
      <c r="S324" s="18">
        <v>3296.6748625102528</v>
      </c>
      <c r="T324" s="35">
        <f t="shared" si="52"/>
        <v>42.590380582878822</v>
      </c>
      <c r="U324" s="35">
        <f t="shared" si="53"/>
        <v>4.8250417121181499E-2</v>
      </c>
      <c r="V324" s="35">
        <f t="shared" si="54"/>
        <v>5.036458090574375E-2</v>
      </c>
    </row>
    <row r="325" spans="1:22" x14ac:dyDescent="0.25">
      <c r="A325" s="34" t="s">
        <v>345</v>
      </c>
      <c r="B325" s="16">
        <v>0.59</v>
      </c>
      <c r="C325" s="8">
        <v>0.01</v>
      </c>
      <c r="D325" s="8">
        <v>23.388000000000002</v>
      </c>
      <c r="E325" s="8">
        <v>4.2999999999999997E-2</v>
      </c>
      <c r="F325" s="8">
        <v>1.01</v>
      </c>
      <c r="G325" s="8">
        <v>2.9000000000000001E-2</v>
      </c>
      <c r="H325" s="8">
        <v>-4.8000000000000001E-2</v>
      </c>
      <c r="I325" s="8">
        <v>3.5000000000000003E-2</v>
      </c>
      <c r="J325" s="8">
        <v>0.12</v>
      </c>
      <c r="K325" s="38">
        <f t="shared" si="44"/>
        <v>0.22699999999999998</v>
      </c>
      <c r="L325" s="38">
        <f t="shared" si="45"/>
        <v>42.879710000000003</v>
      </c>
      <c r="M325" s="29">
        <f t="shared" si="46"/>
        <v>3766.5349357510981</v>
      </c>
      <c r="N325" s="29">
        <f t="shared" si="47"/>
        <v>1.107191366287403E+26</v>
      </c>
      <c r="O325" s="35">
        <f t="shared" si="48"/>
        <v>3588.1628510500536</v>
      </c>
      <c r="P325" s="35">
        <f t="shared" si="49"/>
        <v>42.774360727751343</v>
      </c>
      <c r="Q325" s="35">
        <f t="shared" si="50"/>
        <v>0.10534927224865953</v>
      </c>
      <c r="R325" s="35">
        <f t="shared" si="51"/>
        <v>0.21538297198319756</v>
      </c>
      <c r="S325" s="18">
        <v>3296.6748625102528</v>
      </c>
      <c r="T325" s="35">
        <f t="shared" si="52"/>
        <v>42.590380582878822</v>
      </c>
      <c r="U325" s="35">
        <f t="shared" si="53"/>
        <v>0.28932941712118065</v>
      </c>
      <c r="V325" s="35">
        <f t="shared" si="54"/>
        <v>1.6245514489255015</v>
      </c>
    </row>
    <row r="326" spans="1:22" x14ac:dyDescent="0.25">
      <c r="A326" s="34" t="s">
        <v>346</v>
      </c>
      <c r="B326" s="16">
        <v>0.59199999999999997</v>
      </c>
      <c r="C326" s="8">
        <v>2E-3</v>
      </c>
      <c r="D326" s="8">
        <v>23.413</v>
      </c>
      <c r="E326" s="8">
        <v>4.7E-2</v>
      </c>
      <c r="F326" s="8">
        <v>1.0980000000000001</v>
      </c>
      <c r="G326" s="8">
        <v>5.1999999999999998E-2</v>
      </c>
      <c r="H326" s="8">
        <v>4.5999999999999999E-2</v>
      </c>
      <c r="I326" s="8">
        <v>4.4999999999999998E-2</v>
      </c>
      <c r="J326" s="8">
        <v>0.12</v>
      </c>
      <c r="K326" s="38">
        <f t="shared" si="44"/>
        <v>0.26400000000000001</v>
      </c>
      <c r="L326" s="38">
        <f t="shared" si="45"/>
        <v>42.623426000000002</v>
      </c>
      <c r="M326" s="29">
        <f t="shared" si="46"/>
        <v>3347.227261669907</v>
      </c>
      <c r="N326" s="29">
        <f t="shared" si="47"/>
        <v>1.1114836833385603E+26</v>
      </c>
      <c r="O326" s="35">
        <f t="shared" si="48"/>
        <v>3602.0733032598964</v>
      </c>
      <c r="P326" s="35">
        <f t="shared" si="49"/>
        <v>42.782762732974689</v>
      </c>
      <c r="Q326" s="35">
        <f t="shared" si="50"/>
        <v>-0.15933673297468687</v>
      </c>
      <c r="R326" s="35">
        <f t="shared" si="51"/>
        <v>0.36427046710064653</v>
      </c>
      <c r="S326" s="18">
        <v>3310.2368289443289</v>
      </c>
      <c r="T326" s="35">
        <f t="shared" si="52"/>
        <v>42.599295331150941</v>
      </c>
      <c r="U326" s="35">
        <f t="shared" si="53"/>
        <v>2.413066884906101E-2</v>
      </c>
      <c r="V326" s="35">
        <f t="shared" si="54"/>
        <v>8.3547001133930689E-3</v>
      </c>
    </row>
    <row r="327" spans="1:22" x14ac:dyDescent="0.25">
      <c r="A327" s="34" t="s">
        <v>347</v>
      </c>
      <c r="B327" s="16">
        <v>0.6</v>
      </c>
      <c r="C327" s="8">
        <v>0.01</v>
      </c>
      <c r="D327" s="8">
        <v>23.853999999999999</v>
      </c>
      <c r="E327" s="8">
        <v>5.0999999999999997E-2</v>
      </c>
      <c r="F327" s="8">
        <v>1.02</v>
      </c>
      <c r="G327" s="8">
        <v>4.2999999999999997E-2</v>
      </c>
      <c r="H327" s="8">
        <v>9.6000000000000002E-2</v>
      </c>
      <c r="I327" s="8">
        <v>3.6999999999999998E-2</v>
      </c>
      <c r="J327" s="8">
        <v>0.12</v>
      </c>
      <c r="K327" s="38">
        <f t="shared" ref="K327:K390" si="55">PeakMagnitudeError+StretchError+ColorError+ScatterError</f>
        <v>0.251</v>
      </c>
      <c r="L327" s="38">
        <f t="shared" ref="L327:L390" si="56">PeakMagnitude+α*(Stretch-1)-β*Color-Mb</f>
        <v>42.896459999999998</v>
      </c>
      <c r="M327" s="29">
        <f t="shared" ref="M327:M390" si="57">10^((ObservedDistanceModuli-25)/5)</f>
        <v>3795.7010499840922</v>
      </c>
      <c r="N327" s="29">
        <f t="shared" ref="N327:N390" si="58">(RedShift*Age*(2*InitialTangentVelocity-UniverseAcceleration*Age))/(2+RedShift)*(1+RedShift)</f>
        <v>1.1286809726439688E+26</v>
      </c>
      <c r="O327" s="35">
        <f t="shared" ref="O327:O390" si="59">N327/Mpc</f>
        <v>3657.8059223023843</v>
      </c>
      <c r="P327" s="35">
        <f t="shared" ref="P327:P390" si="60">(LOG10(T2LuminousDistance)*5+25)</f>
        <v>42.816103293688371</v>
      </c>
      <c r="Q327" s="35">
        <f t="shared" ref="Q327:Q390" si="61">ObservedDistanceModuli-T2DistanceModuli</f>
        <v>8.0356706311626169E-2</v>
      </c>
      <c r="R327" s="35">
        <f t="shared" ref="R327:R390" si="62">(ObservedDistanceModuli-T2DistanceModuli)^2/TotalError^2</f>
        <v>0.10249361516885352</v>
      </c>
      <c r="S327" s="18">
        <v>3364.6088161095827</v>
      </c>
      <c r="T327" s="35">
        <f t="shared" ref="T327:T390" si="63">(LOG10(ΛCDMLuminousDistance)*5+25)</f>
        <v>42.634672892754438</v>
      </c>
      <c r="U327" s="35">
        <f t="shared" ref="U327:U390" si="64">ObservedDistanceModuli-ΛCDMDistanceModuli</f>
        <v>0.26178710724555998</v>
      </c>
      <c r="V327" s="35">
        <f t="shared" ref="V327:V390" si="65">(ObservedDistanceModuli-ΛCDMDistanceModuli)^2/TotalError^2</f>
        <v>1.0878000273011272</v>
      </c>
    </row>
    <row r="328" spans="1:22" x14ac:dyDescent="0.25">
      <c r="A328" s="34" t="s">
        <v>348</v>
      </c>
      <c r="B328" s="16">
        <v>0.60499999999999998</v>
      </c>
      <c r="C328" s="8">
        <v>1E-3</v>
      </c>
      <c r="D328" s="8">
        <v>23.832000000000001</v>
      </c>
      <c r="E328" s="8">
        <v>4.7E-2</v>
      </c>
      <c r="F328" s="8">
        <v>0.83899999999999997</v>
      </c>
      <c r="G328" s="8">
        <v>2.3E-2</v>
      </c>
      <c r="H328" s="8">
        <v>-5.3999999999999999E-2</v>
      </c>
      <c r="I328" s="8">
        <v>3.5000000000000003E-2</v>
      </c>
      <c r="J328" s="8">
        <v>0.12</v>
      </c>
      <c r="K328" s="38">
        <f t="shared" si="55"/>
        <v>0.22500000000000001</v>
      </c>
      <c r="L328" s="38">
        <f t="shared" si="56"/>
        <v>43.317352999999997</v>
      </c>
      <c r="M328" s="29">
        <f t="shared" si="57"/>
        <v>4607.5557632419032</v>
      </c>
      <c r="N328" s="29">
        <f t="shared" si="58"/>
        <v>1.1394519145074319E+26</v>
      </c>
      <c r="O328" s="35">
        <f t="shared" si="59"/>
        <v>3692.7121676381757</v>
      </c>
      <c r="P328" s="35">
        <f t="shared" si="60"/>
        <v>42.836727287133698</v>
      </c>
      <c r="Q328" s="35">
        <f t="shared" si="61"/>
        <v>0.48062571286629918</v>
      </c>
      <c r="R328" s="35">
        <f t="shared" si="62"/>
        <v>4.5629842146812489</v>
      </c>
      <c r="S328" s="18">
        <v>3398.6915441149126</v>
      </c>
      <c r="T328" s="35">
        <f t="shared" si="63"/>
        <v>42.656558755001839</v>
      </c>
      <c r="U328" s="35">
        <f t="shared" si="64"/>
        <v>0.66079424499815786</v>
      </c>
      <c r="V328" s="35">
        <f t="shared" si="65"/>
        <v>8.6251661081024285</v>
      </c>
    </row>
    <row r="329" spans="1:22" x14ac:dyDescent="0.25">
      <c r="A329" s="34" t="s">
        <v>349</v>
      </c>
      <c r="B329" s="16">
        <v>0.60799999999999998</v>
      </c>
      <c r="C329" s="8">
        <v>1E-3</v>
      </c>
      <c r="D329" s="8">
        <v>23.952999999999999</v>
      </c>
      <c r="E329" s="8">
        <v>4.3999999999999997E-2</v>
      </c>
      <c r="F329" s="8">
        <v>1.044</v>
      </c>
      <c r="G329" s="8">
        <v>4.2999999999999997E-2</v>
      </c>
      <c r="H329" s="8">
        <v>7.2999999999999995E-2</v>
      </c>
      <c r="I329" s="8">
        <v>3.6999999999999998E-2</v>
      </c>
      <c r="J329" s="8">
        <v>0.12</v>
      </c>
      <c r="K329" s="38">
        <f t="shared" si="55"/>
        <v>0.24399999999999999</v>
      </c>
      <c r="L329" s="38">
        <f t="shared" si="56"/>
        <v>43.070977999999997</v>
      </c>
      <c r="M329" s="29">
        <f t="shared" si="57"/>
        <v>4113.3493874307205</v>
      </c>
      <c r="N329" s="29">
        <f t="shared" si="58"/>
        <v>1.1459227862751558E+26</v>
      </c>
      <c r="O329" s="35">
        <f t="shared" si="59"/>
        <v>3713.682834857801</v>
      </c>
      <c r="P329" s="35">
        <f t="shared" si="60"/>
        <v>42.849024051471048</v>
      </c>
      <c r="Q329" s="35">
        <f t="shared" si="61"/>
        <v>0.22195394852894879</v>
      </c>
      <c r="R329" s="35">
        <f t="shared" si="62"/>
        <v>0.82745826504285225</v>
      </c>
      <c r="S329" s="18">
        <v>3419.177951427147</v>
      </c>
      <c r="T329" s="35">
        <f t="shared" si="63"/>
        <v>42.66960852140285</v>
      </c>
      <c r="U329" s="35">
        <f t="shared" si="64"/>
        <v>0.40136947859714667</v>
      </c>
      <c r="V329" s="35">
        <f t="shared" si="65"/>
        <v>2.7058831354028721</v>
      </c>
    </row>
    <row r="330" spans="1:22" x14ac:dyDescent="0.25">
      <c r="A330" s="34" t="s">
        <v>350</v>
      </c>
      <c r="B330" s="16">
        <v>0.61</v>
      </c>
      <c r="C330" s="8">
        <v>0.02</v>
      </c>
      <c r="D330" s="8">
        <v>23.268000000000001</v>
      </c>
      <c r="E330" s="8">
        <v>5.6000000000000001E-2</v>
      </c>
      <c r="F330" s="8">
        <v>1.127</v>
      </c>
      <c r="G330" s="8">
        <v>2.3E-2</v>
      </c>
      <c r="H330" s="8">
        <v>-0.06</v>
      </c>
      <c r="I330" s="8">
        <v>3.2000000000000001E-2</v>
      </c>
      <c r="J330" s="8">
        <v>0.12</v>
      </c>
      <c r="K330" s="38">
        <f t="shared" si="55"/>
        <v>0.23099999999999998</v>
      </c>
      <c r="L330" s="38">
        <f t="shared" si="56"/>
        <v>42.814469000000003</v>
      </c>
      <c r="M330" s="29">
        <f t="shared" si="57"/>
        <v>3655.0540198994481</v>
      </c>
      <c r="N330" s="29">
        <f t="shared" si="58"/>
        <v>1.1502401486300563E+26</v>
      </c>
      <c r="O330" s="35">
        <f t="shared" si="59"/>
        <v>3727.6744533693518</v>
      </c>
      <c r="P330" s="35">
        <f t="shared" si="60"/>
        <v>42.857189886866301</v>
      </c>
      <c r="Q330" s="35">
        <f t="shared" si="61"/>
        <v>-4.2720886866298713E-2</v>
      </c>
      <c r="R330" s="35">
        <f t="shared" si="62"/>
        <v>3.4202398280450033E-2</v>
      </c>
      <c r="S330" s="18">
        <v>3432.8508153278067</v>
      </c>
      <c r="T330" s="35">
        <f t="shared" si="63"/>
        <v>42.678274651431522</v>
      </c>
      <c r="U330" s="35">
        <f t="shared" si="64"/>
        <v>0.13619434856848045</v>
      </c>
      <c r="V330" s="35">
        <f t="shared" si="65"/>
        <v>0.3476115624143617</v>
      </c>
    </row>
    <row r="331" spans="1:22" x14ac:dyDescent="0.25">
      <c r="A331" s="34" t="s">
        <v>351</v>
      </c>
      <c r="B331" s="16">
        <v>0.61</v>
      </c>
      <c r="C331" s="8">
        <v>0.02</v>
      </c>
      <c r="D331" s="8">
        <v>23.577000000000002</v>
      </c>
      <c r="E331" s="8">
        <v>4.2000000000000003E-2</v>
      </c>
      <c r="F331" s="8">
        <v>0.90600000000000003</v>
      </c>
      <c r="G331" s="8">
        <v>1.9E-2</v>
      </c>
      <c r="H331" s="8">
        <v>-9.7000000000000003E-2</v>
      </c>
      <c r="I331" s="8">
        <v>3.2000000000000001E-2</v>
      </c>
      <c r="J331" s="8">
        <v>0.12</v>
      </c>
      <c r="K331" s="38">
        <f t="shared" si="55"/>
        <v>0.21299999999999999</v>
      </c>
      <c r="L331" s="38">
        <f t="shared" si="56"/>
        <v>43.206792</v>
      </c>
      <c r="M331" s="29">
        <f t="shared" si="57"/>
        <v>4378.8331776725863</v>
      </c>
      <c r="N331" s="29">
        <f t="shared" si="58"/>
        <v>1.1502401486300563E+26</v>
      </c>
      <c r="O331" s="35">
        <f t="shared" si="59"/>
        <v>3727.6744533693518</v>
      </c>
      <c r="P331" s="35">
        <f t="shared" si="60"/>
        <v>42.857189886866301</v>
      </c>
      <c r="Q331" s="35">
        <f t="shared" si="61"/>
        <v>0.34960211313369882</v>
      </c>
      <c r="R331" s="35">
        <f t="shared" si="62"/>
        <v>2.6939460315975126</v>
      </c>
      <c r="S331" s="18">
        <v>3432.8508153278067</v>
      </c>
      <c r="T331" s="35">
        <f t="shared" si="63"/>
        <v>42.678274651431522</v>
      </c>
      <c r="U331" s="35">
        <f t="shared" si="64"/>
        <v>0.52851734856847798</v>
      </c>
      <c r="V331" s="35">
        <f t="shared" si="65"/>
        <v>6.1568601410181856</v>
      </c>
    </row>
    <row r="332" spans="1:22" x14ac:dyDescent="0.25">
      <c r="A332" s="34" t="s">
        <v>352</v>
      </c>
      <c r="B332" s="16">
        <v>0.61199999999999999</v>
      </c>
      <c r="C332" s="8">
        <v>2E-3</v>
      </c>
      <c r="D332" s="8">
        <v>23.3</v>
      </c>
      <c r="E332" s="8">
        <v>4.7E-2</v>
      </c>
      <c r="F332" s="8">
        <v>1.048</v>
      </c>
      <c r="G332" s="8">
        <v>6.6000000000000003E-2</v>
      </c>
      <c r="H332" s="8">
        <v>-5.3999999999999999E-2</v>
      </c>
      <c r="I332" s="8">
        <v>0.04</v>
      </c>
      <c r="J332" s="8">
        <v>0.12</v>
      </c>
      <c r="K332" s="38">
        <f t="shared" si="55"/>
        <v>0.27300000000000002</v>
      </c>
      <c r="L332" s="38">
        <f t="shared" si="56"/>
        <v>42.816075999999995</v>
      </c>
      <c r="M332" s="29">
        <f t="shared" si="57"/>
        <v>3657.7599468678718</v>
      </c>
      <c r="N332" s="29">
        <f t="shared" si="58"/>
        <v>1.1545602618674176E+26</v>
      </c>
      <c r="O332" s="35">
        <f t="shared" si="59"/>
        <v>3741.6749868838133</v>
      </c>
      <c r="P332" s="35">
        <f t="shared" si="60"/>
        <v>42.865330303402601</v>
      </c>
      <c r="Q332" s="35">
        <f t="shared" si="61"/>
        <v>-4.9254303402605615E-2</v>
      </c>
      <c r="R332" s="35">
        <f t="shared" si="62"/>
        <v>3.2550905066161179E-2</v>
      </c>
      <c r="S332" s="18">
        <v>3446.535851869337</v>
      </c>
      <c r="T332" s="35">
        <f t="shared" si="63"/>
        <v>42.686914002556705</v>
      </c>
      <c r="U332" s="35">
        <f t="shared" si="64"/>
        <v>0.12916199744329049</v>
      </c>
      <c r="V332" s="35">
        <f t="shared" si="65"/>
        <v>0.22384335739833588</v>
      </c>
    </row>
    <row r="333" spans="1:22" x14ac:dyDescent="0.25">
      <c r="A333" s="34" t="s">
        <v>353</v>
      </c>
      <c r="B333" s="16">
        <v>0.61299999999999999</v>
      </c>
      <c r="C333" s="8">
        <v>2E-3</v>
      </c>
      <c r="D333" s="8">
        <v>24.045999999999999</v>
      </c>
      <c r="E333" s="8">
        <v>5.3999999999999999E-2</v>
      </c>
      <c r="F333" s="8">
        <v>0.98699999999999999</v>
      </c>
      <c r="G333" s="8">
        <v>5.6000000000000001E-2</v>
      </c>
      <c r="H333" s="8">
        <v>2.5000000000000001E-2</v>
      </c>
      <c r="I333" s="8">
        <v>0.04</v>
      </c>
      <c r="J333" s="8">
        <v>0.12</v>
      </c>
      <c r="K333" s="38">
        <f t="shared" si="55"/>
        <v>0.27</v>
      </c>
      <c r="L333" s="38">
        <f t="shared" si="56"/>
        <v>43.305838999999999</v>
      </c>
      <c r="M333" s="29">
        <f t="shared" si="57"/>
        <v>4583.1893492763138</v>
      </c>
      <c r="N333" s="29">
        <f t="shared" si="58"/>
        <v>1.156721348093081E+26</v>
      </c>
      <c r="O333" s="35">
        <f t="shared" si="59"/>
        <v>3748.678590370032</v>
      </c>
      <c r="P333" s="35">
        <f t="shared" si="60"/>
        <v>42.869391029244873</v>
      </c>
      <c r="Q333" s="35">
        <f t="shared" si="61"/>
        <v>0.43644797075512543</v>
      </c>
      <c r="R333" s="35">
        <f t="shared" si="62"/>
        <v>2.6129880819789686</v>
      </c>
      <c r="S333" s="18">
        <v>3453.3829256449071</v>
      </c>
      <c r="T333" s="35">
        <f t="shared" si="63"/>
        <v>42.691223687105023</v>
      </c>
      <c r="U333" s="35">
        <f t="shared" si="64"/>
        <v>0.61461531289497628</v>
      </c>
      <c r="V333" s="35">
        <f t="shared" si="65"/>
        <v>5.181783029423725</v>
      </c>
    </row>
    <row r="334" spans="1:22" x14ac:dyDescent="0.25">
      <c r="A334" s="34" t="s">
        <v>354</v>
      </c>
      <c r="B334" s="16">
        <v>0.61699999999999999</v>
      </c>
      <c r="C334" s="8">
        <v>1E-3</v>
      </c>
      <c r="D334" s="8">
        <v>24.074000000000002</v>
      </c>
      <c r="E334" s="8">
        <v>4.5999999999999999E-2</v>
      </c>
      <c r="F334" s="8">
        <v>1.0069999999999999</v>
      </c>
      <c r="G334" s="8">
        <v>0.03</v>
      </c>
      <c r="H334" s="8">
        <v>0.111</v>
      </c>
      <c r="I334" s="8">
        <v>3.5000000000000003E-2</v>
      </c>
      <c r="J334" s="8">
        <v>0.12</v>
      </c>
      <c r="K334" s="38">
        <f t="shared" si="55"/>
        <v>0.23099999999999998</v>
      </c>
      <c r="L334" s="38">
        <f t="shared" si="56"/>
        <v>43.067599000000001</v>
      </c>
      <c r="M334" s="29">
        <f t="shared" si="57"/>
        <v>4106.9536353623489</v>
      </c>
      <c r="N334" s="29">
        <f t="shared" si="58"/>
        <v>1.1653725386822104E+26</v>
      </c>
      <c r="O334" s="35">
        <f t="shared" si="59"/>
        <v>3776.7151896738687</v>
      </c>
      <c r="P334" s="35">
        <f t="shared" si="60"/>
        <v>42.885571174843427</v>
      </c>
      <c r="Q334" s="35">
        <f t="shared" si="61"/>
        <v>0.1820278251565739</v>
      </c>
      <c r="R334" s="35">
        <f t="shared" si="62"/>
        <v>0.62094280712940619</v>
      </c>
      <c r="S334" s="18">
        <v>3480.8015048630582</v>
      </c>
      <c r="T334" s="35">
        <f t="shared" si="63"/>
        <v>42.708396290221252</v>
      </c>
      <c r="U334" s="35">
        <f t="shared" si="64"/>
        <v>0.35920270977874935</v>
      </c>
      <c r="V334" s="35">
        <f t="shared" si="65"/>
        <v>2.4179941663836222</v>
      </c>
    </row>
    <row r="335" spans="1:22" x14ac:dyDescent="0.25">
      <c r="A335" s="34" t="s">
        <v>355</v>
      </c>
      <c r="B335" s="16">
        <v>0.62</v>
      </c>
      <c r="C335" s="8">
        <v>1.9E-2</v>
      </c>
      <c r="D335" s="8">
        <v>23.597000000000001</v>
      </c>
      <c r="E335" s="8">
        <v>4.5999999999999999E-2</v>
      </c>
      <c r="F335" s="8">
        <v>0.99099999999999999</v>
      </c>
      <c r="G335" s="8">
        <v>8.3000000000000004E-2</v>
      </c>
      <c r="H335" s="8">
        <v>-1.9E-2</v>
      </c>
      <c r="I335" s="8">
        <v>4.5999999999999999E-2</v>
      </c>
      <c r="J335" s="8">
        <v>0.12</v>
      </c>
      <c r="K335" s="38">
        <f t="shared" si="55"/>
        <v>0.29499999999999998</v>
      </c>
      <c r="L335" s="38">
        <f t="shared" si="56"/>
        <v>42.995147000000003</v>
      </c>
      <c r="M335" s="29">
        <f t="shared" si="57"/>
        <v>3972.1843865939791</v>
      </c>
      <c r="N335" s="29">
        <f t="shared" si="58"/>
        <v>1.1718680976468536E+26</v>
      </c>
      <c r="O335" s="35">
        <f t="shared" si="59"/>
        <v>3797.7658626500238</v>
      </c>
      <c r="P335" s="35">
        <f t="shared" si="60"/>
        <v>42.89764093195032</v>
      </c>
      <c r="Q335" s="35">
        <f t="shared" si="61"/>
        <v>9.7506068049682426E-2</v>
      </c>
      <c r="R335" s="35">
        <f t="shared" si="62"/>
        <v>0.10924944908370354</v>
      </c>
      <c r="S335" s="18">
        <v>3501.3971348740615</v>
      </c>
      <c r="T335" s="35">
        <f t="shared" si="63"/>
        <v>42.721206860170319</v>
      </c>
      <c r="U335" s="35">
        <f t="shared" si="64"/>
        <v>0.27394013982968346</v>
      </c>
      <c r="V335" s="35">
        <f t="shared" si="65"/>
        <v>0.86231772720375222</v>
      </c>
    </row>
    <row r="336" spans="1:22" x14ac:dyDescent="0.25">
      <c r="A336" s="34" t="s">
        <v>356</v>
      </c>
      <c r="B336" s="16">
        <v>0.62</v>
      </c>
      <c r="C336" s="8">
        <v>0.01</v>
      </c>
      <c r="D336" s="8">
        <v>23.757000000000001</v>
      </c>
      <c r="E336" s="8">
        <v>0.05</v>
      </c>
      <c r="F336" s="8">
        <v>0.93600000000000005</v>
      </c>
      <c r="G336" s="8">
        <v>2.5000000000000001E-2</v>
      </c>
      <c r="H336" s="8">
        <v>1.9E-2</v>
      </c>
      <c r="I336" s="8">
        <v>0.05</v>
      </c>
      <c r="J336" s="8">
        <v>0.12</v>
      </c>
      <c r="K336" s="38">
        <f t="shared" si="55"/>
        <v>0.245</v>
      </c>
      <c r="L336" s="38">
        <f t="shared" si="56"/>
        <v>43.028121999999996</v>
      </c>
      <c r="M336" s="29">
        <f t="shared" si="57"/>
        <v>4032.9645077486703</v>
      </c>
      <c r="N336" s="29">
        <f t="shared" si="58"/>
        <v>1.1718680976468536E+26</v>
      </c>
      <c r="O336" s="35">
        <f t="shared" si="59"/>
        <v>3797.7658626500238</v>
      </c>
      <c r="P336" s="35">
        <f t="shared" si="60"/>
        <v>42.89764093195032</v>
      </c>
      <c r="Q336" s="35">
        <f t="shared" si="61"/>
        <v>0.13048106804967574</v>
      </c>
      <c r="R336" s="35">
        <f t="shared" si="62"/>
        <v>0.28363696991893567</v>
      </c>
      <c r="S336" s="18">
        <v>3501.3971348740615</v>
      </c>
      <c r="T336" s="35">
        <f t="shared" si="63"/>
        <v>42.721206860170319</v>
      </c>
      <c r="U336" s="35">
        <f t="shared" si="64"/>
        <v>0.30691513982967678</v>
      </c>
      <c r="V336" s="35">
        <f t="shared" si="65"/>
        <v>1.5692945115646821</v>
      </c>
    </row>
    <row r="337" spans="1:22" x14ac:dyDescent="0.25">
      <c r="A337" s="34" t="s">
        <v>357</v>
      </c>
      <c r="B337" s="16">
        <v>0.627</v>
      </c>
      <c r="C337" s="8">
        <v>0</v>
      </c>
      <c r="D337" s="8">
        <v>23.39</v>
      </c>
      <c r="E337" s="8">
        <v>4.2999999999999997E-2</v>
      </c>
      <c r="F337" s="8">
        <v>1.1299999999999999</v>
      </c>
      <c r="G337" s="8">
        <v>2.1999999999999999E-2</v>
      </c>
      <c r="H337" s="8">
        <v>-4.4999999999999998E-2</v>
      </c>
      <c r="I337" s="8">
        <v>0.04</v>
      </c>
      <c r="J337" s="8">
        <v>0.12</v>
      </c>
      <c r="K337" s="38">
        <f t="shared" si="55"/>
        <v>0.22500000000000001</v>
      </c>
      <c r="L337" s="38">
        <f t="shared" si="56"/>
        <v>42.889960000000002</v>
      </c>
      <c r="M337" s="29">
        <f t="shared" si="57"/>
        <v>3784.3561361126726</v>
      </c>
      <c r="N337" s="29">
        <f t="shared" si="58"/>
        <v>1.1870481613413711E+26</v>
      </c>
      <c r="O337" s="35">
        <f t="shared" si="59"/>
        <v>3846.9610987074393</v>
      </c>
      <c r="P337" s="35">
        <f t="shared" si="60"/>
        <v>42.925588973252147</v>
      </c>
      <c r="Q337" s="35">
        <f t="shared" si="61"/>
        <v>-3.5628973252144647E-2</v>
      </c>
      <c r="R337" s="35">
        <f t="shared" si="62"/>
        <v>2.5075036740781008E-2</v>
      </c>
      <c r="S337" s="18">
        <v>3549.5586609370084</v>
      </c>
      <c r="T337" s="35">
        <f t="shared" si="63"/>
        <v>42.750871789169764</v>
      </c>
      <c r="U337" s="35">
        <f t="shared" si="64"/>
        <v>0.13908821083023781</v>
      </c>
      <c r="V337" s="35">
        <f t="shared" si="65"/>
        <v>0.38213393366828013</v>
      </c>
    </row>
    <row r="338" spans="1:22" x14ac:dyDescent="0.25">
      <c r="A338" s="34" t="s">
        <v>358</v>
      </c>
      <c r="B338" s="16">
        <v>0.629</v>
      </c>
      <c r="C338" s="8">
        <v>2E-3</v>
      </c>
      <c r="D338" s="8">
        <v>23.501000000000001</v>
      </c>
      <c r="E338" s="8">
        <v>4.4999999999999998E-2</v>
      </c>
      <c r="F338" s="8">
        <v>1.115</v>
      </c>
      <c r="G338" s="8">
        <v>2.4E-2</v>
      </c>
      <c r="H338" s="8">
        <v>0.01</v>
      </c>
      <c r="I338" s="8">
        <v>4.1000000000000002E-2</v>
      </c>
      <c r="J338" s="8">
        <v>0.12</v>
      </c>
      <c r="K338" s="38">
        <f t="shared" si="55"/>
        <v>0.23</v>
      </c>
      <c r="L338" s="38">
        <f t="shared" si="56"/>
        <v>42.826605000000001</v>
      </c>
      <c r="M338" s="29">
        <f t="shared" si="57"/>
        <v>3675.5387014709868</v>
      </c>
      <c r="N338" s="29">
        <f t="shared" si="58"/>
        <v>1.191391404081206E+26</v>
      </c>
      <c r="O338" s="35">
        <f t="shared" si="59"/>
        <v>3861.0365898345285</v>
      </c>
      <c r="P338" s="35">
        <f t="shared" si="60"/>
        <v>42.933519586581696</v>
      </c>
      <c r="Q338" s="35">
        <f t="shared" si="61"/>
        <v>-0.10691458658169495</v>
      </c>
      <c r="R338" s="35">
        <f t="shared" si="62"/>
        <v>0.21608183032012751</v>
      </c>
      <c r="S338" s="18">
        <v>3563.3459807777394</v>
      </c>
      <c r="T338" s="35">
        <f t="shared" si="63"/>
        <v>42.759289959703153</v>
      </c>
      <c r="U338" s="35">
        <f t="shared" si="64"/>
        <v>6.7315040296847428E-2</v>
      </c>
      <c r="V338" s="35">
        <f t="shared" si="65"/>
        <v>8.5658121931307993E-2</v>
      </c>
    </row>
    <row r="339" spans="1:22" x14ac:dyDescent="0.25">
      <c r="A339" s="34" t="s">
        <v>359</v>
      </c>
      <c r="B339" s="16">
        <v>0.63</v>
      </c>
      <c r="C339" s="8">
        <v>1E-3</v>
      </c>
      <c r="D339" s="8">
        <v>23.611999999999998</v>
      </c>
      <c r="E339" s="8">
        <v>5.8000000000000003E-2</v>
      </c>
      <c r="F339" s="8">
        <v>0.90100000000000002</v>
      </c>
      <c r="G339" s="8">
        <v>3.1E-2</v>
      </c>
      <c r="H339" s="8">
        <v>4.4999999999999998E-2</v>
      </c>
      <c r="I339" s="8">
        <v>5.3999999999999999E-2</v>
      </c>
      <c r="J339" s="8">
        <v>0.12</v>
      </c>
      <c r="K339" s="38">
        <f t="shared" si="55"/>
        <v>0.26300000000000001</v>
      </c>
      <c r="L339" s="38">
        <f t="shared" si="56"/>
        <v>42.796596999999998</v>
      </c>
      <c r="M339" s="29">
        <f t="shared" si="57"/>
        <v>3625.0950645360404</v>
      </c>
      <c r="N339" s="29">
        <f t="shared" si="58"/>
        <v>1.1935640352111211E+26</v>
      </c>
      <c r="O339" s="35">
        <f t="shared" si="59"/>
        <v>3868.0776078073627</v>
      </c>
      <c r="P339" s="35">
        <f t="shared" si="60"/>
        <v>42.937475895183525</v>
      </c>
      <c r="Q339" s="35">
        <f t="shared" si="61"/>
        <v>-0.14087889518352625</v>
      </c>
      <c r="R339" s="35">
        <f t="shared" si="62"/>
        <v>0.286932919488947</v>
      </c>
      <c r="S339" s="18">
        <v>3570.2441032843344</v>
      </c>
      <c r="T339" s="35">
        <f t="shared" si="63"/>
        <v>42.763489552669071</v>
      </c>
      <c r="U339" s="35">
        <f t="shared" si="64"/>
        <v>3.3107447330927187E-2</v>
      </c>
      <c r="V339" s="35">
        <f t="shared" si="65"/>
        <v>1.5846738694648144E-2</v>
      </c>
    </row>
    <row r="340" spans="1:22" x14ac:dyDescent="0.25">
      <c r="A340" s="34" t="s">
        <v>360</v>
      </c>
      <c r="B340" s="16">
        <v>0.63200000000000001</v>
      </c>
      <c r="C340" s="8">
        <v>1E-3</v>
      </c>
      <c r="D340" s="8">
        <v>23.715</v>
      </c>
      <c r="E340" s="8">
        <v>4.2999999999999997E-2</v>
      </c>
      <c r="F340" s="8">
        <v>0.96699999999999997</v>
      </c>
      <c r="G340" s="8">
        <v>2.5000000000000001E-2</v>
      </c>
      <c r="H340" s="8">
        <v>-1E-3</v>
      </c>
      <c r="I340" s="8">
        <v>3.4000000000000002E-2</v>
      </c>
      <c r="J340" s="8">
        <v>0.12</v>
      </c>
      <c r="K340" s="38">
        <f t="shared" si="55"/>
        <v>0.222</v>
      </c>
      <c r="L340" s="38">
        <f t="shared" si="56"/>
        <v>43.053279000000003</v>
      </c>
      <c r="M340" s="29">
        <f t="shared" si="57"/>
        <v>4079.9590109521814</v>
      </c>
      <c r="N340" s="29">
        <f t="shared" si="58"/>
        <v>1.1979113131544714E+26</v>
      </c>
      <c r="O340" s="35">
        <f t="shared" si="59"/>
        <v>3882.1661761384398</v>
      </c>
      <c r="P340" s="35">
        <f t="shared" si="60"/>
        <v>42.945370607136169</v>
      </c>
      <c r="Q340" s="35">
        <f t="shared" si="61"/>
        <v>0.10790839286383402</v>
      </c>
      <c r="R340" s="35">
        <f t="shared" si="62"/>
        <v>0.2362677796131715</v>
      </c>
      <c r="S340" s="18">
        <v>3584.0492554983816</v>
      </c>
      <c r="T340" s="35">
        <f t="shared" si="63"/>
        <v>42.771869847645974</v>
      </c>
      <c r="U340" s="35">
        <f t="shared" si="64"/>
        <v>0.28140915235402986</v>
      </c>
      <c r="V340" s="35">
        <f t="shared" si="65"/>
        <v>1.6068320556085867</v>
      </c>
    </row>
    <row r="341" spans="1:22" x14ac:dyDescent="0.25">
      <c r="A341" s="34" t="s">
        <v>361</v>
      </c>
      <c r="B341" s="16">
        <v>0.63400000000000001</v>
      </c>
      <c r="C341" s="8">
        <v>1E-3</v>
      </c>
      <c r="D341" s="8">
        <v>23.733000000000001</v>
      </c>
      <c r="E341" s="8">
        <v>4.7E-2</v>
      </c>
      <c r="F341" s="8">
        <v>1.0189999999999999</v>
      </c>
      <c r="G341" s="8">
        <v>4.1000000000000002E-2</v>
      </c>
      <c r="H341" s="8">
        <v>-8.0000000000000002E-3</v>
      </c>
      <c r="I341" s="8">
        <v>5.2999999999999999E-2</v>
      </c>
      <c r="J341" s="8">
        <v>0.12</v>
      </c>
      <c r="K341" s="38">
        <f t="shared" si="55"/>
        <v>0.26100000000000001</v>
      </c>
      <c r="L341" s="38">
        <f t="shared" si="56"/>
        <v>43.100833000000002</v>
      </c>
      <c r="M341" s="29">
        <f t="shared" si="57"/>
        <v>4170.2932969311623</v>
      </c>
      <c r="N341" s="29">
        <f t="shared" si="58"/>
        <v>1.2022612735741444E+26</v>
      </c>
      <c r="O341" s="35">
        <f t="shared" si="59"/>
        <v>3896.2634377832323</v>
      </c>
      <c r="P341" s="35">
        <f t="shared" si="60"/>
        <v>42.95324156560644</v>
      </c>
      <c r="Q341" s="35">
        <f t="shared" si="61"/>
        <v>0.14759143439356137</v>
      </c>
      <c r="R341" s="35">
        <f t="shared" si="62"/>
        <v>0.31977263261474337</v>
      </c>
      <c r="S341" s="18">
        <v>3597.8662600795774</v>
      </c>
      <c r="T341" s="35">
        <f t="shared" si="63"/>
        <v>42.780225078553833</v>
      </c>
      <c r="U341" s="35">
        <f t="shared" si="64"/>
        <v>0.32060792144616812</v>
      </c>
      <c r="V341" s="35">
        <f t="shared" si="65"/>
        <v>1.5089244035471046</v>
      </c>
    </row>
    <row r="342" spans="1:22" x14ac:dyDescent="0.25">
      <c r="A342" s="34" t="s">
        <v>362</v>
      </c>
      <c r="B342" s="16">
        <v>0.63900000000000001</v>
      </c>
      <c r="C342" s="8">
        <v>1E-3</v>
      </c>
      <c r="D342" s="8">
        <v>24.024000000000001</v>
      </c>
      <c r="E342" s="8">
        <v>6.2E-2</v>
      </c>
      <c r="F342" s="8">
        <v>0.84299999999999997</v>
      </c>
      <c r="G342" s="8">
        <v>3.7999999999999999E-2</v>
      </c>
      <c r="H342" s="8">
        <v>9.4E-2</v>
      </c>
      <c r="I342" s="8">
        <v>7.0999999999999994E-2</v>
      </c>
      <c r="J342" s="8">
        <v>0.12</v>
      </c>
      <c r="K342" s="38">
        <f t="shared" si="55"/>
        <v>0.29099999999999998</v>
      </c>
      <c r="L342" s="38">
        <f t="shared" si="56"/>
        <v>43.046700999999999</v>
      </c>
      <c r="M342" s="29">
        <f t="shared" si="57"/>
        <v>4067.6183699216904</v>
      </c>
      <c r="N342" s="29">
        <f t="shared" si="58"/>
        <v>1.2131478704335531E+26</v>
      </c>
      <c r="O342" s="35">
        <f t="shared" si="59"/>
        <v>3931.5444954347859</v>
      </c>
      <c r="P342" s="35">
        <f t="shared" si="60"/>
        <v>42.972815975888864</v>
      </c>
      <c r="Q342" s="35">
        <f t="shared" si="61"/>
        <v>7.3885024111135067E-2</v>
      </c>
      <c r="R342" s="35">
        <f t="shared" si="62"/>
        <v>6.4465426576245086E-2</v>
      </c>
      <c r="S342" s="18">
        <v>3632.4604381110885</v>
      </c>
      <c r="T342" s="35">
        <f t="shared" si="63"/>
        <v>42.801004465017385</v>
      </c>
      <c r="U342" s="35">
        <f t="shared" si="64"/>
        <v>0.24569653498261346</v>
      </c>
      <c r="V342" s="35">
        <f t="shared" si="65"/>
        <v>0.71287286761448976</v>
      </c>
    </row>
    <row r="343" spans="1:22" x14ac:dyDescent="0.25">
      <c r="A343" s="34" t="s">
        <v>363</v>
      </c>
      <c r="B343" s="16">
        <v>0.64</v>
      </c>
      <c r="C343" s="8">
        <v>1E-3</v>
      </c>
      <c r="D343" s="8">
        <v>23.672000000000001</v>
      </c>
      <c r="E343" s="8">
        <v>5.8999999999999997E-2</v>
      </c>
      <c r="F343" s="8">
        <v>0.99399999999999999</v>
      </c>
      <c r="G343" s="8">
        <v>2.5999999999999999E-2</v>
      </c>
      <c r="H343" s="8">
        <v>-6.3E-2</v>
      </c>
      <c r="I343" s="8">
        <v>4.2999999999999997E-2</v>
      </c>
      <c r="J343" s="8">
        <v>0.12</v>
      </c>
      <c r="K343" s="38">
        <f t="shared" si="55"/>
        <v>0.248</v>
      </c>
      <c r="L343" s="38">
        <f t="shared" si="56"/>
        <v>43.208308000000002</v>
      </c>
      <c r="M343" s="29">
        <f t="shared" si="57"/>
        <v>4381.8913002881336</v>
      </c>
      <c r="N343" s="29">
        <f t="shared" si="58"/>
        <v>1.2153271887257283E+26</v>
      </c>
      <c r="O343" s="35">
        <f t="shared" si="59"/>
        <v>3938.607185024588</v>
      </c>
      <c r="P343" s="35">
        <f t="shared" si="60"/>
        <v>42.976713344153389</v>
      </c>
      <c r="Q343" s="35">
        <f t="shared" si="61"/>
        <v>0.23159465584661376</v>
      </c>
      <c r="R343" s="35">
        <f t="shared" si="62"/>
        <v>0.872074736874211</v>
      </c>
      <c r="S343" s="18">
        <v>3639.388102374362</v>
      </c>
      <c r="T343" s="35">
        <f t="shared" si="63"/>
        <v>42.80514185491964</v>
      </c>
      <c r="U343" s="35">
        <f t="shared" si="64"/>
        <v>0.40316614508036253</v>
      </c>
      <c r="V343" s="35">
        <f t="shared" si="65"/>
        <v>2.642802753299947</v>
      </c>
    </row>
    <row r="344" spans="1:22" x14ac:dyDescent="0.25">
      <c r="A344" s="34" t="s">
        <v>364</v>
      </c>
      <c r="B344" s="16">
        <v>0.64</v>
      </c>
      <c r="C344" s="8">
        <v>0.02</v>
      </c>
      <c r="D344" s="8">
        <v>23.895</v>
      </c>
      <c r="E344" s="8">
        <v>5.6000000000000001E-2</v>
      </c>
      <c r="F344" s="8">
        <v>1.0549999999999999</v>
      </c>
      <c r="G344" s="8">
        <v>0.06</v>
      </c>
      <c r="H344" s="8">
        <v>6.8000000000000005E-2</v>
      </c>
      <c r="I344" s="8">
        <v>5.0999999999999997E-2</v>
      </c>
      <c r="J344" s="8">
        <v>0.12</v>
      </c>
      <c r="K344" s="38">
        <f t="shared" si="55"/>
        <v>0.28699999999999998</v>
      </c>
      <c r="L344" s="38">
        <f t="shared" si="56"/>
        <v>43.030245000000001</v>
      </c>
      <c r="M344" s="29">
        <f t="shared" si="57"/>
        <v>4036.9093750224647</v>
      </c>
      <c r="N344" s="29">
        <f t="shared" si="58"/>
        <v>1.2153271887257283E+26</v>
      </c>
      <c r="O344" s="35">
        <f t="shared" si="59"/>
        <v>3938.607185024588</v>
      </c>
      <c r="P344" s="35">
        <f t="shared" si="60"/>
        <v>42.976713344153389</v>
      </c>
      <c r="Q344" s="35">
        <f t="shared" si="61"/>
        <v>5.3531655846612125E-2</v>
      </c>
      <c r="R344" s="35">
        <f t="shared" si="62"/>
        <v>3.479025091575863E-2</v>
      </c>
      <c r="S344" s="18">
        <v>3639.388102374362</v>
      </c>
      <c r="T344" s="35">
        <f t="shared" si="63"/>
        <v>42.80514185491964</v>
      </c>
      <c r="U344" s="35">
        <f t="shared" si="64"/>
        <v>0.22510314508036089</v>
      </c>
      <c r="V344" s="35">
        <f t="shared" si="65"/>
        <v>0.61517592692724221</v>
      </c>
    </row>
    <row r="345" spans="1:22" x14ac:dyDescent="0.25">
      <c r="A345" s="34" t="s">
        <v>365</v>
      </c>
      <c r="B345" s="16">
        <v>0.64300000000000002</v>
      </c>
      <c r="C345" s="8">
        <v>1E-3</v>
      </c>
      <c r="D345" s="8">
        <v>23.62</v>
      </c>
      <c r="E345" s="8">
        <v>5.8000000000000003E-2</v>
      </c>
      <c r="F345" s="8">
        <v>1.071</v>
      </c>
      <c r="G345" s="8">
        <v>5.0999999999999997E-2</v>
      </c>
      <c r="H345" s="8">
        <v>-3.4000000000000002E-2</v>
      </c>
      <c r="I345" s="8">
        <v>5.0999999999999997E-2</v>
      </c>
      <c r="J345" s="8">
        <v>0.12</v>
      </c>
      <c r="K345" s="38">
        <f t="shared" si="55"/>
        <v>0.28000000000000003</v>
      </c>
      <c r="L345" s="38">
        <f t="shared" si="56"/>
        <v>43.076857000000004</v>
      </c>
      <c r="M345" s="29">
        <f t="shared" si="57"/>
        <v>4124.5008742960472</v>
      </c>
      <c r="N345" s="29">
        <f t="shared" si="58"/>
        <v>1.2218691278293076E+26</v>
      </c>
      <c r="O345" s="35">
        <f t="shared" si="59"/>
        <v>3959.8081657945213</v>
      </c>
      <c r="P345" s="35">
        <f t="shared" si="60"/>
        <v>42.988370734482487</v>
      </c>
      <c r="Q345" s="35">
        <f t="shared" si="61"/>
        <v>8.8486265517516927E-2</v>
      </c>
      <c r="R345" s="35">
        <f t="shared" si="62"/>
        <v>9.9870142668832956E-2</v>
      </c>
      <c r="S345" s="18">
        <v>3660.1886886777261</v>
      </c>
      <c r="T345" s="35">
        <f t="shared" si="63"/>
        <v>42.817517372790718</v>
      </c>
      <c r="U345" s="35">
        <f t="shared" si="64"/>
        <v>0.25933962720928605</v>
      </c>
      <c r="V345" s="35">
        <f t="shared" si="65"/>
        <v>0.85787043674810526</v>
      </c>
    </row>
    <row r="346" spans="1:22" x14ac:dyDescent="0.25">
      <c r="A346" s="34" t="s">
        <v>366</v>
      </c>
      <c r="B346" s="16">
        <v>0.64300000000000002</v>
      </c>
      <c r="C346" s="8">
        <v>1E-3</v>
      </c>
      <c r="D346" s="8">
        <v>23.8</v>
      </c>
      <c r="E346" s="8">
        <v>0.06</v>
      </c>
      <c r="F346" s="8">
        <v>0.97799999999999998</v>
      </c>
      <c r="G346" s="8">
        <v>2.5999999999999999E-2</v>
      </c>
      <c r="H346" s="8">
        <v>-1.0999999999999999E-2</v>
      </c>
      <c r="I346" s="8">
        <v>5.0999999999999997E-2</v>
      </c>
      <c r="J346" s="8">
        <v>0.12</v>
      </c>
      <c r="K346" s="38">
        <f t="shared" si="55"/>
        <v>0.25700000000000001</v>
      </c>
      <c r="L346" s="38">
        <f t="shared" si="56"/>
        <v>43.171196000000002</v>
      </c>
      <c r="M346" s="29">
        <f t="shared" si="57"/>
        <v>4307.6380054327328</v>
      </c>
      <c r="N346" s="29">
        <f t="shared" si="58"/>
        <v>1.2218691278293076E+26</v>
      </c>
      <c r="O346" s="35">
        <f t="shared" si="59"/>
        <v>3959.8081657945213</v>
      </c>
      <c r="P346" s="35">
        <f t="shared" si="60"/>
        <v>42.988370734482487</v>
      </c>
      <c r="Q346" s="35">
        <f t="shared" si="61"/>
        <v>0.18282526551751488</v>
      </c>
      <c r="R346" s="35">
        <f t="shared" si="62"/>
        <v>0.5060648565693624</v>
      </c>
      <c r="S346" s="18">
        <v>3660.1886886777261</v>
      </c>
      <c r="T346" s="35">
        <f t="shared" si="63"/>
        <v>42.817517372790718</v>
      </c>
      <c r="U346" s="35">
        <f t="shared" si="64"/>
        <v>0.353678627209284</v>
      </c>
      <c r="V346" s="35">
        <f t="shared" si="65"/>
        <v>1.8938753250563021</v>
      </c>
    </row>
    <row r="347" spans="1:22" x14ac:dyDescent="0.25">
      <c r="A347" s="34" t="s">
        <v>367</v>
      </c>
      <c r="B347" s="16">
        <v>0.64700000000000002</v>
      </c>
      <c r="C347" s="8">
        <v>0</v>
      </c>
      <c r="D347" s="8">
        <v>23.896000000000001</v>
      </c>
      <c r="E347" s="8">
        <v>4.2999999999999997E-2</v>
      </c>
      <c r="F347" s="8">
        <v>1.04</v>
      </c>
      <c r="G347" s="8">
        <v>2.1999999999999999E-2</v>
      </c>
      <c r="H347" s="8">
        <v>3.5000000000000003E-2</v>
      </c>
      <c r="I347" s="8">
        <v>3.9E-2</v>
      </c>
      <c r="J347" s="8">
        <v>0.12</v>
      </c>
      <c r="K347" s="38">
        <f t="shared" si="55"/>
        <v>0.224</v>
      </c>
      <c r="L347" s="38">
        <f t="shared" si="56"/>
        <v>43.132330000000003</v>
      </c>
      <c r="M347" s="29">
        <f t="shared" si="57"/>
        <v>4231.2238306000663</v>
      </c>
      <c r="N347" s="29">
        <f t="shared" si="58"/>
        <v>1.2306009817337373E+26</v>
      </c>
      <c r="O347" s="35">
        <f t="shared" si="59"/>
        <v>3988.1061771001278</v>
      </c>
      <c r="P347" s="35">
        <f t="shared" si="60"/>
        <v>43.003833561030149</v>
      </c>
      <c r="Q347" s="35">
        <f t="shared" si="61"/>
        <v>0.12849643896985441</v>
      </c>
      <c r="R347" s="35">
        <f t="shared" si="62"/>
        <v>0.32906837587558829</v>
      </c>
      <c r="S347" s="18">
        <v>3687.9637235861478</v>
      </c>
      <c r="T347" s="35">
        <f t="shared" si="63"/>
        <v>42.833933202466739</v>
      </c>
      <c r="U347" s="35">
        <f t="shared" si="64"/>
        <v>0.29839679753326465</v>
      </c>
      <c r="V347" s="35">
        <f t="shared" si="65"/>
        <v>1.7745665014769636</v>
      </c>
    </row>
    <row r="348" spans="1:22" x14ac:dyDescent="0.25">
      <c r="A348" s="34" t="s">
        <v>368</v>
      </c>
      <c r="B348" s="16">
        <v>0.64800000000000002</v>
      </c>
      <c r="C348" s="8">
        <v>0</v>
      </c>
      <c r="D348" s="8">
        <v>23.965</v>
      </c>
      <c r="E348" s="8">
        <v>4.4999999999999998E-2</v>
      </c>
      <c r="F348" s="8">
        <v>0.97899999999999998</v>
      </c>
      <c r="G348" s="8">
        <v>2.5999999999999999E-2</v>
      </c>
      <c r="H348" s="8">
        <v>8.5000000000000006E-2</v>
      </c>
      <c r="I348" s="8">
        <v>3.9E-2</v>
      </c>
      <c r="J348" s="8">
        <v>0.12</v>
      </c>
      <c r="K348" s="38">
        <f t="shared" si="55"/>
        <v>0.22999999999999998</v>
      </c>
      <c r="L348" s="38">
        <f t="shared" si="56"/>
        <v>43.035862999999999</v>
      </c>
      <c r="M348" s="29">
        <f t="shared" si="57"/>
        <v>4047.3671270657592</v>
      </c>
      <c r="N348" s="29">
        <f t="shared" si="58"/>
        <v>1.2327855952869311E+26</v>
      </c>
      <c r="O348" s="35">
        <f t="shared" si="59"/>
        <v>3995.1860274621795</v>
      </c>
      <c r="P348" s="35">
        <f t="shared" si="60"/>
        <v>43.00768503066476</v>
      </c>
      <c r="Q348" s="35">
        <f t="shared" si="61"/>
        <v>2.8177969335239084E-2</v>
      </c>
      <c r="R348" s="35">
        <f t="shared" si="62"/>
        <v>1.5009413154209344E-2</v>
      </c>
      <c r="S348" s="18">
        <v>3694.914765988146</v>
      </c>
      <c r="T348" s="35">
        <f t="shared" si="63"/>
        <v>42.838022122872133</v>
      </c>
      <c r="U348" s="35">
        <f t="shared" si="64"/>
        <v>0.19784087712786658</v>
      </c>
      <c r="V348" s="35">
        <f t="shared" si="65"/>
        <v>0.73990572141254463</v>
      </c>
    </row>
    <row r="349" spans="1:22" x14ac:dyDescent="0.25">
      <c r="A349" s="34" t="s">
        <v>369</v>
      </c>
      <c r="B349" s="16">
        <v>0.66300000000000003</v>
      </c>
      <c r="C349" s="8">
        <v>1E-3</v>
      </c>
      <c r="D349" s="8">
        <v>24.058</v>
      </c>
      <c r="E349" s="8">
        <v>4.5999999999999999E-2</v>
      </c>
      <c r="F349" s="8">
        <v>1.028</v>
      </c>
      <c r="G349" s="8">
        <v>4.1000000000000002E-2</v>
      </c>
      <c r="H349" s="8">
        <v>0.1</v>
      </c>
      <c r="I349" s="8">
        <v>4.3999999999999997E-2</v>
      </c>
      <c r="J349" s="8">
        <v>0.12</v>
      </c>
      <c r="K349" s="38">
        <f t="shared" si="55"/>
        <v>0.251</v>
      </c>
      <c r="L349" s="38">
        <f t="shared" si="56"/>
        <v>43.089116000000004</v>
      </c>
      <c r="M349" s="29">
        <f t="shared" si="57"/>
        <v>4147.85150450116</v>
      </c>
      <c r="N349" s="29">
        <f t="shared" si="58"/>
        <v>1.2656334074393029E+26</v>
      </c>
      <c r="O349" s="35">
        <f t="shared" si="59"/>
        <v>4101.6385368405954</v>
      </c>
      <c r="P349" s="35">
        <f t="shared" si="60"/>
        <v>43.064786924271374</v>
      </c>
      <c r="Q349" s="35">
        <f t="shared" si="61"/>
        <v>2.4329075728630301E-2</v>
      </c>
      <c r="R349" s="35">
        <f t="shared" si="62"/>
        <v>9.3951512802880593E-3</v>
      </c>
      <c r="S349" s="18">
        <v>3799.5272295189898</v>
      </c>
      <c r="T349" s="35">
        <f t="shared" si="63"/>
        <v>42.898647806262289</v>
      </c>
      <c r="U349" s="35">
        <f t="shared" si="64"/>
        <v>0.19046819373771484</v>
      </c>
      <c r="V349" s="35">
        <f t="shared" si="65"/>
        <v>0.57583423795983668</v>
      </c>
    </row>
    <row r="350" spans="1:22" x14ac:dyDescent="0.25">
      <c r="A350" s="34" t="s">
        <v>370</v>
      </c>
      <c r="B350" s="16">
        <v>0.66400000000000003</v>
      </c>
      <c r="C350" s="8">
        <v>1E-3</v>
      </c>
      <c r="D350" s="8">
        <v>23.501000000000001</v>
      </c>
      <c r="E350" s="8">
        <v>4.9000000000000002E-2</v>
      </c>
      <c r="F350" s="8">
        <v>1.0449999999999999</v>
      </c>
      <c r="G350" s="8">
        <v>2.5999999999999999E-2</v>
      </c>
      <c r="H350" s="8">
        <v>-0.14099999999999999</v>
      </c>
      <c r="I350" s="8">
        <v>3.9E-2</v>
      </c>
      <c r="J350" s="8">
        <v>0.12</v>
      </c>
      <c r="K350" s="38">
        <f t="shared" si="55"/>
        <v>0.23399999999999999</v>
      </c>
      <c r="L350" s="38">
        <f t="shared" si="56"/>
        <v>43.288944999999998</v>
      </c>
      <c r="M350" s="29">
        <f t="shared" si="57"/>
        <v>4547.6705995943357</v>
      </c>
      <c r="N350" s="29">
        <f t="shared" si="58"/>
        <v>1.2678284687308871E+26</v>
      </c>
      <c r="O350" s="35">
        <f t="shared" si="59"/>
        <v>4108.7522460168611</v>
      </c>
      <c r="P350" s="35">
        <f t="shared" si="60"/>
        <v>43.068549772466916</v>
      </c>
      <c r="Q350" s="35">
        <f t="shared" si="61"/>
        <v>0.22039522753308205</v>
      </c>
      <c r="R350" s="35">
        <f t="shared" si="62"/>
        <v>0.88710015924024799</v>
      </c>
      <c r="S350" s="18">
        <v>3806.5243587738846</v>
      </c>
      <c r="T350" s="35">
        <f t="shared" si="63"/>
        <v>42.902643066413411</v>
      </c>
      <c r="U350" s="35">
        <f t="shared" si="64"/>
        <v>0.38630193358658715</v>
      </c>
      <c r="V350" s="35">
        <f t="shared" si="65"/>
        <v>2.7253485260562496</v>
      </c>
    </row>
    <row r="351" spans="1:22" x14ac:dyDescent="0.25">
      <c r="A351" s="34" t="s">
        <v>371</v>
      </c>
      <c r="B351" s="16">
        <v>0.67</v>
      </c>
      <c r="C351" s="8">
        <v>0.02</v>
      </c>
      <c r="D351" s="8">
        <v>24.106000000000002</v>
      </c>
      <c r="E351" s="8">
        <v>6.0999999999999999E-2</v>
      </c>
      <c r="F351" s="8">
        <v>1.0840000000000001</v>
      </c>
      <c r="G351" s="8">
        <v>4.7E-2</v>
      </c>
      <c r="H351" s="8">
        <v>5.2999999999999999E-2</v>
      </c>
      <c r="I351" s="8">
        <v>4.3999999999999997E-2</v>
      </c>
      <c r="J351" s="8">
        <v>0.12</v>
      </c>
      <c r="K351" s="38">
        <f t="shared" si="55"/>
        <v>0.27200000000000002</v>
      </c>
      <c r="L351" s="38">
        <f t="shared" si="56"/>
        <v>43.292457999999996</v>
      </c>
      <c r="M351" s="29">
        <f t="shared" si="57"/>
        <v>4555.0337586415835</v>
      </c>
      <c r="N351" s="29">
        <f t="shared" si="58"/>
        <v>1.281012392617617E+26</v>
      </c>
      <c r="O351" s="35">
        <f t="shared" si="59"/>
        <v>4151.4784335232362</v>
      </c>
      <c r="P351" s="35">
        <f t="shared" si="60"/>
        <v>43.091013930763793</v>
      </c>
      <c r="Q351" s="35">
        <f t="shared" si="61"/>
        <v>0.20144406923620295</v>
      </c>
      <c r="R351" s="35">
        <f t="shared" si="62"/>
        <v>0.54849309351265307</v>
      </c>
      <c r="S351" s="18">
        <v>3848.5668892974372</v>
      </c>
      <c r="T351" s="35">
        <f t="shared" si="63"/>
        <v>42.926495195675784</v>
      </c>
      <c r="U351" s="35">
        <f t="shared" si="64"/>
        <v>0.36596280432421224</v>
      </c>
      <c r="V351" s="35">
        <f t="shared" si="65"/>
        <v>1.8102397024875871</v>
      </c>
    </row>
    <row r="352" spans="1:22" x14ac:dyDescent="0.25">
      <c r="A352" s="34" t="s">
        <v>372</v>
      </c>
      <c r="B352" s="16">
        <v>0.67900000000000005</v>
      </c>
      <c r="C352" s="8">
        <v>1E-3</v>
      </c>
      <c r="D352" s="8">
        <v>24.088000000000001</v>
      </c>
      <c r="E352" s="8">
        <v>5.3999999999999999E-2</v>
      </c>
      <c r="F352" s="8">
        <v>1.0840000000000001</v>
      </c>
      <c r="G352" s="8">
        <v>0.04</v>
      </c>
      <c r="H352" s="8">
        <v>-1.9E-2</v>
      </c>
      <c r="I352" s="8">
        <v>5.1999999999999998E-2</v>
      </c>
      <c r="J352" s="8">
        <v>0.12</v>
      </c>
      <c r="K352" s="38">
        <f t="shared" si="55"/>
        <v>0.26600000000000001</v>
      </c>
      <c r="L352" s="38">
        <f t="shared" si="56"/>
        <v>43.499818000000005</v>
      </c>
      <c r="M352" s="29">
        <f t="shared" si="57"/>
        <v>5011.4522883198833</v>
      </c>
      <c r="N352" s="29">
        <f t="shared" si="58"/>
        <v>1.3008315915097392E+26</v>
      </c>
      <c r="O352" s="35">
        <f t="shared" si="59"/>
        <v>4215.708082857248</v>
      </c>
      <c r="P352" s="35">
        <f t="shared" si="60"/>
        <v>43.124352652396325</v>
      </c>
      <c r="Q352" s="35">
        <f t="shared" si="61"/>
        <v>0.37546534760367933</v>
      </c>
      <c r="R352" s="35">
        <f t="shared" si="62"/>
        <v>1.9923996163032354</v>
      </c>
      <c r="S352" s="18">
        <v>3911.8215341446171</v>
      </c>
      <c r="T352" s="35">
        <f t="shared" si="63"/>
        <v>42.961895165516232</v>
      </c>
      <c r="U352" s="35">
        <f t="shared" si="64"/>
        <v>0.53792283448377276</v>
      </c>
      <c r="V352" s="35">
        <f t="shared" si="65"/>
        <v>4.0895609681024414</v>
      </c>
    </row>
    <row r="353" spans="1:22" x14ac:dyDescent="0.25">
      <c r="A353" s="34" t="s">
        <v>373</v>
      </c>
      <c r="B353" s="16">
        <v>0.68</v>
      </c>
      <c r="C353" s="8">
        <v>0.02</v>
      </c>
      <c r="D353" s="8">
        <v>23.521000000000001</v>
      </c>
      <c r="E353" s="8">
        <v>5.0999999999999997E-2</v>
      </c>
      <c r="F353" s="8">
        <v>1.0669999999999999</v>
      </c>
      <c r="G353" s="8">
        <v>2.9000000000000001E-2</v>
      </c>
      <c r="H353" s="8">
        <v>-0.113</v>
      </c>
      <c r="I353" s="8">
        <v>3.9E-2</v>
      </c>
      <c r="J353" s="8">
        <v>0.12</v>
      </c>
      <c r="K353" s="38">
        <f t="shared" si="55"/>
        <v>0.23899999999999999</v>
      </c>
      <c r="L353" s="38">
        <f t="shared" si="56"/>
        <v>43.224539</v>
      </c>
      <c r="M353" s="29">
        <f t="shared" si="57"/>
        <v>4414.7671262810118</v>
      </c>
      <c r="N353" s="29">
        <f t="shared" si="58"/>
        <v>1.3030369139404626E+26</v>
      </c>
      <c r="O353" s="35">
        <f t="shared" si="59"/>
        <v>4222.8550461207378</v>
      </c>
      <c r="P353" s="35">
        <f t="shared" si="60"/>
        <v>43.128030870361172</v>
      </c>
      <c r="Q353" s="35">
        <f t="shared" si="61"/>
        <v>9.6508129638827711E-2</v>
      </c>
      <c r="R353" s="35">
        <f t="shared" si="62"/>
        <v>0.16305420224409195</v>
      </c>
      <c r="S353" s="18">
        <v>3918.8638751424987</v>
      </c>
      <c r="T353" s="35">
        <f t="shared" si="63"/>
        <v>42.965800890877105</v>
      </c>
      <c r="U353" s="35">
        <f t="shared" si="64"/>
        <v>0.25873810912289485</v>
      </c>
      <c r="V353" s="35">
        <f t="shared" si="65"/>
        <v>1.1719929467707331</v>
      </c>
    </row>
    <row r="354" spans="1:22" x14ac:dyDescent="0.25">
      <c r="A354" s="34" t="s">
        <v>374</v>
      </c>
      <c r="B354" s="16">
        <v>0.68300000000000005</v>
      </c>
      <c r="C354" s="8">
        <v>1E-3</v>
      </c>
      <c r="D354" s="8">
        <v>24.067</v>
      </c>
      <c r="E354" s="8">
        <v>7.2999999999999995E-2</v>
      </c>
      <c r="F354" s="8">
        <v>1.0820000000000001</v>
      </c>
      <c r="G354" s="8">
        <v>5.7000000000000002E-2</v>
      </c>
      <c r="H354" s="8">
        <v>6.0000000000000001E-3</v>
      </c>
      <c r="I354" s="8">
        <v>6.2E-2</v>
      </c>
      <c r="J354" s="8">
        <v>0.12</v>
      </c>
      <c r="K354" s="38">
        <f t="shared" si="55"/>
        <v>0.312</v>
      </c>
      <c r="L354" s="38">
        <f t="shared" si="56"/>
        <v>43.400273999999996</v>
      </c>
      <c r="M354" s="29">
        <f t="shared" si="57"/>
        <v>4786.9049047418457</v>
      </c>
      <c r="N354" s="29">
        <f t="shared" si="58"/>
        <v>1.3096566897538563E+26</v>
      </c>
      <c r="O354" s="35">
        <f t="shared" si="59"/>
        <v>4244.308278487918</v>
      </c>
      <c r="P354" s="35">
        <f t="shared" si="60"/>
        <v>43.13903460327171</v>
      </c>
      <c r="Q354" s="35">
        <f t="shared" si="61"/>
        <v>0.26123939672828556</v>
      </c>
      <c r="R354" s="35">
        <f t="shared" si="62"/>
        <v>0.7010809336267112</v>
      </c>
      <c r="S354" s="18">
        <v>3940.007667710468</v>
      </c>
      <c r="T354" s="35">
        <f t="shared" si="63"/>
        <v>42.977485335068359</v>
      </c>
      <c r="U354" s="35">
        <f t="shared" si="64"/>
        <v>0.42278866493163747</v>
      </c>
      <c r="V354" s="35">
        <f t="shared" si="65"/>
        <v>1.8362739890971853</v>
      </c>
    </row>
    <row r="355" spans="1:22" x14ac:dyDescent="0.25">
      <c r="A355" s="34" t="s">
        <v>375</v>
      </c>
      <c r="B355" s="16">
        <v>0.68700000000000006</v>
      </c>
      <c r="C355" s="8">
        <v>1E-3</v>
      </c>
      <c r="D355" s="8">
        <v>24.120999999999999</v>
      </c>
      <c r="E355" s="8">
        <v>5.6000000000000001E-2</v>
      </c>
      <c r="F355" s="8">
        <v>0.9</v>
      </c>
      <c r="G355" s="8">
        <v>4.2999999999999997E-2</v>
      </c>
      <c r="H355" s="8">
        <v>-0.01</v>
      </c>
      <c r="I355" s="8">
        <v>5.7000000000000002E-2</v>
      </c>
      <c r="J355" s="8">
        <v>0.12</v>
      </c>
      <c r="K355" s="38">
        <f t="shared" si="55"/>
        <v>0.27600000000000002</v>
      </c>
      <c r="L355" s="38">
        <f t="shared" si="56"/>
        <v>43.477599999999995</v>
      </c>
      <c r="M355" s="29">
        <f t="shared" si="57"/>
        <v>4960.4377052981727</v>
      </c>
      <c r="N355" s="29">
        <f t="shared" si="58"/>
        <v>1.3184919175966618E+26</v>
      </c>
      <c r="O355" s="35">
        <f t="shared" si="59"/>
        <v>4272.941301912243</v>
      </c>
      <c r="P355" s="35">
        <f t="shared" si="60"/>
        <v>43.153634634422154</v>
      </c>
      <c r="Q355" s="35">
        <f t="shared" si="61"/>
        <v>0.32396536557784117</v>
      </c>
      <c r="R355" s="35">
        <f t="shared" si="62"/>
        <v>1.3777772276567983</v>
      </c>
      <c r="S355" s="18">
        <v>3968.2383960418406</v>
      </c>
      <c r="T355" s="35">
        <f t="shared" si="63"/>
        <v>42.992988774789055</v>
      </c>
      <c r="U355" s="35">
        <f t="shared" si="64"/>
        <v>0.48461122521094069</v>
      </c>
      <c r="V355" s="35">
        <f t="shared" si="65"/>
        <v>3.0829662833497302</v>
      </c>
    </row>
    <row r="356" spans="1:22" x14ac:dyDescent="0.25">
      <c r="A356" s="34" t="s">
        <v>376</v>
      </c>
      <c r="B356" s="16">
        <v>0.69</v>
      </c>
      <c r="C356" s="8">
        <v>0.01</v>
      </c>
      <c r="D356" s="8">
        <v>24.376999999999999</v>
      </c>
      <c r="E356" s="8">
        <v>5.0999999999999997E-2</v>
      </c>
      <c r="F356" s="8">
        <v>1.006</v>
      </c>
      <c r="G356" s="8">
        <v>0.04</v>
      </c>
      <c r="H356" s="8">
        <v>0.14899999999999999</v>
      </c>
      <c r="I356" s="8">
        <v>4.8000000000000001E-2</v>
      </c>
      <c r="J356" s="8">
        <v>0.12</v>
      </c>
      <c r="K356" s="38">
        <f t="shared" si="55"/>
        <v>0.25900000000000001</v>
      </c>
      <c r="L356" s="38">
        <f t="shared" si="56"/>
        <v>43.251511999999998</v>
      </c>
      <c r="M356" s="29">
        <f t="shared" si="57"/>
        <v>4469.9472701919149</v>
      </c>
      <c r="N356" s="29">
        <f t="shared" si="58"/>
        <v>1.3251249588446187E+26</v>
      </c>
      <c r="O356" s="35">
        <f t="shared" si="59"/>
        <v>4294.4375246250411</v>
      </c>
      <c r="P356" s="35">
        <f t="shared" si="60"/>
        <v>43.164531445087221</v>
      </c>
      <c r="Q356" s="35">
        <f t="shared" si="61"/>
        <v>8.6980554912777563E-2</v>
      </c>
      <c r="R356" s="35">
        <f t="shared" si="62"/>
        <v>0.11278330574879195</v>
      </c>
      <c r="S356" s="18">
        <v>3989.4405801050166</v>
      </c>
      <c r="T356" s="35">
        <f t="shared" si="63"/>
        <v>43.004560004741109</v>
      </c>
      <c r="U356" s="35">
        <f t="shared" si="64"/>
        <v>0.24695199525888967</v>
      </c>
      <c r="V356" s="35">
        <f t="shared" si="65"/>
        <v>0.90912908218939292</v>
      </c>
    </row>
    <row r="357" spans="1:22" x14ac:dyDescent="0.25">
      <c r="A357" s="34" t="s">
        <v>377</v>
      </c>
      <c r="B357" s="16">
        <v>0.69</v>
      </c>
      <c r="C357" s="8">
        <v>0.01</v>
      </c>
      <c r="D357" s="8">
        <v>23.611000000000001</v>
      </c>
      <c r="E357" s="8">
        <v>4.3999999999999997E-2</v>
      </c>
      <c r="F357" s="8">
        <v>1.0349999999999999</v>
      </c>
      <c r="G357" s="8">
        <v>2.7E-2</v>
      </c>
      <c r="H357" s="8">
        <v>-7.6999999999999999E-2</v>
      </c>
      <c r="I357" s="8">
        <v>3.9E-2</v>
      </c>
      <c r="J357" s="8">
        <v>0.12</v>
      </c>
      <c r="K357" s="38">
        <f t="shared" si="55"/>
        <v>0.22999999999999998</v>
      </c>
      <c r="L357" s="38">
        <f t="shared" si="56"/>
        <v>43.197154999999995</v>
      </c>
      <c r="M357" s="29">
        <f t="shared" si="57"/>
        <v>4359.442963781441</v>
      </c>
      <c r="N357" s="29">
        <f t="shared" si="58"/>
        <v>1.3251249588446187E+26</v>
      </c>
      <c r="O357" s="35">
        <f t="shared" si="59"/>
        <v>4294.4375246250411</v>
      </c>
      <c r="P357" s="35">
        <f t="shared" si="60"/>
        <v>43.164531445087221</v>
      </c>
      <c r="Q357" s="35">
        <f t="shared" si="61"/>
        <v>3.2623554912774466E-2</v>
      </c>
      <c r="R357" s="35">
        <f t="shared" si="62"/>
        <v>2.011902334871099E-2</v>
      </c>
      <c r="S357" s="18">
        <v>3989.4405801050166</v>
      </c>
      <c r="T357" s="35">
        <f t="shared" si="63"/>
        <v>43.004560004741109</v>
      </c>
      <c r="U357" s="35">
        <f t="shared" si="64"/>
        <v>0.19259499525888657</v>
      </c>
      <c r="V357" s="35">
        <f t="shared" si="65"/>
        <v>0.70118775423006707</v>
      </c>
    </row>
    <row r="358" spans="1:22" x14ac:dyDescent="0.25">
      <c r="A358" s="34" t="s">
        <v>378</v>
      </c>
      <c r="B358" s="16">
        <v>0.69499999999999995</v>
      </c>
      <c r="C358" s="8">
        <v>1E-3</v>
      </c>
      <c r="D358" s="8">
        <v>24.045000000000002</v>
      </c>
      <c r="E358" s="8">
        <v>6.0999999999999999E-2</v>
      </c>
      <c r="F358" s="8">
        <v>0.81799999999999995</v>
      </c>
      <c r="G358" s="8">
        <v>4.2000000000000003E-2</v>
      </c>
      <c r="H358" s="8">
        <v>-7.0999999999999994E-2</v>
      </c>
      <c r="I358" s="8">
        <v>6.9000000000000006E-2</v>
      </c>
      <c r="J358" s="8">
        <v>0.12</v>
      </c>
      <c r="K358" s="38">
        <f t="shared" si="55"/>
        <v>0.29200000000000004</v>
      </c>
      <c r="L358" s="38">
        <f t="shared" si="56"/>
        <v>43.580476000000004</v>
      </c>
      <c r="M358" s="29">
        <f t="shared" si="57"/>
        <v>5201.0999532253527</v>
      </c>
      <c r="N358" s="29">
        <f t="shared" si="58"/>
        <v>1.3361925816624805E+26</v>
      </c>
      <c r="O358" s="35">
        <f t="shared" si="59"/>
        <v>4330.3052474538854</v>
      </c>
      <c r="P358" s="35">
        <f t="shared" si="60"/>
        <v>43.182592556376903</v>
      </c>
      <c r="Q358" s="35">
        <f t="shared" si="61"/>
        <v>0.39788344362310113</v>
      </c>
      <c r="R358" s="35">
        <f t="shared" si="62"/>
        <v>1.8567183654224229</v>
      </c>
      <c r="S358" s="18">
        <v>4024.8327907882626</v>
      </c>
      <c r="T358" s="35">
        <f t="shared" si="63"/>
        <v>43.023739212902797</v>
      </c>
      <c r="U358" s="35">
        <f t="shared" si="64"/>
        <v>0.55673678709720775</v>
      </c>
      <c r="V358" s="35">
        <f t="shared" si="65"/>
        <v>3.635248758061099</v>
      </c>
    </row>
    <row r="359" spans="1:22" x14ac:dyDescent="0.25">
      <c r="A359" s="34" t="s">
        <v>379</v>
      </c>
      <c r="B359" s="16">
        <v>0.69799999999999995</v>
      </c>
      <c r="C359" s="8">
        <v>1E-3</v>
      </c>
      <c r="D359" s="8">
        <v>24.474</v>
      </c>
      <c r="E359" s="8">
        <v>5.3999999999999999E-2</v>
      </c>
      <c r="F359" s="8">
        <v>0.73299999999999998</v>
      </c>
      <c r="G359" s="8">
        <v>4.5999999999999999E-2</v>
      </c>
      <c r="H359" s="8">
        <v>-1.4999999999999999E-2</v>
      </c>
      <c r="I359" s="8">
        <v>5.7000000000000002E-2</v>
      </c>
      <c r="J359" s="8">
        <v>0.12</v>
      </c>
      <c r="K359" s="38">
        <f t="shared" si="55"/>
        <v>0.27700000000000002</v>
      </c>
      <c r="L359" s="38">
        <f t="shared" si="56"/>
        <v>43.821700999999997</v>
      </c>
      <c r="M359" s="29">
        <f t="shared" si="57"/>
        <v>5812.1953143098754</v>
      </c>
      <c r="N359" s="29">
        <f t="shared" si="58"/>
        <v>1.3428406570854794E+26</v>
      </c>
      <c r="O359" s="35">
        <f t="shared" si="59"/>
        <v>4351.850192609817</v>
      </c>
      <c r="P359" s="35">
        <f t="shared" si="60"/>
        <v>43.193369684320672</v>
      </c>
      <c r="Q359" s="35">
        <f t="shared" si="61"/>
        <v>0.62833131567932554</v>
      </c>
      <c r="R359" s="35">
        <f t="shared" si="62"/>
        <v>5.1453849556662039</v>
      </c>
      <c r="S359" s="18">
        <v>4046.1011155112174</v>
      </c>
      <c r="T359" s="35">
        <f t="shared" si="63"/>
        <v>43.035183659796061</v>
      </c>
      <c r="U359" s="35">
        <f t="shared" si="64"/>
        <v>0.78651734020393604</v>
      </c>
      <c r="V359" s="35">
        <f t="shared" si="65"/>
        <v>8.0622649381781848</v>
      </c>
    </row>
    <row r="360" spans="1:22" x14ac:dyDescent="0.25">
      <c r="A360" s="34" t="s">
        <v>380</v>
      </c>
      <c r="B360" s="16">
        <v>0.69899999999999995</v>
      </c>
      <c r="C360" s="8">
        <v>1E-3</v>
      </c>
      <c r="D360" s="8">
        <v>23.594999999999999</v>
      </c>
      <c r="E360" s="8">
        <v>4.5999999999999999E-2</v>
      </c>
      <c r="F360" s="8">
        <v>1.101</v>
      </c>
      <c r="G360" s="8">
        <v>2.5000000000000001E-2</v>
      </c>
      <c r="H360" s="8">
        <v>-9.2999999999999999E-2</v>
      </c>
      <c r="I360" s="8">
        <v>4.2000000000000003E-2</v>
      </c>
      <c r="J360" s="8">
        <v>0.12</v>
      </c>
      <c r="K360" s="38">
        <f t="shared" si="55"/>
        <v>0.23300000000000001</v>
      </c>
      <c r="L360" s="38">
        <f t="shared" si="56"/>
        <v>43.240937000000002</v>
      </c>
      <c r="M360" s="29">
        <f t="shared" si="57"/>
        <v>4448.2316923829812</v>
      </c>
      <c r="N360" s="29">
        <f t="shared" si="58"/>
        <v>1.3450579283460194E+26</v>
      </c>
      <c r="O360" s="35">
        <f t="shared" si="59"/>
        <v>4359.0358793935284</v>
      </c>
      <c r="P360" s="35">
        <f t="shared" si="60"/>
        <v>43.196952218635673</v>
      </c>
      <c r="Q360" s="35">
        <f t="shared" si="61"/>
        <v>4.3984781364329706E-2</v>
      </c>
      <c r="R360" s="35">
        <f t="shared" si="62"/>
        <v>3.5636335015710098E-2</v>
      </c>
      <c r="S360" s="18">
        <v>4053.19603725156</v>
      </c>
      <c r="T360" s="35">
        <f t="shared" si="63"/>
        <v>43.038988046882253</v>
      </c>
      <c r="U360" s="35">
        <f t="shared" si="64"/>
        <v>0.20194895311774985</v>
      </c>
      <c r="V360" s="35">
        <f t="shared" si="65"/>
        <v>0.7512273142875191</v>
      </c>
    </row>
    <row r="361" spans="1:22" x14ac:dyDescent="0.25">
      <c r="A361" s="34" t="s">
        <v>381</v>
      </c>
      <c r="B361" s="16">
        <v>0.7</v>
      </c>
      <c r="C361" s="8">
        <v>0.02</v>
      </c>
      <c r="D361" s="8">
        <v>24.245999999999999</v>
      </c>
      <c r="E361" s="8">
        <v>0.06</v>
      </c>
      <c r="F361" s="8">
        <v>0.80600000000000005</v>
      </c>
      <c r="G361" s="8">
        <v>4.2000000000000003E-2</v>
      </c>
      <c r="H361" s="8">
        <v>2.1000000000000001E-2</v>
      </c>
      <c r="I361" s="8">
        <v>6.6000000000000003E-2</v>
      </c>
      <c r="J361" s="8">
        <v>0.12</v>
      </c>
      <c r="K361" s="38">
        <f t="shared" si="55"/>
        <v>0.28800000000000003</v>
      </c>
      <c r="L361" s="38">
        <f t="shared" si="56"/>
        <v>43.491752000000005</v>
      </c>
      <c r="M361" s="29">
        <f t="shared" si="57"/>
        <v>4992.8716276656269</v>
      </c>
      <c r="N361" s="29">
        <f t="shared" si="58"/>
        <v>1.3472758215125153E+26</v>
      </c>
      <c r="O361" s="35">
        <f t="shared" si="59"/>
        <v>4366.2235816371831</v>
      </c>
      <c r="P361" s="35">
        <f t="shared" si="60"/>
        <v>43.20052985451234</v>
      </c>
      <c r="Q361" s="35">
        <f t="shared" si="61"/>
        <v>0.29122214548766578</v>
      </c>
      <c r="R361" s="35">
        <f t="shared" si="62"/>
        <v>1.0225011817905956</v>
      </c>
      <c r="S361" s="18">
        <v>4060.2936936639262</v>
      </c>
      <c r="T361" s="35">
        <f t="shared" si="63"/>
        <v>43.042787242916113</v>
      </c>
      <c r="U361" s="35">
        <f t="shared" si="64"/>
        <v>0.44896475708389261</v>
      </c>
      <c r="V361" s="35">
        <f t="shared" si="65"/>
        <v>2.4301860665436759</v>
      </c>
    </row>
    <row r="362" spans="1:22" x14ac:dyDescent="0.25">
      <c r="A362" s="34" t="s">
        <v>382</v>
      </c>
      <c r="B362" s="16">
        <v>0.7</v>
      </c>
      <c r="C362" s="8">
        <v>0.01</v>
      </c>
      <c r="D362" s="8">
        <v>23.760999999999999</v>
      </c>
      <c r="E362" s="8">
        <v>0.06</v>
      </c>
      <c r="F362" s="8">
        <v>1.0649999999999999</v>
      </c>
      <c r="G362" s="8">
        <v>4.4999999999999998E-2</v>
      </c>
      <c r="H362" s="8">
        <v>-8.1000000000000003E-2</v>
      </c>
      <c r="I362" s="8">
        <v>5.5E-2</v>
      </c>
      <c r="J362" s="8">
        <v>0.12</v>
      </c>
      <c r="K362" s="38">
        <f t="shared" si="55"/>
        <v>0.28000000000000003</v>
      </c>
      <c r="L362" s="38">
        <f t="shared" si="56"/>
        <v>43.364085000000003</v>
      </c>
      <c r="M362" s="29">
        <f t="shared" si="57"/>
        <v>4707.7891104045893</v>
      </c>
      <c r="N362" s="29">
        <f t="shared" si="58"/>
        <v>1.3472758215125153E+26</v>
      </c>
      <c r="O362" s="35">
        <f t="shared" si="59"/>
        <v>4366.2235816371831</v>
      </c>
      <c r="P362" s="35">
        <f t="shared" si="60"/>
        <v>43.20052985451234</v>
      </c>
      <c r="Q362" s="35">
        <f t="shared" si="61"/>
        <v>0.16355514548766337</v>
      </c>
      <c r="R362" s="35">
        <f t="shared" si="62"/>
        <v>0.34120262264656537</v>
      </c>
      <c r="S362" s="18">
        <v>4060.2936936639262</v>
      </c>
      <c r="T362" s="35">
        <f t="shared" si="63"/>
        <v>43.042787242916113</v>
      </c>
      <c r="U362" s="35">
        <f t="shared" si="64"/>
        <v>0.32129775708389019</v>
      </c>
      <c r="V362" s="35">
        <f t="shared" si="65"/>
        <v>1.3167378661624809</v>
      </c>
    </row>
    <row r="363" spans="1:22" x14ac:dyDescent="0.25">
      <c r="A363" s="34" t="s">
        <v>383</v>
      </c>
      <c r="B363" s="16">
        <v>0.7</v>
      </c>
      <c r="C363" s="8">
        <v>1E-3</v>
      </c>
      <c r="D363" s="8">
        <v>23.960999999999999</v>
      </c>
      <c r="E363" s="8">
        <v>0.05</v>
      </c>
      <c r="F363" s="8">
        <v>1.054</v>
      </c>
      <c r="G363" s="8">
        <v>3.5000000000000003E-2</v>
      </c>
      <c r="H363" s="8">
        <v>-1.2E-2</v>
      </c>
      <c r="I363" s="8">
        <v>4.2000000000000003E-2</v>
      </c>
      <c r="J363" s="8">
        <v>0.12</v>
      </c>
      <c r="K363" s="38">
        <f t="shared" si="55"/>
        <v>0.247</v>
      </c>
      <c r="L363" s="38">
        <f t="shared" si="56"/>
        <v>43.346497999999997</v>
      </c>
      <c r="M363" s="29">
        <f t="shared" si="57"/>
        <v>4669.8141845185783</v>
      </c>
      <c r="N363" s="29">
        <f t="shared" si="58"/>
        <v>1.3472758215125153E+26</v>
      </c>
      <c r="O363" s="35">
        <f t="shared" si="59"/>
        <v>4366.2235816371831</v>
      </c>
      <c r="P363" s="35">
        <f t="shared" si="60"/>
        <v>43.20052985451234</v>
      </c>
      <c r="Q363" s="35">
        <f t="shared" si="61"/>
        <v>0.14596814548765735</v>
      </c>
      <c r="R363" s="35">
        <f t="shared" si="62"/>
        <v>0.34923862867947192</v>
      </c>
      <c r="S363" s="18">
        <v>4060.2936936639262</v>
      </c>
      <c r="T363" s="35">
        <f t="shared" si="63"/>
        <v>43.042787242916113</v>
      </c>
      <c r="U363" s="35">
        <f t="shared" si="64"/>
        <v>0.30371075708388418</v>
      </c>
      <c r="V363" s="35">
        <f t="shared" si="65"/>
        <v>1.5119117502084298</v>
      </c>
    </row>
    <row r="364" spans="1:22" x14ac:dyDescent="0.25">
      <c r="A364" s="34" t="s">
        <v>384</v>
      </c>
      <c r="B364" s="16">
        <v>0.70099999999999996</v>
      </c>
      <c r="C364" s="8">
        <v>1E-3</v>
      </c>
      <c r="D364" s="8">
        <v>23.73</v>
      </c>
      <c r="E364" s="8">
        <v>4.7E-2</v>
      </c>
      <c r="F364" s="8">
        <v>1.077</v>
      </c>
      <c r="G364" s="8">
        <v>2.9000000000000001E-2</v>
      </c>
      <c r="H364" s="8">
        <v>-5.8000000000000003E-2</v>
      </c>
      <c r="I364" s="8">
        <v>4.3999999999999997E-2</v>
      </c>
      <c r="J364" s="8">
        <v>0.12</v>
      </c>
      <c r="K364" s="38">
        <f t="shared" si="55"/>
        <v>0.24</v>
      </c>
      <c r="L364" s="38">
        <f t="shared" si="56"/>
        <v>43.262858999999999</v>
      </c>
      <c r="M364" s="29">
        <f t="shared" si="57"/>
        <v>4493.3660537810711</v>
      </c>
      <c r="N364" s="29">
        <f t="shared" si="58"/>
        <v>1.3494943358942165E+26</v>
      </c>
      <c r="O364" s="35">
        <f t="shared" si="59"/>
        <v>4373.4132971022091</v>
      </c>
      <c r="P364" s="35">
        <f t="shared" si="60"/>
        <v>43.204102605303504</v>
      </c>
      <c r="Q364" s="35">
        <f t="shared" si="61"/>
        <v>5.8756394696494851E-2</v>
      </c>
      <c r="R364" s="35">
        <f t="shared" si="62"/>
        <v>5.9936005516150838E-2</v>
      </c>
      <c r="S364" s="18">
        <v>4067.3940815090182</v>
      </c>
      <c r="T364" s="35">
        <f t="shared" si="63"/>
        <v>43.046581261744421</v>
      </c>
      <c r="U364" s="35">
        <f t="shared" si="64"/>
        <v>0.21627773825557739</v>
      </c>
      <c r="V364" s="35">
        <f t="shared" si="65"/>
        <v>0.81208437612757023</v>
      </c>
    </row>
    <row r="365" spans="1:22" x14ac:dyDescent="0.25">
      <c r="A365" s="34" t="s">
        <v>385</v>
      </c>
      <c r="B365" s="16">
        <v>0.70099999999999996</v>
      </c>
      <c r="C365" s="8">
        <v>1E-3</v>
      </c>
      <c r="D365" s="8">
        <v>24.103000000000002</v>
      </c>
      <c r="E365" s="8">
        <v>4.9000000000000002E-2</v>
      </c>
      <c r="F365" s="8">
        <v>1.012</v>
      </c>
      <c r="G365" s="8">
        <v>3.4000000000000002E-2</v>
      </c>
      <c r="H365" s="8">
        <v>5.8999999999999997E-2</v>
      </c>
      <c r="I365" s="8">
        <v>4.5999999999999999E-2</v>
      </c>
      <c r="J365" s="8">
        <v>0.12</v>
      </c>
      <c r="K365" s="38">
        <f t="shared" si="55"/>
        <v>0.249</v>
      </c>
      <c r="L365" s="38">
        <f t="shared" si="56"/>
        <v>43.260094000000002</v>
      </c>
      <c r="M365" s="29">
        <f t="shared" si="57"/>
        <v>4487.6481591316551</v>
      </c>
      <c r="N365" s="29">
        <f t="shared" si="58"/>
        <v>1.3494943358942165E+26</v>
      </c>
      <c r="O365" s="35">
        <f t="shared" si="59"/>
        <v>4373.4132971022091</v>
      </c>
      <c r="P365" s="35">
        <f t="shared" si="60"/>
        <v>43.204102605303504</v>
      </c>
      <c r="Q365" s="35">
        <f t="shared" si="61"/>
        <v>5.5991394696498276E-2</v>
      </c>
      <c r="R365" s="35">
        <f t="shared" si="62"/>
        <v>5.0564285738279306E-2</v>
      </c>
      <c r="S365" s="18">
        <v>4067.3940815090182</v>
      </c>
      <c r="T365" s="35">
        <f t="shared" si="63"/>
        <v>43.046581261744421</v>
      </c>
      <c r="U365" s="35">
        <f t="shared" si="64"/>
        <v>0.21351273825558081</v>
      </c>
      <c r="V365" s="35">
        <f t="shared" si="65"/>
        <v>0.73527345361197671</v>
      </c>
    </row>
    <row r="366" spans="1:22" x14ac:dyDescent="0.25">
      <c r="A366" s="34" t="s">
        <v>386</v>
      </c>
      <c r="B366" s="16">
        <v>0.70199999999999996</v>
      </c>
      <c r="C366" s="8">
        <v>1E-3</v>
      </c>
      <c r="D366" s="8">
        <v>23.867000000000001</v>
      </c>
      <c r="E366" s="8">
        <v>4.8000000000000001E-2</v>
      </c>
      <c r="F366" s="8">
        <v>0.99399999999999999</v>
      </c>
      <c r="G366" s="8">
        <v>3.3000000000000002E-2</v>
      </c>
      <c r="H366" s="8">
        <v>-3.0000000000000001E-3</v>
      </c>
      <c r="I366" s="8">
        <v>4.2999999999999997E-2</v>
      </c>
      <c r="J366" s="8">
        <v>0.12</v>
      </c>
      <c r="K366" s="38">
        <f t="shared" si="55"/>
        <v>0.24399999999999999</v>
      </c>
      <c r="L366" s="38">
        <f t="shared" si="56"/>
        <v>43.215508</v>
      </c>
      <c r="M366" s="29">
        <f t="shared" si="57"/>
        <v>4396.4445499493486</v>
      </c>
      <c r="N366" s="29">
        <f t="shared" si="58"/>
        <v>1.3517134708013938E+26</v>
      </c>
      <c r="O366" s="35">
        <f t="shared" si="59"/>
        <v>4380.6050235533485</v>
      </c>
      <c r="P366" s="35">
        <f t="shared" si="60"/>
        <v>43.207670484306433</v>
      </c>
      <c r="Q366" s="35">
        <f t="shared" si="61"/>
        <v>7.8375156935663881E-3</v>
      </c>
      <c r="R366" s="35">
        <f t="shared" si="62"/>
        <v>1.0317564540261259E-3</v>
      </c>
      <c r="S366" s="18">
        <v>4074.4971975524054</v>
      </c>
      <c r="T366" s="35">
        <f t="shared" si="63"/>
        <v>43.05037011715757</v>
      </c>
      <c r="U366" s="35">
        <f t="shared" si="64"/>
        <v>0.16513788284242992</v>
      </c>
      <c r="V366" s="35">
        <f t="shared" si="65"/>
        <v>0.45805093304353856</v>
      </c>
    </row>
    <row r="367" spans="1:22" x14ac:dyDescent="0.25">
      <c r="A367" s="34" t="s">
        <v>387</v>
      </c>
      <c r="B367" s="16">
        <v>0.70299999999999996</v>
      </c>
      <c r="C367" s="8">
        <v>0</v>
      </c>
      <c r="D367" s="8">
        <v>23.92</v>
      </c>
      <c r="E367" s="8">
        <v>4.8000000000000001E-2</v>
      </c>
      <c r="F367" s="8">
        <v>1.0049999999999999</v>
      </c>
      <c r="G367" s="8">
        <v>2.8000000000000001E-2</v>
      </c>
      <c r="H367" s="8">
        <v>-7.8E-2</v>
      </c>
      <c r="I367" s="8">
        <v>4.4999999999999998E-2</v>
      </c>
      <c r="J367" s="8">
        <v>0.12</v>
      </c>
      <c r="K367" s="38">
        <f t="shared" si="55"/>
        <v>0.24099999999999999</v>
      </c>
      <c r="L367" s="38">
        <f t="shared" si="56"/>
        <v>43.504874999999998</v>
      </c>
      <c r="M367" s="29">
        <f t="shared" si="57"/>
        <v>5023.1367319071851</v>
      </c>
      <c r="N367" s="29">
        <f t="shared" si="58"/>
        <v>1.3539332255453411E+26</v>
      </c>
      <c r="O367" s="35">
        <f t="shared" si="59"/>
        <v>4387.7987587586549</v>
      </c>
      <c r="P367" s="35">
        <f t="shared" si="60"/>
        <v>43.211233504763115</v>
      </c>
      <c r="Q367" s="35">
        <f t="shared" si="61"/>
        <v>0.29364149523688354</v>
      </c>
      <c r="R367" s="35">
        <f t="shared" si="62"/>
        <v>1.4845703022494914</v>
      </c>
      <c r="S367" s="18">
        <v>4081.6030385645031</v>
      </c>
      <c r="T367" s="35">
        <f t="shared" si="63"/>
        <v>43.054153822889859</v>
      </c>
      <c r="U367" s="35">
        <f t="shared" si="64"/>
        <v>0.45072117711013959</v>
      </c>
      <c r="V367" s="35">
        <f t="shared" si="65"/>
        <v>3.4976942458902194</v>
      </c>
    </row>
    <row r="368" spans="1:22" x14ac:dyDescent="0.25">
      <c r="A368" s="34" t="s">
        <v>388</v>
      </c>
      <c r="B368" s="16">
        <v>0.71499999999999997</v>
      </c>
      <c r="C368" s="8">
        <v>1E-3</v>
      </c>
      <c r="D368" s="8">
        <v>24.001000000000001</v>
      </c>
      <c r="E368" s="8">
        <v>5.2999999999999999E-2</v>
      </c>
      <c r="F368" s="8">
        <v>0.91100000000000003</v>
      </c>
      <c r="G368" s="8">
        <v>3.2000000000000001E-2</v>
      </c>
      <c r="H368" s="8">
        <v>-4.2999999999999997E-2</v>
      </c>
      <c r="I368" s="8">
        <v>4.9000000000000002E-2</v>
      </c>
      <c r="J368" s="8">
        <v>0.12</v>
      </c>
      <c r="K368" s="38">
        <f t="shared" si="55"/>
        <v>0.254</v>
      </c>
      <c r="L368" s="38">
        <f t="shared" si="56"/>
        <v>43.462507000000002</v>
      </c>
      <c r="M368" s="29">
        <f t="shared" si="57"/>
        <v>4926.0793132736962</v>
      </c>
      <c r="N368" s="29">
        <f t="shared" si="58"/>
        <v>1.3806183804361999E+26</v>
      </c>
      <c r="O368" s="35">
        <f t="shared" si="59"/>
        <v>4474.2794561063638</v>
      </c>
      <c r="P368" s="35">
        <f t="shared" si="60"/>
        <v>43.253615529619637</v>
      </c>
      <c r="Q368" s="35">
        <f t="shared" si="61"/>
        <v>0.20889147038036526</v>
      </c>
      <c r="R368" s="35">
        <f t="shared" si="62"/>
        <v>0.67635387187164453</v>
      </c>
      <c r="S368" s="18">
        <v>4167.0845093021308</v>
      </c>
      <c r="T368" s="35">
        <f t="shared" si="63"/>
        <v>43.099161540625033</v>
      </c>
      <c r="U368" s="35">
        <f t="shared" si="64"/>
        <v>0.36334545937496898</v>
      </c>
      <c r="V368" s="35">
        <f t="shared" si="65"/>
        <v>2.0463128967761057</v>
      </c>
    </row>
    <row r="369" spans="1:22" x14ac:dyDescent="0.25">
      <c r="A369" s="34" t="s">
        <v>389</v>
      </c>
      <c r="B369" s="16">
        <v>0.71799999999999997</v>
      </c>
      <c r="C369" s="8">
        <v>1E-3</v>
      </c>
      <c r="D369" s="8">
        <v>23.753</v>
      </c>
      <c r="E369" s="8">
        <v>4.9000000000000002E-2</v>
      </c>
      <c r="F369" s="8">
        <v>0.92700000000000005</v>
      </c>
      <c r="G369" s="8">
        <v>2.1000000000000001E-2</v>
      </c>
      <c r="H369" s="8">
        <v>-9.6000000000000002E-2</v>
      </c>
      <c r="I369" s="8">
        <v>0.04</v>
      </c>
      <c r="J369" s="8">
        <v>0.12</v>
      </c>
      <c r="K369" s="38">
        <f t="shared" si="55"/>
        <v>0.23</v>
      </c>
      <c r="L369" s="38">
        <f t="shared" si="56"/>
        <v>43.382749000000004</v>
      </c>
      <c r="M369" s="29">
        <f t="shared" si="57"/>
        <v>4748.4273743715876</v>
      </c>
      <c r="N369" s="29">
        <f t="shared" si="58"/>
        <v>1.3873034618972153E+26</v>
      </c>
      <c r="O369" s="35">
        <f t="shared" si="59"/>
        <v>4495.944329663942</v>
      </c>
      <c r="P369" s="35">
        <f t="shared" si="60"/>
        <v>43.26410462504986</v>
      </c>
      <c r="Q369" s="35">
        <f t="shared" si="61"/>
        <v>0.11864437495014357</v>
      </c>
      <c r="R369" s="35">
        <f t="shared" si="62"/>
        <v>0.26609617594159274</v>
      </c>
      <c r="S369" s="18">
        <v>4188.515468661124</v>
      </c>
      <c r="T369" s="35">
        <f t="shared" si="63"/>
        <v>43.11030061839999</v>
      </c>
      <c r="U369" s="35">
        <f t="shared" si="64"/>
        <v>0.2724483816000145</v>
      </c>
      <c r="V369" s="35">
        <f t="shared" si="65"/>
        <v>1.4031780838651629</v>
      </c>
    </row>
    <row r="370" spans="1:22" x14ac:dyDescent="0.25">
      <c r="A370" s="34" t="s">
        <v>390</v>
      </c>
      <c r="B370" s="16">
        <v>0.72</v>
      </c>
      <c r="C370" s="8">
        <v>5.0000000000000001E-3</v>
      </c>
      <c r="D370" s="8">
        <v>23.925999999999998</v>
      </c>
      <c r="E370" s="8">
        <v>5.6000000000000001E-2</v>
      </c>
      <c r="F370" s="8">
        <v>1.034</v>
      </c>
      <c r="G370" s="8">
        <v>4.2000000000000003E-2</v>
      </c>
      <c r="H370" s="8">
        <v>-2.1000000000000001E-2</v>
      </c>
      <c r="I370" s="8">
        <v>5.1999999999999998E-2</v>
      </c>
      <c r="J370" s="8">
        <v>0.12</v>
      </c>
      <c r="K370" s="38">
        <f t="shared" si="55"/>
        <v>0.27</v>
      </c>
      <c r="L370" s="38">
        <f t="shared" si="56"/>
        <v>43.336727999999994</v>
      </c>
      <c r="M370" s="29">
        <f t="shared" si="57"/>
        <v>4648.8507124385005</v>
      </c>
      <c r="N370" s="29">
        <f t="shared" si="58"/>
        <v>1.3917632287676E+26</v>
      </c>
      <c r="O370" s="35">
        <f t="shared" si="59"/>
        <v>4510.3974497802201</v>
      </c>
      <c r="P370" s="35">
        <f t="shared" si="60"/>
        <v>43.271074064867719</v>
      </c>
      <c r="Q370" s="35">
        <f t="shared" si="61"/>
        <v>6.565393513227491E-2</v>
      </c>
      <c r="R370" s="35">
        <f t="shared" si="62"/>
        <v>5.912810971677588E-2</v>
      </c>
      <c r="S370" s="18">
        <v>4202.8161499161697</v>
      </c>
      <c r="T370" s="35">
        <f t="shared" si="63"/>
        <v>43.117701962133694</v>
      </c>
      <c r="U370" s="35">
        <f t="shared" si="64"/>
        <v>0.21902603786629982</v>
      </c>
      <c r="V370" s="35">
        <f t="shared" si="65"/>
        <v>0.65805768536913301</v>
      </c>
    </row>
    <row r="371" spans="1:22" x14ac:dyDescent="0.25">
      <c r="A371" s="34" t="s">
        <v>391</v>
      </c>
      <c r="B371" s="16">
        <v>0.72099999999999997</v>
      </c>
      <c r="C371" s="8">
        <v>1.0999999999999999E-2</v>
      </c>
      <c r="D371" s="8">
        <v>23.904</v>
      </c>
      <c r="E371" s="8">
        <v>0.05</v>
      </c>
      <c r="F371" s="8">
        <v>1.03</v>
      </c>
      <c r="G371" s="8">
        <v>4.3999999999999997E-2</v>
      </c>
      <c r="H371" s="8">
        <v>-4.0000000000000001E-3</v>
      </c>
      <c r="I371" s="8">
        <v>5.1999999999999998E-2</v>
      </c>
      <c r="J371" s="8">
        <v>0.12</v>
      </c>
      <c r="K371" s="38">
        <f t="shared" si="55"/>
        <v>0.26600000000000001</v>
      </c>
      <c r="L371" s="38">
        <f t="shared" si="56"/>
        <v>43.260930000000002</v>
      </c>
      <c r="M371" s="29">
        <f t="shared" si="57"/>
        <v>4489.3762014129725</v>
      </c>
      <c r="N371" s="29">
        <f t="shared" si="58"/>
        <v>1.3939940239567789E+26</v>
      </c>
      <c r="O371" s="35">
        <f t="shared" si="59"/>
        <v>4517.6269646317978</v>
      </c>
      <c r="P371" s="35">
        <f t="shared" si="60"/>
        <v>43.274551834680778</v>
      </c>
      <c r="Q371" s="35">
        <f t="shared" si="61"/>
        <v>-1.3621834680776601E-2</v>
      </c>
      <c r="R371" s="35">
        <f t="shared" si="62"/>
        <v>2.6224543511562007E-3</v>
      </c>
      <c r="S371" s="18">
        <v>4209.9704936044254</v>
      </c>
      <c r="T371" s="35">
        <f t="shared" si="63"/>
        <v>43.121395260045702</v>
      </c>
      <c r="U371" s="35">
        <f t="shared" si="64"/>
        <v>0.13953473995429988</v>
      </c>
      <c r="V371" s="35">
        <f t="shared" si="65"/>
        <v>0.27517021389160057</v>
      </c>
    </row>
    <row r="372" spans="1:22" x14ac:dyDescent="0.25">
      <c r="A372" s="34" t="s">
        <v>392</v>
      </c>
      <c r="B372" s="16">
        <v>0.72199999999999998</v>
      </c>
      <c r="C372" s="8">
        <v>1E-3</v>
      </c>
      <c r="D372" s="8">
        <v>24.259</v>
      </c>
      <c r="E372" s="8">
        <v>5.6000000000000001E-2</v>
      </c>
      <c r="F372" s="8">
        <v>0.89600000000000002</v>
      </c>
      <c r="G372" s="8">
        <v>3.3000000000000002E-2</v>
      </c>
      <c r="H372" s="8">
        <v>-1.4E-2</v>
      </c>
      <c r="I372" s="8">
        <v>0.05</v>
      </c>
      <c r="J372" s="8">
        <v>0.12</v>
      </c>
      <c r="K372" s="38">
        <f t="shared" si="55"/>
        <v>0.25900000000000001</v>
      </c>
      <c r="L372" s="38">
        <f t="shared" si="56"/>
        <v>43.627532000000002</v>
      </c>
      <c r="M372" s="29">
        <f t="shared" si="57"/>
        <v>5315.0383197885913</v>
      </c>
      <c r="N372" s="29">
        <f t="shared" si="58"/>
        <v>1.396225426088729E+26</v>
      </c>
      <c r="O372" s="35">
        <f t="shared" si="59"/>
        <v>4524.8584464509386</v>
      </c>
      <c r="P372" s="35">
        <f t="shared" si="60"/>
        <v>43.278024987444418</v>
      </c>
      <c r="Q372" s="35">
        <f t="shared" si="61"/>
        <v>0.34950701255558414</v>
      </c>
      <c r="R372" s="35">
        <f t="shared" si="62"/>
        <v>1.8210097020844835</v>
      </c>
      <c r="S372" s="18">
        <v>4217.1275018135784</v>
      </c>
      <c r="T372" s="35">
        <f t="shared" si="63"/>
        <v>43.125083658971604</v>
      </c>
      <c r="U372" s="35">
        <f t="shared" si="64"/>
        <v>0.50244834102839775</v>
      </c>
      <c r="V372" s="35">
        <f t="shared" si="65"/>
        <v>3.7634253425290183</v>
      </c>
    </row>
    <row r="373" spans="1:22" x14ac:dyDescent="0.25">
      <c r="A373" s="34" t="s">
        <v>393</v>
      </c>
      <c r="B373" s="16">
        <v>0.72499999999999998</v>
      </c>
      <c r="C373" s="8">
        <v>0</v>
      </c>
      <c r="D373" s="8">
        <v>23.898</v>
      </c>
      <c r="E373" s="8">
        <v>5.1999999999999998E-2</v>
      </c>
      <c r="F373" s="8">
        <v>1.0960000000000001</v>
      </c>
      <c r="G373" s="8">
        <v>6.2E-2</v>
      </c>
      <c r="H373" s="8">
        <v>-4.3999999999999997E-2</v>
      </c>
      <c r="I373" s="8">
        <v>4.7E-2</v>
      </c>
      <c r="J373" s="8">
        <v>0.12</v>
      </c>
      <c r="K373" s="38">
        <f t="shared" si="55"/>
        <v>0.28099999999999997</v>
      </c>
      <c r="L373" s="38">
        <f t="shared" si="56"/>
        <v>43.389831999999998</v>
      </c>
      <c r="M373" s="29">
        <f t="shared" si="57"/>
        <v>4763.9412826221014</v>
      </c>
      <c r="N373" s="29">
        <f t="shared" si="58"/>
        <v>1.4029232674592681E+26</v>
      </c>
      <c r="O373" s="35">
        <f t="shared" si="59"/>
        <v>4546.5646720590557</v>
      </c>
      <c r="P373" s="35">
        <f t="shared" si="60"/>
        <v>43.288416865182747</v>
      </c>
      <c r="Q373" s="35">
        <f t="shared" si="61"/>
        <v>0.10141513481725184</v>
      </c>
      <c r="R373" s="35">
        <f t="shared" si="62"/>
        <v>0.1302545506009469</v>
      </c>
      <c r="S373" s="18">
        <v>4238.6144822522692</v>
      </c>
      <c r="T373" s="35">
        <f t="shared" si="63"/>
        <v>43.136119588332505</v>
      </c>
      <c r="U373" s="35">
        <f t="shared" si="64"/>
        <v>0.25371241166749314</v>
      </c>
      <c r="V373" s="35">
        <f t="shared" si="65"/>
        <v>0.81521241922133103</v>
      </c>
    </row>
    <row r="374" spans="1:22" x14ac:dyDescent="0.25">
      <c r="A374" s="34" t="s">
        <v>394</v>
      </c>
      <c r="B374" s="16">
        <v>0.72699999999999998</v>
      </c>
      <c r="C374" s="8">
        <v>0.02</v>
      </c>
      <c r="D374" s="8">
        <v>23.959</v>
      </c>
      <c r="E374" s="8">
        <v>5.6000000000000001E-2</v>
      </c>
      <c r="F374" s="8">
        <v>0.92300000000000004</v>
      </c>
      <c r="G374" s="8">
        <v>0.04</v>
      </c>
      <c r="H374" s="8">
        <v>-5.7000000000000002E-2</v>
      </c>
      <c r="I374" s="8">
        <v>5.1999999999999998E-2</v>
      </c>
      <c r="J374" s="8">
        <v>0.12</v>
      </c>
      <c r="K374" s="38">
        <f t="shared" si="55"/>
        <v>0.26800000000000002</v>
      </c>
      <c r="L374" s="38">
        <f t="shared" si="56"/>
        <v>43.466090999999999</v>
      </c>
      <c r="M374" s="29">
        <f t="shared" si="57"/>
        <v>4934.21648599744</v>
      </c>
      <c r="N374" s="29">
        <f t="shared" si="58"/>
        <v>1.4073915175204152E+26</v>
      </c>
      <c r="O374" s="35">
        <f t="shared" si="59"/>
        <v>4561.0452843242792</v>
      </c>
      <c r="P374" s="35">
        <f t="shared" si="60"/>
        <v>43.295321920768956</v>
      </c>
      <c r="Q374" s="35">
        <f t="shared" si="61"/>
        <v>0.17076907923104301</v>
      </c>
      <c r="R374" s="35">
        <f t="shared" si="62"/>
        <v>0.40602136363079527</v>
      </c>
      <c r="S374" s="18">
        <v>4252.9524011558733</v>
      </c>
      <c r="T374" s="35">
        <f t="shared" si="63"/>
        <v>43.143452610688584</v>
      </c>
      <c r="U374" s="35">
        <f t="shared" si="64"/>
        <v>0.32263838931141464</v>
      </c>
      <c r="V374" s="35">
        <f t="shared" si="65"/>
        <v>1.4493140211832247</v>
      </c>
    </row>
    <row r="375" spans="1:22" x14ac:dyDescent="0.25">
      <c r="A375" s="34" t="s">
        <v>395</v>
      </c>
      <c r="B375" s="16">
        <v>0.73199999999999998</v>
      </c>
      <c r="C375" s="8">
        <v>1E-3</v>
      </c>
      <c r="D375" s="8">
        <v>24.219000000000001</v>
      </c>
      <c r="E375" s="8">
        <v>6.3E-2</v>
      </c>
      <c r="F375" s="8">
        <v>0.84899999999999998</v>
      </c>
      <c r="G375" s="8">
        <v>4.2999999999999997E-2</v>
      </c>
      <c r="H375" s="8">
        <v>-9.0999999999999998E-2</v>
      </c>
      <c r="I375" s="8">
        <v>6.4000000000000001E-2</v>
      </c>
      <c r="J375" s="8">
        <v>0.12</v>
      </c>
      <c r="K375" s="38">
        <f t="shared" si="55"/>
        <v>0.28999999999999998</v>
      </c>
      <c r="L375" s="38">
        <f t="shared" si="56"/>
        <v>43.821633000000006</v>
      </c>
      <c r="M375" s="29">
        <f t="shared" si="57"/>
        <v>5812.0133073493835</v>
      </c>
      <c r="N375" s="29">
        <f t="shared" si="58"/>
        <v>1.4185726826346519E+26</v>
      </c>
      <c r="O375" s="35">
        <f t="shared" si="59"/>
        <v>4597.2809726758687</v>
      </c>
      <c r="P375" s="35">
        <f t="shared" si="60"/>
        <v>43.312505236995747</v>
      </c>
      <c r="Q375" s="35">
        <f t="shared" si="61"/>
        <v>0.50912776300425833</v>
      </c>
      <c r="R375" s="35">
        <f t="shared" si="62"/>
        <v>3.0821769210668286</v>
      </c>
      <c r="S375" s="18">
        <v>4288.8434454578983</v>
      </c>
      <c r="T375" s="35">
        <f t="shared" si="63"/>
        <v>43.161700967946757</v>
      </c>
      <c r="U375" s="35">
        <f t="shared" si="64"/>
        <v>0.65993203205324846</v>
      </c>
      <c r="V375" s="35">
        <f t="shared" si="65"/>
        <v>5.1784814141489868</v>
      </c>
    </row>
    <row r="376" spans="1:22" x14ac:dyDescent="0.25">
      <c r="A376" s="34" t="s">
        <v>396</v>
      </c>
      <c r="B376" s="16">
        <v>0.73199999999999998</v>
      </c>
      <c r="C376" s="8">
        <v>1E-3</v>
      </c>
      <c r="D376" s="8">
        <v>23.904</v>
      </c>
      <c r="E376" s="8">
        <v>5.1999999999999998E-2</v>
      </c>
      <c r="F376" s="8">
        <v>1.0660000000000001</v>
      </c>
      <c r="G376" s="8">
        <v>2.9000000000000001E-2</v>
      </c>
      <c r="H376" s="8">
        <v>5.0000000000000001E-3</v>
      </c>
      <c r="I376" s="8">
        <v>4.9000000000000002E-2</v>
      </c>
      <c r="J376" s="8">
        <v>0.12</v>
      </c>
      <c r="K376" s="38">
        <f t="shared" si="55"/>
        <v>0.25</v>
      </c>
      <c r="L376" s="38">
        <f t="shared" si="56"/>
        <v>43.238051999999996</v>
      </c>
      <c r="M376" s="29">
        <f t="shared" si="57"/>
        <v>4442.3257333001475</v>
      </c>
      <c r="N376" s="29">
        <f t="shared" si="58"/>
        <v>1.4185726826346519E+26</v>
      </c>
      <c r="O376" s="35">
        <f t="shared" si="59"/>
        <v>4597.2809726758687</v>
      </c>
      <c r="P376" s="35">
        <f t="shared" si="60"/>
        <v>43.312505236995747</v>
      </c>
      <c r="Q376" s="35">
        <f t="shared" si="61"/>
        <v>-7.4453236995751126E-2</v>
      </c>
      <c r="R376" s="35">
        <f t="shared" si="62"/>
        <v>8.869255198632775E-2</v>
      </c>
      <c r="S376" s="18">
        <v>4288.8434454578983</v>
      </c>
      <c r="T376" s="35">
        <f t="shared" si="63"/>
        <v>43.161700967946757</v>
      </c>
      <c r="U376" s="35">
        <f t="shared" si="64"/>
        <v>7.635103205323901E-2</v>
      </c>
      <c r="V376" s="35">
        <f t="shared" si="65"/>
        <v>9.327168152951569E-2</v>
      </c>
    </row>
    <row r="377" spans="1:22" x14ac:dyDescent="0.25">
      <c r="A377" s="34" t="s">
        <v>397</v>
      </c>
      <c r="B377" s="16">
        <v>0.73299999999999998</v>
      </c>
      <c r="C377" s="8">
        <v>1E-3</v>
      </c>
      <c r="D377" s="8">
        <v>23.997</v>
      </c>
      <c r="E377" s="8">
        <v>0.05</v>
      </c>
      <c r="F377" s="8">
        <v>1.0840000000000001</v>
      </c>
      <c r="G377" s="8">
        <v>3.4000000000000002E-2</v>
      </c>
      <c r="H377" s="8">
        <v>-3.3000000000000002E-2</v>
      </c>
      <c r="I377" s="8">
        <v>4.4999999999999998E-2</v>
      </c>
      <c r="J377" s="8">
        <v>0.12</v>
      </c>
      <c r="K377" s="38">
        <f t="shared" si="55"/>
        <v>0.249</v>
      </c>
      <c r="L377" s="38">
        <f t="shared" si="56"/>
        <v>43.452638</v>
      </c>
      <c r="M377" s="29">
        <f t="shared" si="57"/>
        <v>4903.7418574246822</v>
      </c>
      <c r="N377" s="29">
        <f t="shared" si="58"/>
        <v>1.420810717219032E+26</v>
      </c>
      <c r="O377" s="35">
        <f t="shared" si="59"/>
        <v>4604.5339488094933</v>
      </c>
      <c r="P377" s="35">
        <f t="shared" si="60"/>
        <v>43.315928396656545</v>
      </c>
      <c r="Q377" s="35">
        <f t="shared" si="61"/>
        <v>0.13670960334345494</v>
      </c>
      <c r="R377" s="35">
        <f t="shared" si="62"/>
        <v>0.30143893882880574</v>
      </c>
      <c r="S377" s="18">
        <v>4296.029557604269</v>
      </c>
      <c r="T377" s="35">
        <f t="shared" si="63"/>
        <v>43.165336303704549</v>
      </c>
      <c r="U377" s="35">
        <f t="shared" si="64"/>
        <v>0.28730169629545088</v>
      </c>
      <c r="V377" s="35">
        <f t="shared" si="65"/>
        <v>1.3313053772397785</v>
      </c>
    </row>
    <row r="378" spans="1:22" x14ac:dyDescent="0.25">
      <c r="A378" s="34" t="s">
        <v>398</v>
      </c>
      <c r="B378" s="16">
        <v>0.73399999999999999</v>
      </c>
      <c r="C378" s="8">
        <v>1E-3</v>
      </c>
      <c r="D378" s="8">
        <v>24.385000000000002</v>
      </c>
      <c r="E378" s="8">
        <v>6.5000000000000002E-2</v>
      </c>
      <c r="F378" s="8">
        <v>1.042</v>
      </c>
      <c r="G378" s="8">
        <v>5.0999999999999997E-2</v>
      </c>
      <c r="H378" s="8">
        <v>9.2999999999999999E-2</v>
      </c>
      <c r="I378" s="8">
        <v>5.7000000000000002E-2</v>
      </c>
      <c r="J378" s="8">
        <v>0.12</v>
      </c>
      <c r="K378" s="38">
        <f t="shared" si="55"/>
        <v>0.29299999999999998</v>
      </c>
      <c r="L378" s="38">
        <f t="shared" si="56"/>
        <v>43.440083999999999</v>
      </c>
      <c r="M378" s="29">
        <f t="shared" si="57"/>
        <v>4875.4734974216835</v>
      </c>
      <c r="N378" s="29">
        <f t="shared" si="58"/>
        <v>1.4230493507863795E+26</v>
      </c>
      <c r="O378" s="35">
        <f t="shared" si="59"/>
        <v>4611.7888661147144</v>
      </c>
      <c r="P378" s="35">
        <f t="shared" si="60"/>
        <v>43.319347082466912</v>
      </c>
      <c r="Q378" s="35">
        <f t="shared" si="61"/>
        <v>0.1207369175330868</v>
      </c>
      <c r="R378" s="35">
        <f t="shared" si="62"/>
        <v>0.1698028311965358</v>
      </c>
      <c r="S378" s="18">
        <v>4303.2182969767673</v>
      </c>
      <c r="T378" s="35">
        <f t="shared" si="63"/>
        <v>43.168966889334122</v>
      </c>
      <c r="U378" s="35">
        <f t="shared" si="64"/>
        <v>0.27111711066587674</v>
      </c>
      <c r="V378" s="35">
        <f t="shared" si="65"/>
        <v>0.85620668494464991</v>
      </c>
    </row>
    <row r="379" spans="1:22" x14ac:dyDescent="0.25">
      <c r="A379" s="34" t="s">
        <v>399</v>
      </c>
      <c r="B379" s="16">
        <v>0.73499999999999999</v>
      </c>
      <c r="C379" s="8">
        <v>1E-3</v>
      </c>
      <c r="D379" s="8">
        <v>23.998000000000001</v>
      </c>
      <c r="E379" s="8">
        <v>4.9000000000000002E-2</v>
      </c>
      <c r="F379" s="8">
        <v>0.86499999999999999</v>
      </c>
      <c r="G379" s="8">
        <v>2.5000000000000001E-2</v>
      </c>
      <c r="H379" s="8">
        <v>-6.4000000000000001E-2</v>
      </c>
      <c r="I379" s="8">
        <v>4.2000000000000003E-2</v>
      </c>
      <c r="J379" s="8">
        <v>0.12</v>
      </c>
      <c r="K379" s="38">
        <f t="shared" si="55"/>
        <v>0.23600000000000002</v>
      </c>
      <c r="L379" s="38">
        <f t="shared" si="56"/>
        <v>43.518475000000002</v>
      </c>
      <c r="M379" s="29">
        <f t="shared" si="57"/>
        <v>5054.6955189302398</v>
      </c>
      <c r="N379" s="29">
        <f t="shared" si="58"/>
        <v>1.4252885826796745E+26</v>
      </c>
      <c r="O379" s="35">
        <f t="shared" si="59"/>
        <v>4619.045722462276</v>
      </c>
      <c r="P379" s="35">
        <f t="shared" si="60"/>
        <v>43.322761306052811</v>
      </c>
      <c r="Q379" s="35">
        <f t="shared" si="61"/>
        <v>0.19571369394719085</v>
      </c>
      <c r="R379" s="35">
        <f t="shared" si="62"/>
        <v>0.68773071672031527</v>
      </c>
      <c r="S379" s="18">
        <v>4310.4096604979168</v>
      </c>
      <c r="T379" s="35">
        <f t="shared" si="63"/>
        <v>43.172592736927797</v>
      </c>
      <c r="U379" s="35">
        <f t="shared" si="64"/>
        <v>0.34588226307220538</v>
      </c>
      <c r="V379" s="35">
        <f t="shared" si="65"/>
        <v>2.1479915955894544</v>
      </c>
    </row>
    <row r="380" spans="1:22" x14ac:dyDescent="0.25">
      <c r="A380" s="34" t="s">
        <v>400</v>
      </c>
      <c r="B380" s="16">
        <v>0.73599999999999999</v>
      </c>
      <c r="C380" s="8">
        <v>1E-3</v>
      </c>
      <c r="D380" s="8">
        <v>23.716999999999999</v>
      </c>
      <c r="E380" s="8">
        <v>4.7E-2</v>
      </c>
      <c r="F380" s="8">
        <v>1.0820000000000001</v>
      </c>
      <c r="G380" s="8">
        <v>2.1999999999999999E-2</v>
      </c>
      <c r="H380" s="8">
        <v>-7.9000000000000001E-2</v>
      </c>
      <c r="I380" s="8">
        <v>3.7999999999999999E-2</v>
      </c>
      <c r="J380" s="8">
        <v>0.12</v>
      </c>
      <c r="K380" s="38">
        <f t="shared" si="55"/>
        <v>0.22700000000000001</v>
      </c>
      <c r="L380" s="38">
        <f t="shared" si="56"/>
        <v>43.316323999999994</v>
      </c>
      <c r="M380" s="29">
        <f t="shared" si="57"/>
        <v>4605.3728887637444</v>
      </c>
      <c r="N380" s="29">
        <f t="shared" si="58"/>
        <v>1.4275284122428585E+26</v>
      </c>
      <c r="O380" s="35">
        <f t="shared" si="59"/>
        <v>4626.3045157260358</v>
      </c>
      <c r="P380" s="35">
        <f t="shared" si="60"/>
        <v>43.326171078994086</v>
      </c>
      <c r="Q380" s="35">
        <f t="shared" si="61"/>
        <v>-9.8470789940918735E-3</v>
      </c>
      <c r="R380" s="35">
        <f t="shared" si="62"/>
        <v>1.8817552196993036E-3</v>
      </c>
      <c r="S380" s="18">
        <v>4317.6036450949005</v>
      </c>
      <c r="T380" s="35">
        <f t="shared" si="63"/>
        <v>43.176213858531028</v>
      </c>
      <c r="U380" s="35">
        <f t="shared" si="64"/>
        <v>0.14011014146896628</v>
      </c>
      <c r="V380" s="35">
        <f t="shared" si="65"/>
        <v>0.38096706209035186</v>
      </c>
    </row>
    <row r="381" spans="1:22" x14ac:dyDescent="0.25">
      <c r="A381" s="34" t="s">
        <v>401</v>
      </c>
      <c r="B381" s="16">
        <v>0.73699999999999999</v>
      </c>
      <c r="C381" s="8">
        <v>1E-3</v>
      </c>
      <c r="D381" s="8">
        <v>24.315999999999999</v>
      </c>
      <c r="E381" s="8">
        <v>5.1999999999999998E-2</v>
      </c>
      <c r="F381" s="8">
        <v>0.85399999999999998</v>
      </c>
      <c r="G381" s="8">
        <v>3.2000000000000001E-2</v>
      </c>
      <c r="H381" s="8">
        <v>-3.7999999999999999E-2</v>
      </c>
      <c r="I381" s="8">
        <v>5.0999999999999997E-2</v>
      </c>
      <c r="J381" s="8">
        <v>0.12</v>
      </c>
      <c r="K381" s="38">
        <f t="shared" si="55"/>
        <v>0.255</v>
      </c>
      <c r="L381" s="38">
        <f t="shared" si="56"/>
        <v>43.753478000000001</v>
      </c>
      <c r="M381" s="29">
        <f t="shared" si="57"/>
        <v>5632.4273671951796</v>
      </c>
      <c r="N381" s="29">
        <f t="shared" si="58"/>
        <v>1.4297688388208307E+26</v>
      </c>
      <c r="O381" s="35">
        <f t="shared" si="59"/>
        <v>4633.5652437829585</v>
      </c>
      <c r="P381" s="35">
        <f t="shared" si="60"/>
        <v>43.32957641282475</v>
      </c>
      <c r="Q381" s="35">
        <f t="shared" si="61"/>
        <v>0.42390158717525139</v>
      </c>
      <c r="R381" s="35">
        <f t="shared" si="62"/>
        <v>2.7634379947665861</v>
      </c>
      <c r="S381" s="18">
        <v>4324.8002476995389</v>
      </c>
      <c r="T381" s="35">
        <f t="shared" si="63"/>
        <v>43.179830266142631</v>
      </c>
      <c r="U381" s="35">
        <f t="shared" si="64"/>
        <v>0.57364773385737067</v>
      </c>
      <c r="V381" s="35">
        <f t="shared" si="65"/>
        <v>5.0606954642014106</v>
      </c>
    </row>
    <row r="382" spans="1:22" x14ac:dyDescent="0.25">
      <c r="A382" s="34" t="s">
        <v>402</v>
      </c>
      <c r="B382" s="16">
        <v>0.74</v>
      </c>
      <c r="C382" s="8">
        <v>1E-3</v>
      </c>
      <c r="D382" s="8">
        <v>24.129000000000001</v>
      </c>
      <c r="E382" s="8">
        <v>6.3E-2</v>
      </c>
      <c r="F382" s="8">
        <v>1.04</v>
      </c>
      <c r="G382" s="8">
        <v>4.4999999999999998E-2</v>
      </c>
      <c r="H382" s="8">
        <v>-0.13100000000000001</v>
      </c>
      <c r="I382" s="8">
        <v>5.2999999999999999E-2</v>
      </c>
      <c r="J382" s="8">
        <v>0.12</v>
      </c>
      <c r="K382" s="38">
        <f t="shared" si="55"/>
        <v>0.28100000000000003</v>
      </c>
      <c r="L382" s="38">
        <f t="shared" si="56"/>
        <v>43.884910000000005</v>
      </c>
      <c r="M382" s="29">
        <f t="shared" si="57"/>
        <v>5983.8679348916594</v>
      </c>
      <c r="N382" s="29">
        <f t="shared" si="58"/>
        <v>1.4364936941068176E+26</v>
      </c>
      <c r="O382" s="35">
        <f t="shared" si="59"/>
        <v>4655.3590155288284</v>
      </c>
      <c r="P382" s="35">
        <f t="shared" si="60"/>
        <v>43.33976589431056</v>
      </c>
      <c r="Q382" s="35">
        <f t="shared" si="61"/>
        <v>0.54514410568944527</v>
      </c>
      <c r="R382" s="35">
        <f t="shared" si="62"/>
        <v>3.763656690872013</v>
      </c>
      <c r="S382" s="18">
        <v>4346.4057329472153</v>
      </c>
      <c r="T382" s="35">
        <f t="shared" si="63"/>
        <v>43.190651324321337</v>
      </c>
      <c r="U382" s="35">
        <f t="shared" si="64"/>
        <v>0.69425867567866817</v>
      </c>
      <c r="V382" s="35">
        <f t="shared" si="65"/>
        <v>6.1042173826964961</v>
      </c>
    </row>
    <row r="383" spans="1:22" x14ac:dyDescent="0.25">
      <c r="A383" s="34" t="s">
        <v>403</v>
      </c>
      <c r="B383" s="16">
        <v>0.74199999999999999</v>
      </c>
      <c r="C383" s="8">
        <v>1E-3</v>
      </c>
      <c r="D383" s="8">
        <v>24.116</v>
      </c>
      <c r="E383" s="8">
        <v>5.1999999999999998E-2</v>
      </c>
      <c r="F383" s="8">
        <v>0.95599999999999996</v>
      </c>
      <c r="G383" s="8">
        <v>0.04</v>
      </c>
      <c r="H383" s="8">
        <v>-0.03</v>
      </c>
      <c r="I383" s="8">
        <v>5.1999999999999998E-2</v>
      </c>
      <c r="J383" s="8">
        <v>0.12</v>
      </c>
      <c r="K383" s="38">
        <f t="shared" si="55"/>
        <v>0.26400000000000001</v>
      </c>
      <c r="L383" s="38">
        <f t="shared" si="56"/>
        <v>43.543431999999996</v>
      </c>
      <c r="M383" s="29">
        <f t="shared" si="57"/>
        <v>5113.1248822027446</v>
      </c>
      <c r="N383" s="29">
        <f t="shared" si="58"/>
        <v>1.4409799040708978E+26</v>
      </c>
      <c r="O383" s="35">
        <f t="shared" si="59"/>
        <v>4669.8978318755453</v>
      </c>
      <c r="P383" s="35">
        <f t="shared" si="60"/>
        <v>43.346536895830511</v>
      </c>
      <c r="Q383" s="35">
        <f t="shared" si="61"/>
        <v>0.19689510416948508</v>
      </c>
      <c r="R383" s="35">
        <f t="shared" si="62"/>
        <v>0.55623969877629098</v>
      </c>
      <c r="S383" s="18">
        <v>4360.8224237759277</v>
      </c>
      <c r="T383" s="35">
        <f t="shared" si="63"/>
        <v>43.197842011050675</v>
      </c>
      <c r="U383" s="35">
        <f t="shared" si="64"/>
        <v>0.34558998894932103</v>
      </c>
      <c r="V383" s="35">
        <f t="shared" si="65"/>
        <v>1.7136197265552087</v>
      </c>
    </row>
    <row r="384" spans="1:22" x14ac:dyDescent="0.25">
      <c r="A384" s="34" t="s">
        <v>404</v>
      </c>
      <c r="B384" s="16">
        <v>0.74399999999999999</v>
      </c>
      <c r="C384" s="8">
        <v>1E-3</v>
      </c>
      <c r="D384" s="8">
        <v>23.864999999999998</v>
      </c>
      <c r="E384" s="8">
        <v>0.05</v>
      </c>
      <c r="F384" s="8">
        <v>1.0569999999999999</v>
      </c>
      <c r="G384" s="8">
        <v>3.5000000000000003E-2</v>
      </c>
      <c r="H384" s="8">
        <v>-0.02</v>
      </c>
      <c r="I384" s="8">
        <v>4.2000000000000003E-2</v>
      </c>
      <c r="J384" s="8">
        <v>0.12</v>
      </c>
      <c r="K384" s="38">
        <f t="shared" si="55"/>
        <v>0.247</v>
      </c>
      <c r="L384" s="38">
        <f t="shared" si="56"/>
        <v>43.275979</v>
      </c>
      <c r="M384" s="29">
        <f t="shared" si="57"/>
        <v>4520.5970782239547</v>
      </c>
      <c r="N384" s="29">
        <f t="shared" si="58"/>
        <v>1.4454684864528172E+26</v>
      </c>
      <c r="O384" s="35">
        <f t="shared" si="59"/>
        <v>4684.4443367048652</v>
      </c>
      <c r="P384" s="35">
        <f t="shared" si="60"/>
        <v>43.353290413883187</v>
      </c>
      <c r="Q384" s="35">
        <f t="shared" si="61"/>
        <v>-7.7311413883187186E-2</v>
      </c>
      <c r="R384" s="35">
        <f t="shared" si="62"/>
        <v>9.7970048953719427E-2</v>
      </c>
      <c r="S384" s="18">
        <v>4375.2495133925622</v>
      </c>
      <c r="T384" s="35">
        <f t="shared" si="63"/>
        <v>43.20501412587695</v>
      </c>
      <c r="U384" s="35">
        <f t="shared" si="64"/>
        <v>7.0964874123049526E-2</v>
      </c>
      <c r="V384" s="35">
        <f t="shared" si="65"/>
        <v>8.2545417222053538E-2</v>
      </c>
    </row>
    <row r="385" spans="1:22" x14ac:dyDescent="0.25">
      <c r="A385" s="34" t="s">
        <v>405</v>
      </c>
      <c r="B385" s="16">
        <v>0.745</v>
      </c>
      <c r="C385" s="8">
        <v>1E-3</v>
      </c>
      <c r="D385" s="8">
        <v>23.939</v>
      </c>
      <c r="E385" s="8">
        <v>4.9000000000000002E-2</v>
      </c>
      <c r="F385" s="8">
        <v>1.1020000000000001</v>
      </c>
      <c r="G385" s="8">
        <v>2.5000000000000001E-2</v>
      </c>
      <c r="H385" s="8">
        <v>-2.5000000000000001E-2</v>
      </c>
      <c r="I385" s="8">
        <v>4.1000000000000002E-2</v>
      </c>
      <c r="J385" s="8">
        <v>0.12</v>
      </c>
      <c r="K385" s="38">
        <f t="shared" si="55"/>
        <v>0.23500000000000001</v>
      </c>
      <c r="L385" s="38">
        <f t="shared" si="56"/>
        <v>43.372244000000002</v>
      </c>
      <c r="M385" s="29">
        <f t="shared" si="57"/>
        <v>4725.5112344867548</v>
      </c>
      <c r="N385" s="29">
        <f t="shared" si="58"/>
        <v>1.4477136656799626E+26</v>
      </c>
      <c r="O385" s="35">
        <f t="shared" si="59"/>
        <v>4691.7204670488054</v>
      </c>
      <c r="P385" s="35">
        <f t="shared" si="60"/>
        <v>43.356660644631525</v>
      </c>
      <c r="Q385" s="35">
        <f t="shared" si="61"/>
        <v>1.5583355368477214E-2</v>
      </c>
      <c r="R385" s="35">
        <f t="shared" si="62"/>
        <v>4.3973013044861491E-3</v>
      </c>
      <c r="S385" s="18">
        <v>4382.4669501596591</v>
      </c>
      <c r="T385" s="35">
        <f t="shared" si="63"/>
        <v>43.208593247996404</v>
      </c>
      <c r="U385" s="35">
        <f t="shared" si="64"/>
        <v>0.16365075200359769</v>
      </c>
      <c r="V385" s="35">
        <f t="shared" si="65"/>
        <v>0.48495370993830744</v>
      </c>
    </row>
    <row r="386" spans="1:22" x14ac:dyDescent="0.25">
      <c r="A386" s="34" t="s">
        <v>406</v>
      </c>
      <c r="B386" s="16">
        <v>0.75</v>
      </c>
      <c r="C386" s="8">
        <v>0.01</v>
      </c>
      <c r="D386" s="8">
        <v>23.855</v>
      </c>
      <c r="E386" s="8">
        <v>5.6000000000000001E-2</v>
      </c>
      <c r="F386" s="8">
        <v>1.075</v>
      </c>
      <c r="G386" s="8">
        <v>3.2000000000000001E-2</v>
      </c>
      <c r="H386" s="8">
        <v>-0.03</v>
      </c>
      <c r="I386" s="8">
        <v>4.9000000000000002E-2</v>
      </c>
      <c r="J386" s="8">
        <v>0.12</v>
      </c>
      <c r="K386" s="38">
        <f t="shared" si="55"/>
        <v>0.25700000000000001</v>
      </c>
      <c r="L386" s="38">
        <f t="shared" si="56"/>
        <v>43.299925000000002</v>
      </c>
      <c r="M386" s="29">
        <f t="shared" si="57"/>
        <v>4570.7240262073528</v>
      </c>
      <c r="N386" s="29">
        <f t="shared" si="58"/>
        <v>1.4589484163437667E+26</v>
      </c>
      <c r="O386" s="35">
        <f t="shared" si="59"/>
        <v>4728.1298143397298</v>
      </c>
      <c r="P386" s="35">
        <f t="shared" si="60"/>
        <v>43.373446959583276</v>
      </c>
      <c r="Q386" s="35">
        <f t="shared" si="61"/>
        <v>-7.3521959583274565E-2</v>
      </c>
      <c r="R386" s="35">
        <f t="shared" si="62"/>
        <v>8.1840429695599612E-2</v>
      </c>
      <c r="S386" s="18">
        <v>4418.5929326547566</v>
      </c>
      <c r="T386" s="35">
        <f t="shared" si="63"/>
        <v>43.22641996793265</v>
      </c>
      <c r="U386" s="35">
        <f t="shared" si="64"/>
        <v>7.3505032067352261E-2</v>
      </c>
      <c r="V386" s="35">
        <f t="shared" si="65"/>
        <v>8.1802748553687174E-2</v>
      </c>
    </row>
    <row r="387" spans="1:22" x14ac:dyDescent="0.25">
      <c r="A387" s="34" t="s">
        <v>407</v>
      </c>
      <c r="B387" s="16">
        <v>0.751</v>
      </c>
      <c r="C387" s="8">
        <v>1E-3</v>
      </c>
      <c r="D387" s="8">
        <v>23.852</v>
      </c>
      <c r="E387" s="8">
        <v>5.0999999999999997E-2</v>
      </c>
      <c r="F387" s="8">
        <v>1.1479999999999999</v>
      </c>
      <c r="G387" s="8">
        <v>2.8000000000000001E-2</v>
      </c>
      <c r="H387" s="8">
        <v>4.2999999999999997E-2</v>
      </c>
      <c r="I387" s="8">
        <v>4.5999999999999999E-2</v>
      </c>
      <c r="J387" s="8">
        <v>0.12</v>
      </c>
      <c r="K387" s="38">
        <f t="shared" si="55"/>
        <v>0.245</v>
      </c>
      <c r="L387" s="38">
        <f t="shared" si="56"/>
        <v>43.079166000000001</v>
      </c>
      <c r="M387" s="29">
        <f t="shared" si="57"/>
        <v>4128.8889280365511</v>
      </c>
      <c r="N387" s="29">
        <f t="shared" si="58"/>
        <v>1.4611971328760217E+26</v>
      </c>
      <c r="O387" s="35">
        <f t="shared" si="59"/>
        <v>4735.4174083088155</v>
      </c>
      <c r="P387" s="35">
        <f t="shared" si="60"/>
        <v>43.376791331834276</v>
      </c>
      <c r="Q387" s="35">
        <f t="shared" si="61"/>
        <v>-0.29762533183427564</v>
      </c>
      <c r="R387" s="35">
        <f t="shared" si="62"/>
        <v>1.4757324139852177</v>
      </c>
      <c r="S387" s="18">
        <v>4425.8258677953399</v>
      </c>
      <c r="T387" s="35">
        <f t="shared" si="63"/>
        <v>43.229971613994046</v>
      </c>
      <c r="U387" s="35">
        <f t="shared" si="64"/>
        <v>-0.15080561399404502</v>
      </c>
      <c r="V387" s="35">
        <f t="shared" si="65"/>
        <v>0.37888101977710803</v>
      </c>
    </row>
    <row r="388" spans="1:22" x14ac:dyDescent="0.25">
      <c r="A388" s="34" t="s">
        <v>408</v>
      </c>
      <c r="B388" s="16">
        <v>0.75600000000000001</v>
      </c>
      <c r="C388" s="8">
        <v>1E-3</v>
      </c>
      <c r="D388" s="8">
        <v>24.06</v>
      </c>
      <c r="E388" s="8">
        <v>6.2E-2</v>
      </c>
      <c r="F388" s="8">
        <v>0.90800000000000003</v>
      </c>
      <c r="G388" s="8">
        <v>0.03</v>
      </c>
      <c r="H388" s="8">
        <v>-0.161</v>
      </c>
      <c r="I388" s="8">
        <v>4.5999999999999999E-2</v>
      </c>
      <c r="J388" s="8">
        <v>0.12</v>
      </c>
      <c r="K388" s="38">
        <f t="shared" si="55"/>
        <v>0.25800000000000001</v>
      </c>
      <c r="L388" s="38">
        <f t="shared" si="56"/>
        <v>43.890405999999999</v>
      </c>
      <c r="M388" s="29">
        <f t="shared" si="57"/>
        <v>5999.0322962311211</v>
      </c>
      <c r="N388" s="29">
        <f t="shared" si="58"/>
        <v>1.4724495122836909E+26</v>
      </c>
      <c r="O388" s="35">
        <f t="shared" si="59"/>
        <v>4771.8838864677855</v>
      </c>
      <c r="P388" s="35">
        <f t="shared" si="60"/>
        <v>43.39344933752313</v>
      </c>
      <c r="Q388" s="35">
        <f t="shared" si="61"/>
        <v>0.49695666247686887</v>
      </c>
      <c r="R388" s="35">
        <f t="shared" si="62"/>
        <v>3.7102025776718435</v>
      </c>
      <c r="S388" s="18">
        <v>4462.0290717482494</v>
      </c>
      <c r="T388" s="35">
        <f t="shared" si="63"/>
        <v>43.247661977720618</v>
      </c>
      <c r="U388" s="35">
        <f t="shared" si="64"/>
        <v>0.64274402227938054</v>
      </c>
      <c r="V388" s="35">
        <f t="shared" si="65"/>
        <v>6.2063559608178114</v>
      </c>
    </row>
    <row r="389" spans="1:22" x14ac:dyDescent="0.25">
      <c r="A389" s="34" t="s">
        <v>409</v>
      </c>
      <c r="B389" s="16">
        <v>0.75700000000000001</v>
      </c>
      <c r="C389" s="8">
        <v>1E-3</v>
      </c>
      <c r="D389" s="8">
        <v>24.099</v>
      </c>
      <c r="E389" s="8">
        <v>5.0999999999999997E-2</v>
      </c>
      <c r="F389" s="8">
        <v>1.1559999999999999</v>
      </c>
      <c r="G389" s="8">
        <v>3.4000000000000002E-2</v>
      </c>
      <c r="H389" s="8">
        <v>-6.0000000000000001E-3</v>
      </c>
      <c r="I389" s="8">
        <v>4.2000000000000003E-2</v>
      </c>
      <c r="J389" s="8">
        <v>0.12</v>
      </c>
      <c r="K389" s="38">
        <f t="shared" si="55"/>
        <v>0.247</v>
      </c>
      <c r="L389" s="38">
        <f t="shared" si="56"/>
        <v>43.480711999999997</v>
      </c>
      <c r="M389" s="29">
        <f t="shared" si="57"/>
        <v>4967.5517486904446</v>
      </c>
      <c r="N389" s="29">
        <f t="shared" si="58"/>
        <v>1.4747017430475306E+26</v>
      </c>
      <c r="O389" s="35">
        <f t="shared" si="59"/>
        <v>4779.1828692858135</v>
      </c>
      <c r="P389" s="35">
        <f t="shared" si="60"/>
        <v>43.396768242792589</v>
      </c>
      <c r="Q389" s="35">
        <f t="shared" si="61"/>
        <v>8.3943757207407543E-2</v>
      </c>
      <c r="R389" s="35">
        <f t="shared" si="62"/>
        <v>0.11550024380167165</v>
      </c>
      <c r="S389" s="18">
        <v>4469.2773972895875</v>
      </c>
      <c r="T389" s="35">
        <f t="shared" si="63"/>
        <v>43.251186555549921</v>
      </c>
      <c r="U389" s="35">
        <f t="shared" si="64"/>
        <v>0.22952544445007561</v>
      </c>
      <c r="V389" s="35">
        <f t="shared" si="65"/>
        <v>0.86351078775270451</v>
      </c>
    </row>
    <row r="390" spans="1:22" x14ac:dyDescent="0.25">
      <c r="A390" s="34" t="s">
        <v>410</v>
      </c>
      <c r="B390" s="16">
        <v>0.76</v>
      </c>
      <c r="C390" s="8">
        <v>1E-3</v>
      </c>
      <c r="D390" s="8">
        <v>24.042999999999999</v>
      </c>
      <c r="E390" s="8">
        <v>4.8000000000000001E-2</v>
      </c>
      <c r="F390" s="8">
        <v>0.98699999999999999</v>
      </c>
      <c r="G390" s="8">
        <v>3.4000000000000002E-2</v>
      </c>
      <c r="H390" s="8">
        <v>-2.1000000000000001E-2</v>
      </c>
      <c r="I390" s="8">
        <v>4.2000000000000003E-2</v>
      </c>
      <c r="J390" s="8">
        <v>0.12</v>
      </c>
      <c r="K390" s="38">
        <f t="shared" si="55"/>
        <v>0.24399999999999999</v>
      </c>
      <c r="L390" s="38">
        <f t="shared" si="56"/>
        <v>43.446818999999998</v>
      </c>
      <c r="M390" s="29">
        <f t="shared" si="57"/>
        <v>4890.6186536809028</v>
      </c>
      <c r="N390" s="29">
        <f t="shared" si="58"/>
        <v>1.481461933658775E+26</v>
      </c>
      <c r="O390" s="35">
        <f t="shared" si="59"/>
        <v>4801.0911550220198</v>
      </c>
      <c r="P390" s="35">
        <f t="shared" si="60"/>
        <v>43.406699758493239</v>
      </c>
      <c r="Q390" s="35">
        <f t="shared" si="61"/>
        <v>4.0119241506758385E-2</v>
      </c>
      <c r="R390" s="35">
        <f t="shared" si="62"/>
        <v>2.7034962696143593E-2</v>
      </c>
      <c r="S390" s="18">
        <v>4491.0376898777831</v>
      </c>
      <c r="T390" s="35">
        <f t="shared" si="63"/>
        <v>43.261733498913287</v>
      </c>
      <c r="U390" s="35">
        <f t="shared" si="64"/>
        <v>0.18508550108671074</v>
      </c>
      <c r="V390" s="35">
        <f t="shared" si="65"/>
        <v>0.57539375692889683</v>
      </c>
    </row>
    <row r="391" spans="1:22" x14ac:dyDescent="0.25">
      <c r="A391" s="34" t="s">
        <v>411</v>
      </c>
      <c r="B391" s="16">
        <v>0.76</v>
      </c>
      <c r="C391" s="8">
        <v>0.02</v>
      </c>
      <c r="D391" s="8">
        <v>23.885000000000002</v>
      </c>
      <c r="E391" s="8">
        <v>5.7000000000000002E-2</v>
      </c>
      <c r="F391" s="8">
        <v>1.0429999999999999</v>
      </c>
      <c r="G391" s="8">
        <v>6.2E-2</v>
      </c>
      <c r="H391" s="8">
        <v>-8.8999999999999996E-2</v>
      </c>
      <c r="I391" s="8">
        <v>5.7000000000000002E-2</v>
      </c>
      <c r="J391" s="8">
        <v>0.12</v>
      </c>
      <c r="K391" s="38">
        <f t="shared" ref="K391:K454" si="66">PeakMagnitudeError+StretchError+ColorError+ScatterError</f>
        <v>0.29599999999999999</v>
      </c>
      <c r="L391" s="38">
        <f t="shared" ref="L391:L454" si="67">PeakMagnitude+α*(Stretch-1)-β*Color-Mb</f>
        <v>43.509890999999996</v>
      </c>
      <c r="M391" s="29">
        <f t="shared" ref="M391:M454" si="68">10^((ObservedDistanceModuli-25)/5)</f>
        <v>5034.753355269072</v>
      </c>
      <c r="N391" s="29">
        <f t="shared" ref="N391:N454" si="69">(RedShift*Age*(2*InitialTangentVelocity-UniverseAcceleration*Age))/(2+RedShift)*(1+RedShift)</f>
        <v>1.481461933658775E+26</v>
      </c>
      <c r="O391" s="35">
        <f t="shared" ref="O391:O454" si="70">N391/Mpc</f>
        <v>4801.0911550220198</v>
      </c>
      <c r="P391" s="35">
        <f t="shared" ref="P391:P454" si="71">(LOG10(T2LuminousDistance)*5+25)</f>
        <v>43.406699758493239</v>
      </c>
      <c r="Q391" s="35">
        <f t="shared" ref="Q391:Q454" si="72">ObservedDistanceModuli-T2DistanceModuli</f>
        <v>0.10319124150675663</v>
      </c>
      <c r="R391" s="35">
        <f t="shared" ref="R391:R454" si="73">(ObservedDistanceModuli-T2DistanceModuli)^2/TotalError^2</f>
        <v>0.12153524839876019</v>
      </c>
      <c r="S391" s="18">
        <v>4491.0376898777831</v>
      </c>
      <c r="T391" s="35">
        <f t="shared" ref="T391:T454" si="74">(LOG10(ΛCDMLuminousDistance)*5+25)</f>
        <v>43.261733498913287</v>
      </c>
      <c r="U391" s="35">
        <f t="shared" ref="U391:U454" si="75">ObservedDistanceModuli-ΛCDMDistanceModuli</f>
        <v>0.24815750108670898</v>
      </c>
      <c r="V391" s="35">
        <f t="shared" ref="V391:V454" si="76">(ObservedDistanceModuli-ΛCDMDistanceModuli)^2/TotalError^2</f>
        <v>0.70286414976260014</v>
      </c>
    </row>
    <row r="392" spans="1:22" x14ac:dyDescent="0.25">
      <c r="A392" s="34" t="s">
        <v>412</v>
      </c>
      <c r="B392" s="16">
        <v>0.76300000000000001</v>
      </c>
      <c r="C392" s="8">
        <v>1E-3</v>
      </c>
      <c r="D392" s="8">
        <v>24.102</v>
      </c>
      <c r="E392" s="8">
        <v>5.0999999999999997E-2</v>
      </c>
      <c r="F392" s="8">
        <v>1.111</v>
      </c>
      <c r="G392" s="8">
        <v>2.7E-2</v>
      </c>
      <c r="H392" s="8">
        <v>1.4999999999999999E-2</v>
      </c>
      <c r="I392" s="8">
        <v>4.4999999999999998E-2</v>
      </c>
      <c r="J392" s="8">
        <v>0.12</v>
      </c>
      <c r="K392" s="38">
        <f t="shared" si="66"/>
        <v>0.24299999999999999</v>
      </c>
      <c r="L392" s="38">
        <f t="shared" si="67"/>
        <v>43.411366999999998</v>
      </c>
      <c r="M392" s="29">
        <f t="shared" si="68"/>
        <v>4811.4214498822848</v>
      </c>
      <c r="N392" s="29">
        <f t="shared" si="69"/>
        <v>1.488227358455234E+26</v>
      </c>
      <c r="O392" s="35">
        <f t="shared" si="70"/>
        <v>4823.0164035972739</v>
      </c>
      <c r="P392" s="35">
        <f t="shared" si="71"/>
        <v>43.416593695033072</v>
      </c>
      <c r="Q392" s="35">
        <f t="shared" si="72"/>
        <v>-5.2266950330732698E-3</v>
      </c>
      <c r="R392" s="35">
        <f t="shared" si="73"/>
        <v>4.6263850308646704E-4</v>
      </c>
      <c r="S392" s="18">
        <v>4512.8208942360252</v>
      </c>
      <c r="T392" s="35">
        <f t="shared" si="74"/>
        <v>43.272240487467208</v>
      </c>
      <c r="U392" s="35">
        <f t="shared" si="75"/>
        <v>0.13912651253279051</v>
      </c>
      <c r="V392" s="35">
        <f t="shared" si="76"/>
        <v>0.32779871783665632</v>
      </c>
    </row>
    <row r="393" spans="1:22" x14ac:dyDescent="0.25">
      <c r="A393" s="34" t="s">
        <v>413</v>
      </c>
      <c r="B393" s="16">
        <v>0.76300000000000001</v>
      </c>
      <c r="C393" s="8">
        <v>1E-3</v>
      </c>
      <c r="D393" s="8">
        <v>24.059000000000001</v>
      </c>
      <c r="E393" s="8">
        <v>5.1999999999999998E-2</v>
      </c>
      <c r="F393" s="8">
        <v>1.0189999999999999</v>
      </c>
      <c r="G393" s="8">
        <v>2.9000000000000001E-2</v>
      </c>
      <c r="H393" s="8">
        <v>-3.5000000000000003E-2</v>
      </c>
      <c r="I393" s="8">
        <v>4.2000000000000003E-2</v>
      </c>
      <c r="J393" s="8">
        <v>0.12</v>
      </c>
      <c r="K393" s="38">
        <f t="shared" si="66"/>
        <v>0.24299999999999999</v>
      </c>
      <c r="L393" s="38">
        <f t="shared" si="67"/>
        <v>43.511342999999997</v>
      </c>
      <c r="M393" s="29">
        <f t="shared" si="68"/>
        <v>5038.1210731965684</v>
      </c>
      <c r="N393" s="29">
        <f t="shared" si="69"/>
        <v>1.488227358455234E+26</v>
      </c>
      <c r="O393" s="35">
        <f t="shared" si="70"/>
        <v>4823.0164035972739</v>
      </c>
      <c r="P393" s="35">
        <f t="shared" si="71"/>
        <v>43.416593695033072</v>
      </c>
      <c r="Q393" s="35">
        <f t="shared" si="72"/>
        <v>9.4749304966924797E-2</v>
      </c>
      <c r="R393" s="35">
        <f t="shared" si="73"/>
        <v>0.15203357875180479</v>
      </c>
      <c r="S393" s="18">
        <v>4512.8208942360252</v>
      </c>
      <c r="T393" s="35">
        <f t="shared" si="74"/>
        <v>43.272240487467208</v>
      </c>
      <c r="U393" s="35">
        <f t="shared" si="75"/>
        <v>0.23910251253278858</v>
      </c>
      <c r="V393" s="35">
        <f t="shared" si="76"/>
        <v>0.9681791647528718</v>
      </c>
    </row>
    <row r="394" spans="1:22" x14ac:dyDescent="0.25">
      <c r="A394" s="34" t="s">
        <v>414</v>
      </c>
      <c r="B394" s="16">
        <v>0.76600000000000001</v>
      </c>
      <c r="C394" s="8">
        <v>1E-3</v>
      </c>
      <c r="D394" s="8">
        <v>24.318999999999999</v>
      </c>
      <c r="E394" s="8">
        <v>6.3E-2</v>
      </c>
      <c r="F394" s="8">
        <v>1.07</v>
      </c>
      <c r="G394" s="8">
        <v>4.4999999999999998E-2</v>
      </c>
      <c r="H394" s="8">
        <v>1.7999999999999999E-2</v>
      </c>
      <c r="I394" s="8">
        <v>5.0999999999999997E-2</v>
      </c>
      <c r="J394" s="8">
        <v>0.12</v>
      </c>
      <c r="K394" s="38">
        <f t="shared" si="66"/>
        <v>0.27900000000000003</v>
      </c>
      <c r="L394" s="38">
        <f t="shared" si="67"/>
        <v>43.612949999999998</v>
      </c>
      <c r="M394" s="29">
        <f t="shared" si="68"/>
        <v>5279.4660322399022</v>
      </c>
      <c r="N394" s="29">
        <f t="shared" si="69"/>
        <v>1.4949980004059368E+26</v>
      </c>
      <c r="O394" s="35">
        <f t="shared" si="70"/>
        <v>4844.9585598179601</v>
      </c>
      <c r="P394" s="35">
        <f t="shared" si="71"/>
        <v>43.426450333848933</v>
      </c>
      <c r="Q394" s="35">
        <f t="shared" si="72"/>
        <v>0.1864996661510645</v>
      </c>
      <c r="R394" s="35">
        <f t="shared" si="73"/>
        <v>0.44683554263766528</v>
      </c>
      <c r="S394" s="18">
        <v>4534.6269307265047</v>
      </c>
      <c r="T394" s="35">
        <f t="shared" si="74"/>
        <v>43.282707814652525</v>
      </c>
      <c r="U394" s="35">
        <f t="shared" si="75"/>
        <v>0.33024218534747263</v>
      </c>
      <c r="V394" s="35">
        <f t="shared" si="76"/>
        <v>1.4010598654060771</v>
      </c>
    </row>
    <row r="395" spans="1:22" x14ac:dyDescent="0.25">
      <c r="A395" s="34" t="s">
        <v>415</v>
      </c>
      <c r="B395" s="16">
        <v>0.76700000000000002</v>
      </c>
      <c r="C395" s="8">
        <v>1E-3</v>
      </c>
      <c r="D395" s="8">
        <v>24.228000000000002</v>
      </c>
      <c r="E395" s="8">
        <v>5.1999999999999998E-2</v>
      </c>
      <c r="F395" s="8">
        <v>1.0069999999999999</v>
      </c>
      <c r="G395" s="8">
        <v>2.9000000000000001E-2</v>
      </c>
      <c r="H395" s="8">
        <v>1.2E-2</v>
      </c>
      <c r="I395" s="8">
        <v>4.3999999999999997E-2</v>
      </c>
      <c r="J395" s="8">
        <v>0.12</v>
      </c>
      <c r="K395" s="38">
        <f t="shared" si="66"/>
        <v>0.245</v>
      </c>
      <c r="L395" s="38">
        <f t="shared" si="67"/>
        <v>43.531469000000001</v>
      </c>
      <c r="M395" s="29">
        <f t="shared" si="68"/>
        <v>5085.0332847574718</v>
      </c>
      <c r="N395" s="29">
        <f t="shared" si="69"/>
        <v>1.4972560374907947E+26</v>
      </c>
      <c r="O395" s="35">
        <f t="shared" si="70"/>
        <v>4852.2763596409022</v>
      </c>
      <c r="P395" s="35">
        <f t="shared" si="71"/>
        <v>43.429727639918582</v>
      </c>
      <c r="Q395" s="35">
        <f t="shared" si="72"/>
        <v>0.10174136008141943</v>
      </c>
      <c r="R395" s="35">
        <f t="shared" si="73"/>
        <v>0.17244988506817238</v>
      </c>
      <c r="S395" s="18">
        <v>4541.9006696514816</v>
      </c>
      <c r="T395" s="35">
        <f t="shared" si="74"/>
        <v>43.286188160323512</v>
      </c>
      <c r="U395" s="35">
        <f t="shared" si="75"/>
        <v>0.24528083967648939</v>
      </c>
      <c r="V395" s="35">
        <f t="shared" si="76"/>
        <v>1.0022938827555801</v>
      </c>
    </row>
    <row r="396" spans="1:22" x14ac:dyDescent="0.25">
      <c r="A396" s="34" t="s">
        <v>416</v>
      </c>
      <c r="B396" s="16">
        <v>0.76800000000000002</v>
      </c>
      <c r="C396" s="8">
        <v>0</v>
      </c>
      <c r="D396" s="8">
        <v>24.143999999999998</v>
      </c>
      <c r="E396" s="8">
        <v>5.0999999999999997E-2</v>
      </c>
      <c r="F396" s="8">
        <v>1.101</v>
      </c>
      <c r="G396" s="8">
        <v>2.7E-2</v>
      </c>
      <c r="H396" s="8">
        <v>-7.9000000000000001E-2</v>
      </c>
      <c r="I396" s="8">
        <v>4.2999999999999997E-2</v>
      </c>
      <c r="J396" s="8">
        <v>0.12</v>
      </c>
      <c r="K396" s="38">
        <f t="shared" si="66"/>
        <v>0.24099999999999999</v>
      </c>
      <c r="L396" s="38">
        <f t="shared" si="67"/>
        <v>43.746116999999998</v>
      </c>
      <c r="M396" s="29">
        <f t="shared" si="68"/>
        <v>5613.3665195492786</v>
      </c>
      <c r="N396" s="29">
        <f t="shared" si="69"/>
        <v>1.4995146517484961E+26</v>
      </c>
      <c r="O396" s="35">
        <f t="shared" si="70"/>
        <v>4859.5960299536418</v>
      </c>
      <c r="P396" s="35">
        <f t="shared" si="71"/>
        <v>43.43300084296385</v>
      </c>
      <c r="Q396" s="35">
        <f t="shared" si="72"/>
        <v>0.31311615703614848</v>
      </c>
      <c r="R396" s="35">
        <f t="shared" si="73"/>
        <v>1.6880172138407741</v>
      </c>
      <c r="S396" s="18">
        <v>4549.1769337414771</v>
      </c>
      <c r="T396" s="35">
        <f t="shared" si="74"/>
        <v>43.289664142111135</v>
      </c>
      <c r="U396" s="35">
        <f t="shared" si="75"/>
        <v>0.4564528578888627</v>
      </c>
      <c r="V396" s="35">
        <f t="shared" si="76"/>
        <v>3.587218048499687</v>
      </c>
    </row>
    <row r="397" spans="1:22" x14ac:dyDescent="0.25">
      <c r="A397" s="34" t="s">
        <v>417</v>
      </c>
      <c r="B397" s="16">
        <v>0.76900000000000002</v>
      </c>
      <c r="C397" s="8">
        <v>2E-3</v>
      </c>
      <c r="D397" s="8">
        <v>24.212</v>
      </c>
      <c r="E397" s="8">
        <v>0.06</v>
      </c>
      <c r="F397" s="8">
        <v>1.0740000000000001</v>
      </c>
      <c r="G397" s="8">
        <v>4.5999999999999999E-2</v>
      </c>
      <c r="H397" s="8">
        <v>-0.1</v>
      </c>
      <c r="I397" s="8">
        <v>0.05</v>
      </c>
      <c r="J397" s="8">
        <v>0.12</v>
      </c>
      <c r="K397" s="38">
        <f t="shared" si="66"/>
        <v>0.27600000000000002</v>
      </c>
      <c r="L397" s="38">
        <f t="shared" si="67"/>
        <v>43.875878</v>
      </c>
      <c r="M397" s="29">
        <f t="shared" si="68"/>
        <v>5959.0303864955567</v>
      </c>
      <c r="N397" s="29">
        <f t="shared" si="69"/>
        <v>1.5017738425537187E+26</v>
      </c>
      <c r="O397" s="35">
        <f t="shared" si="70"/>
        <v>4866.9175687296492</v>
      </c>
      <c r="P397" s="35">
        <f t="shared" si="71"/>
        <v>43.436269953172513</v>
      </c>
      <c r="Q397" s="35">
        <f t="shared" si="72"/>
        <v>0.43960804682748744</v>
      </c>
      <c r="R397" s="35">
        <f t="shared" si="73"/>
        <v>2.5369569790416713</v>
      </c>
      <c r="S397" s="18">
        <v>4556.4557200737345</v>
      </c>
      <c r="T397" s="35">
        <f t="shared" si="74"/>
        <v>43.293135770643232</v>
      </c>
      <c r="U397" s="35">
        <f t="shared" si="75"/>
        <v>0.58274222935676789</v>
      </c>
      <c r="V397" s="35">
        <f t="shared" si="76"/>
        <v>4.4579461493868919</v>
      </c>
    </row>
    <row r="398" spans="1:22" x14ac:dyDescent="0.25">
      <c r="A398" s="34" t="s">
        <v>418</v>
      </c>
      <c r="B398" s="16">
        <v>0.77</v>
      </c>
      <c r="C398" s="8">
        <v>1E-3</v>
      </c>
      <c r="D398" s="8">
        <v>24.553000000000001</v>
      </c>
      <c r="E398" s="8">
        <v>5.2999999999999999E-2</v>
      </c>
      <c r="F398" s="8">
        <v>0.97</v>
      </c>
      <c r="G398" s="8">
        <v>3.4000000000000002E-2</v>
      </c>
      <c r="H398" s="8">
        <v>6.7000000000000004E-2</v>
      </c>
      <c r="I398" s="8">
        <v>4.9000000000000002E-2</v>
      </c>
      <c r="J398" s="8">
        <v>0.12</v>
      </c>
      <c r="K398" s="38">
        <f t="shared" si="66"/>
        <v>0.25600000000000001</v>
      </c>
      <c r="L398" s="38">
        <f t="shared" si="67"/>
        <v>43.678879999999999</v>
      </c>
      <c r="M398" s="29">
        <f t="shared" si="68"/>
        <v>5442.2188218955516</v>
      </c>
      <c r="N398" s="29">
        <f t="shared" si="69"/>
        <v>1.5040336092820433E+26</v>
      </c>
      <c r="O398" s="35">
        <f t="shared" si="70"/>
        <v>4874.2409739453187</v>
      </c>
      <c r="P398" s="35">
        <f t="shared" si="71"/>
        <v>43.439534980693821</v>
      </c>
      <c r="Q398" s="35">
        <f t="shared" si="72"/>
        <v>0.23934501930617813</v>
      </c>
      <c r="R398" s="35">
        <f t="shared" si="73"/>
        <v>0.87411557413749374</v>
      </c>
      <c r="S398" s="18">
        <v>4563.7370257299362</v>
      </c>
      <c r="T398" s="35">
        <f t="shared" si="74"/>
        <v>43.296603056508275</v>
      </c>
      <c r="U398" s="35">
        <f t="shared" si="75"/>
        <v>0.38227694349172481</v>
      </c>
      <c r="V398" s="35">
        <f t="shared" si="76"/>
        <v>2.2298532337245995</v>
      </c>
    </row>
    <row r="399" spans="1:22" x14ac:dyDescent="0.25">
      <c r="A399" s="34" t="s">
        <v>419</v>
      </c>
      <c r="B399" s="16">
        <v>0.77500000000000002</v>
      </c>
      <c r="C399" s="8">
        <v>1E-3</v>
      </c>
      <c r="D399" s="8">
        <v>24.050999999999998</v>
      </c>
      <c r="E399" s="8">
        <v>5.5E-2</v>
      </c>
      <c r="F399" s="8">
        <v>1.0980000000000001</v>
      </c>
      <c r="G399" s="8">
        <v>4.2000000000000003E-2</v>
      </c>
      <c r="H399" s="8">
        <v>-9.4E-2</v>
      </c>
      <c r="I399" s="8">
        <v>5.0999999999999997E-2</v>
      </c>
      <c r="J399" s="8">
        <v>0.12</v>
      </c>
      <c r="K399" s="38">
        <f t="shared" si="66"/>
        <v>0.26800000000000002</v>
      </c>
      <c r="L399" s="38">
        <f t="shared" si="67"/>
        <v>43.699625999999995</v>
      </c>
      <c r="M399" s="29">
        <f t="shared" si="68"/>
        <v>5494.4623273415218</v>
      </c>
      <c r="N399" s="29">
        <f t="shared" si="69"/>
        <v>1.5153410599785044E+26</v>
      </c>
      <c r="O399" s="35">
        <f t="shared" si="70"/>
        <v>4910.8859259965338</v>
      </c>
      <c r="P399" s="35">
        <f t="shared" si="71"/>
        <v>43.455799230538261</v>
      </c>
      <c r="Q399" s="35">
        <f t="shared" si="72"/>
        <v>0.24382676946173376</v>
      </c>
      <c r="R399" s="35">
        <f t="shared" si="73"/>
        <v>0.82773854848164197</v>
      </c>
      <c r="S399" s="18">
        <v>4600.1812420392898</v>
      </c>
      <c r="T399" s="35">
        <f t="shared" si="74"/>
        <v>43.313874713698027</v>
      </c>
      <c r="U399" s="35">
        <f t="shared" si="75"/>
        <v>0.38575128630196787</v>
      </c>
      <c r="V399" s="35">
        <f t="shared" si="76"/>
        <v>2.0717873535812923</v>
      </c>
    </row>
    <row r="400" spans="1:22" x14ac:dyDescent="0.25">
      <c r="A400" s="34" t="s">
        <v>420</v>
      </c>
      <c r="B400" s="16">
        <v>0.77800000000000002</v>
      </c>
      <c r="C400" s="8">
        <v>1E-3</v>
      </c>
      <c r="D400" s="8">
        <v>24.425000000000001</v>
      </c>
      <c r="E400" s="8">
        <v>5.3999999999999999E-2</v>
      </c>
      <c r="F400" s="8">
        <v>1.01</v>
      </c>
      <c r="G400" s="8">
        <v>3.1E-2</v>
      </c>
      <c r="H400" s="8">
        <v>5.0999999999999997E-2</v>
      </c>
      <c r="I400" s="8">
        <v>5.2999999999999999E-2</v>
      </c>
      <c r="J400" s="8">
        <v>0.12</v>
      </c>
      <c r="K400" s="38">
        <f t="shared" si="66"/>
        <v>0.25800000000000001</v>
      </c>
      <c r="L400" s="38">
        <f t="shared" si="67"/>
        <v>43.606840000000005</v>
      </c>
      <c r="M400" s="29">
        <f t="shared" si="68"/>
        <v>5264.6317670735334</v>
      </c>
      <c r="N400" s="29">
        <f t="shared" si="69"/>
        <v>1.5221324017066325E+26</v>
      </c>
      <c r="O400" s="35">
        <f t="shared" si="70"/>
        <v>4932.8951656272284</v>
      </c>
      <c r="P400" s="35">
        <f t="shared" si="71"/>
        <v>43.465509429456056</v>
      </c>
      <c r="Q400" s="35">
        <f t="shared" si="72"/>
        <v>0.14133057054394982</v>
      </c>
      <c r="R400" s="35">
        <f t="shared" si="73"/>
        <v>0.30007707124389127</v>
      </c>
      <c r="S400" s="18">
        <v>4622.0778179049121</v>
      </c>
      <c r="T400" s="35">
        <f t="shared" si="74"/>
        <v>43.324186265215886</v>
      </c>
      <c r="U400" s="35">
        <f t="shared" si="75"/>
        <v>0.28265373478411959</v>
      </c>
      <c r="V400" s="35">
        <f t="shared" si="76"/>
        <v>1.200245384703615</v>
      </c>
    </row>
    <row r="401" spans="1:22" x14ac:dyDescent="0.25">
      <c r="A401" s="34" t="s">
        <v>421</v>
      </c>
      <c r="B401" s="16">
        <v>0.79</v>
      </c>
      <c r="C401" s="8">
        <v>0.01</v>
      </c>
      <c r="D401" s="8">
        <v>23.966999999999999</v>
      </c>
      <c r="E401" s="8">
        <v>5.0999999999999997E-2</v>
      </c>
      <c r="F401" s="8">
        <v>1.135</v>
      </c>
      <c r="G401" s="8">
        <v>2.4E-2</v>
      </c>
      <c r="H401" s="8">
        <v>-6.0999999999999999E-2</v>
      </c>
      <c r="I401" s="8">
        <v>4.1000000000000002E-2</v>
      </c>
      <c r="J401" s="8">
        <v>0.12</v>
      </c>
      <c r="K401" s="38">
        <f t="shared" si="66"/>
        <v>0.23599999999999999</v>
      </c>
      <c r="L401" s="38">
        <f t="shared" si="67"/>
        <v>43.517775</v>
      </c>
      <c r="M401" s="29">
        <f t="shared" si="68"/>
        <v>5053.0663402197188</v>
      </c>
      <c r="N401" s="29">
        <f t="shared" si="69"/>
        <v>1.5493489340207493E+26</v>
      </c>
      <c r="O401" s="35">
        <f t="shared" si="70"/>
        <v>5021.0979399239413</v>
      </c>
      <c r="P401" s="35">
        <f t="shared" si="71"/>
        <v>43.503993463328307</v>
      </c>
      <c r="Q401" s="35">
        <f t="shared" si="72"/>
        <v>1.3781536671693573E-2</v>
      </c>
      <c r="R401" s="35">
        <f t="shared" si="73"/>
        <v>3.4101327390339479E-3</v>
      </c>
      <c r="S401" s="18">
        <v>4709.8877417542408</v>
      </c>
      <c r="T401" s="35">
        <f t="shared" si="74"/>
        <v>43.365052780105543</v>
      </c>
      <c r="U401" s="35">
        <f t="shared" si="75"/>
        <v>0.15272221989445711</v>
      </c>
      <c r="V401" s="35">
        <f t="shared" si="76"/>
        <v>0.41877471361481822</v>
      </c>
    </row>
    <row r="402" spans="1:22" x14ac:dyDescent="0.25">
      <c r="A402" s="34" t="s">
        <v>422</v>
      </c>
      <c r="B402" s="16">
        <v>0.79100000000000004</v>
      </c>
      <c r="C402" s="8">
        <v>3.0000000000000001E-3</v>
      </c>
      <c r="D402" s="8">
        <v>24.231999999999999</v>
      </c>
      <c r="E402" s="8">
        <v>6.7000000000000004E-2</v>
      </c>
      <c r="F402" s="8">
        <v>1.0720000000000001</v>
      </c>
      <c r="G402" s="8">
        <v>0.05</v>
      </c>
      <c r="H402" s="8">
        <v>-2.4E-2</v>
      </c>
      <c r="I402" s="8">
        <v>5.0999999999999997E-2</v>
      </c>
      <c r="J402" s="8">
        <v>0.12</v>
      </c>
      <c r="K402" s="38">
        <f t="shared" si="66"/>
        <v>0.28800000000000003</v>
      </c>
      <c r="L402" s="38">
        <f t="shared" si="67"/>
        <v>43.657703999999995</v>
      </c>
      <c r="M402" s="29">
        <f t="shared" si="68"/>
        <v>5389.4047401218295</v>
      </c>
      <c r="N402" s="29">
        <f t="shared" si="69"/>
        <v>1.5516206524752925E+26</v>
      </c>
      <c r="O402" s="35">
        <f t="shared" si="70"/>
        <v>5028.4600780464325</v>
      </c>
      <c r="P402" s="35">
        <f t="shared" si="71"/>
        <v>43.507175032635004</v>
      </c>
      <c r="Q402" s="35">
        <f t="shared" si="72"/>
        <v>0.15052896736499122</v>
      </c>
      <c r="R402" s="35">
        <f t="shared" si="73"/>
        <v>0.27318395563236142</v>
      </c>
      <c r="S402" s="18">
        <v>4717.2212868848528</v>
      </c>
      <c r="T402" s="35">
        <f t="shared" si="74"/>
        <v>43.36843124832501</v>
      </c>
      <c r="U402" s="35">
        <f t="shared" si="75"/>
        <v>0.28927275167498578</v>
      </c>
      <c r="V402" s="35">
        <f t="shared" si="76"/>
        <v>1.0088580833046148</v>
      </c>
    </row>
    <row r="403" spans="1:22" x14ac:dyDescent="0.25">
      <c r="A403" s="34" t="s">
        <v>423</v>
      </c>
      <c r="B403" s="16">
        <v>0.79800000000000004</v>
      </c>
      <c r="C403" s="8">
        <v>1.2E-2</v>
      </c>
      <c r="D403" s="8">
        <v>24.145</v>
      </c>
      <c r="E403" s="8">
        <v>5.3999999999999999E-2</v>
      </c>
      <c r="F403" s="8">
        <v>1.079</v>
      </c>
      <c r="G403" s="8">
        <v>2.9000000000000001E-2</v>
      </c>
      <c r="H403" s="8">
        <v>7.5999999999999998E-2</v>
      </c>
      <c r="I403" s="8">
        <v>4.8000000000000001E-2</v>
      </c>
      <c r="J403" s="8">
        <v>0.12</v>
      </c>
      <c r="K403" s="38">
        <f t="shared" si="66"/>
        <v>0.251</v>
      </c>
      <c r="L403" s="38">
        <f t="shared" si="67"/>
        <v>43.258732999999999</v>
      </c>
      <c r="M403" s="29">
        <f t="shared" si="68"/>
        <v>4484.8363455995814</v>
      </c>
      <c r="N403" s="29">
        <f t="shared" si="69"/>
        <v>1.5675383953981226E+26</v>
      </c>
      <c r="O403" s="35">
        <f t="shared" si="70"/>
        <v>5080.045969670372</v>
      </c>
      <c r="P403" s="35">
        <f t="shared" si="71"/>
        <v>43.529338211305273</v>
      </c>
      <c r="Q403" s="35">
        <f t="shared" si="72"/>
        <v>-0.27060521130527349</v>
      </c>
      <c r="R403" s="35">
        <f t="shared" si="73"/>
        <v>1.162317747108327</v>
      </c>
      <c r="S403" s="18">
        <v>4768.6247198114525</v>
      </c>
      <c r="T403" s="35">
        <f t="shared" si="74"/>
        <v>43.391965728831053</v>
      </c>
      <c r="U403" s="35">
        <f t="shared" si="75"/>
        <v>-0.13323272883105375</v>
      </c>
      <c r="V403" s="35">
        <f t="shared" si="76"/>
        <v>0.28175679801541403</v>
      </c>
    </row>
    <row r="404" spans="1:22" x14ac:dyDescent="0.25">
      <c r="A404" s="34" t="s">
        <v>424</v>
      </c>
      <c r="B404" s="16">
        <v>0.8</v>
      </c>
      <c r="C404" s="8">
        <v>0.02</v>
      </c>
      <c r="D404" s="8">
        <v>24.202999999999999</v>
      </c>
      <c r="E404" s="8">
        <v>5.7000000000000002E-2</v>
      </c>
      <c r="F404" s="8">
        <v>1.0089999999999999</v>
      </c>
      <c r="G404" s="8">
        <v>3.1E-2</v>
      </c>
      <c r="H404" s="8">
        <v>7.8E-2</v>
      </c>
      <c r="I404" s="8">
        <v>5.1999999999999998E-2</v>
      </c>
      <c r="J404" s="8">
        <v>0.12</v>
      </c>
      <c r="K404" s="38">
        <f t="shared" si="66"/>
        <v>0.26</v>
      </c>
      <c r="L404" s="38">
        <f t="shared" si="67"/>
        <v>43.300182999999997</v>
      </c>
      <c r="M404" s="29">
        <f t="shared" si="68"/>
        <v>4571.2671216901654</v>
      </c>
      <c r="N404" s="29">
        <f t="shared" si="69"/>
        <v>1.5720913547540998E+26</v>
      </c>
      <c r="O404" s="35">
        <f t="shared" si="70"/>
        <v>5094.8011060640365</v>
      </c>
      <c r="P404" s="35">
        <f t="shared" si="71"/>
        <v>43.535636172109776</v>
      </c>
      <c r="Q404" s="35">
        <f t="shared" si="72"/>
        <v>-0.23545317210977856</v>
      </c>
      <c r="R404" s="35">
        <f t="shared" si="73"/>
        <v>0.82009166059995564</v>
      </c>
      <c r="S404" s="18">
        <v>4783.3333862843438</v>
      </c>
      <c r="T404" s="35">
        <f t="shared" si="74"/>
        <v>43.398653255789725</v>
      </c>
      <c r="U404" s="35">
        <f t="shared" si="75"/>
        <v>-9.8470255789727901E-2</v>
      </c>
      <c r="V404" s="35">
        <f t="shared" si="76"/>
        <v>0.14343774075879348</v>
      </c>
    </row>
    <row r="405" spans="1:22" x14ac:dyDescent="0.25">
      <c r="A405" s="34" t="s">
        <v>425</v>
      </c>
      <c r="B405" s="16">
        <v>0.8</v>
      </c>
      <c r="C405" s="8">
        <v>0.02</v>
      </c>
      <c r="D405" s="8">
        <v>24.512</v>
      </c>
      <c r="E405" s="8">
        <v>6.0999999999999999E-2</v>
      </c>
      <c r="F405" s="8">
        <v>0.87</v>
      </c>
      <c r="G405" s="8">
        <v>3.9E-2</v>
      </c>
      <c r="H405" s="8">
        <v>-4.4999999999999998E-2</v>
      </c>
      <c r="I405" s="8">
        <v>5.1999999999999998E-2</v>
      </c>
      <c r="J405" s="8">
        <v>0.12</v>
      </c>
      <c r="K405" s="38">
        <f t="shared" si="66"/>
        <v>0.27200000000000002</v>
      </c>
      <c r="L405" s="38">
        <f t="shared" si="67"/>
        <v>43.973739999999999</v>
      </c>
      <c r="M405" s="29">
        <f t="shared" si="68"/>
        <v>6233.7301742668615</v>
      </c>
      <c r="N405" s="29">
        <f t="shared" si="69"/>
        <v>1.5720913547540998E+26</v>
      </c>
      <c r="O405" s="35">
        <f t="shared" si="70"/>
        <v>5094.8011060640365</v>
      </c>
      <c r="P405" s="35">
        <f t="shared" si="71"/>
        <v>43.535636172109776</v>
      </c>
      <c r="Q405" s="35">
        <f t="shared" si="72"/>
        <v>0.43810382789022384</v>
      </c>
      <c r="R405" s="35">
        <f t="shared" si="73"/>
        <v>2.5942766545748652</v>
      </c>
      <c r="S405" s="18">
        <v>4783.3333862843438</v>
      </c>
      <c r="T405" s="35">
        <f t="shared" si="74"/>
        <v>43.398653255789725</v>
      </c>
      <c r="U405" s="35">
        <f t="shared" si="75"/>
        <v>0.5750867442102745</v>
      </c>
      <c r="V405" s="35">
        <f t="shared" si="76"/>
        <v>4.4702200930792282</v>
      </c>
    </row>
    <row r="406" spans="1:22" x14ac:dyDescent="0.25">
      <c r="A406" s="34" t="s">
        <v>426</v>
      </c>
      <c r="B406" s="16">
        <v>0.80500000000000005</v>
      </c>
      <c r="C406" s="8">
        <v>1E-3</v>
      </c>
      <c r="D406" s="8">
        <v>23.913</v>
      </c>
      <c r="E406" s="8">
        <v>5.6000000000000001E-2</v>
      </c>
      <c r="F406" s="8">
        <v>1.0509999999999999</v>
      </c>
      <c r="G406" s="8">
        <v>4.7E-2</v>
      </c>
      <c r="H406" s="8">
        <v>-0.11</v>
      </c>
      <c r="I406" s="8">
        <v>4.2999999999999997E-2</v>
      </c>
      <c r="J406" s="8">
        <v>0.12</v>
      </c>
      <c r="K406" s="38">
        <f t="shared" si="66"/>
        <v>0.26600000000000001</v>
      </c>
      <c r="L406" s="38">
        <f t="shared" si="67"/>
        <v>43.604797000000005</v>
      </c>
      <c r="M406" s="29">
        <f t="shared" si="68"/>
        <v>5259.6809398882397</v>
      </c>
      <c r="N406" s="29">
        <f t="shared" si="69"/>
        <v>1.5834834903140257E+26</v>
      </c>
      <c r="O406" s="35">
        <f t="shared" si="70"/>
        <v>5131.7205030670311</v>
      </c>
      <c r="P406" s="35">
        <f t="shared" si="71"/>
        <v>43.551314973431445</v>
      </c>
      <c r="Q406" s="35">
        <f t="shared" si="72"/>
        <v>5.3482026568559604E-2</v>
      </c>
      <c r="R406" s="35">
        <f t="shared" si="73"/>
        <v>4.0425224233706182E-2</v>
      </c>
      <c r="S406" s="18">
        <v>4820.1475468585268</v>
      </c>
      <c r="T406" s="35">
        <f t="shared" si="74"/>
        <v>43.415301661947083</v>
      </c>
      <c r="U406" s="35">
        <f t="shared" si="75"/>
        <v>0.18949533805292162</v>
      </c>
      <c r="V406" s="35">
        <f t="shared" si="76"/>
        <v>0.50749735914680083</v>
      </c>
    </row>
    <row r="407" spans="1:22" x14ac:dyDescent="0.25">
      <c r="A407" s="34" t="s">
        <v>427</v>
      </c>
      <c r="B407" s="16">
        <v>0.80500000000000005</v>
      </c>
      <c r="C407" s="8">
        <v>1E-3</v>
      </c>
      <c r="D407" s="8">
        <v>24.388000000000002</v>
      </c>
      <c r="E407" s="8">
        <v>7.0000000000000007E-2</v>
      </c>
      <c r="F407" s="8">
        <v>0.97199999999999998</v>
      </c>
      <c r="G407" s="8">
        <v>4.2999999999999997E-2</v>
      </c>
      <c r="H407" s="8">
        <v>0.09</v>
      </c>
      <c r="I407" s="8">
        <v>5.3999999999999999E-2</v>
      </c>
      <c r="J407" s="8">
        <v>0.12</v>
      </c>
      <c r="K407" s="38">
        <f t="shared" si="66"/>
        <v>0.28700000000000003</v>
      </c>
      <c r="L407" s="38">
        <f t="shared" si="67"/>
        <v>43.442183999999997</v>
      </c>
      <c r="M407" s="29">
        <f t="shared" si="68"/>
        <v>4880.1907789523784</v>
      </c>
      <c r="N407" s="29">
        <f t="shared" si="69"/>
        <v>1.5834834903140257E+26</v>
      </c>
      <c r="O407" s="35">
        <f t="shared" si="70"/>
        <v>5131.7205030670311</v>
      </c>
      <c r="P407" s="35">
        <f t="shared" si="71"/>
        <v>43.551314973431445</v>
      </c>
      <c r="Q407" s="35">
        <f t="shared" si="72"/>
        <v>-0.10913097343144784</v>
      </c>
      <c r="R407" s="35">
        <f t="shared" si="73"/>
        <v>0.14458800473594885</v>
      </c>
      <c r="S407" s="18">
        <v>4820.1475468585268</v>
      </c>
      <c r="T407" s="35">
        <f t="shared" si="74"/>
        <v>43.415301661947083</v>
      </c>
      <c r="U407" s="35">
        <f t="shared" si="75"/>
        <v>2.6882338052914179E-2</v>
      </c>
      <c r="V407" s="35">
        <f t="shared" si="76"/>
        <v>8.7734475250538114E-3</v>
      </c>
    </row>
    <row r="408" spans="1:22" x14ac:dyDescent="0.25">
      <c r="A408" s="34" t="s">
        <v>428</v>
      </c>
      <c r="B408" s="16">
        <v>0.80800000000000005</v>
      </c>
      <c r="C408" s="8">
        <v>1E-3</v>
      </c>
      <c r="D408" s="8">
        <v>24.481000000000002</v>
      </c>
      <c r="E408" s="8">
        <v>6.6000000000000003E-2</v>
      </c>
      <c r="F408" s="8">
        <v>1.0249999999999999</v>
      </c>
      <c r="G408" s="8">
        <v>4.8000000000000001E-2</v>
      </c>
      <c r="H408" s="8">
        <v>4.7E-2</v>
      </c>
      <c r="I408" s="8">
        <v>5.3999999999999999E-2</v>
      </c>
      <c r="J408" s="8">
        <v>0.12</v>
      </c>
      <c r="K408" s="38">
        <f t="shared" si="66"/>
        <v>0.28800000000000003</v>
      </c>
      <c r="L408" s="38">
        <f t="shared" si="67"/>
        <v>43.677565000000001</v>
      </c>
      <c r="M408" s="29">
        <f t="shared" si="68"/>
        <v>5438.9241213802597</v>
      </c>
      <c r="N408" s="29">
        <f t="shared" si="69"/>
        <v>1.5903254247883481E+26</v>
      </c>
      <c r="O408" s="35">
        <f t="shared" si="70"/>
        <v>5153.8937026218673</v>
      </c>
      <c r="P408" s="35">
        <f t="shared" si="71"/>
        <v>43.560677285625431</v>
      </c>
      <c r="Q408" s="35">
        <f t="shared" si="72"/>
        <v>0.11688771437457035</v>
      </c>
      <c r="R408" s="35">
        <f t="shared" si="73"/>
        <v>0.1647224364837859</v>
      </c>
      <c r="S408" s="18">
        <v>4842.2650714196197</v>
      </c>
      <c r="T408" s="35">
        <f t="shared" si="74"/>
        <v>43.425242797796145</v>
      </c>
      <c r="U408" s="35">
        <f t="shared" si="75"/>
        <v>0.2523222022038567</v>
      </c>
      <c r="V408" s="35">
        <f t="shared" si="76"/>
        <v>0.76758407751017477</v>
      </c>
    </row>
    <row r="409" spans="1:22" x14ac:dyDescent="0.25">
      <c r="A409" s="34" t="s">
        <v>429</v>
      </c>
      <c r="B409" s="16">
        <v>0.81</v>
      </c>
      <c r="C409" s="8">
        <v>0.02</v>
      </c>
      <c r="D409" s="8">
        <v>24.617000000000001</v>
      </c>
      <c r="E409" s="8">
        <v>0.06</v>
      </c>
      <c r="F409" s="8">
        <v>0.95599999999999996</v>
      </c>
      <c r="G409" s="8">
        <v>4.2999999999999997E-2</v>
      </c>
      <c r="H409" s="8">
        <v>-8.3000000000000004E-2</v>
      </c>
      <c r="I409" s="8">
        <v>5.1999999999999998E-2</v>
      </c>
      <c r="J409" s="8">
        <v>0.12</v>
      </c>
      <c r="K409" s="38">
        <f t="shared" si="66"/>
        <v>0.27500000000000002</v>
      </c>
      <c r="L409" s="38">
        <f t="shared" si="67"/>
        <v>44.210321999999998</v>
      </c>
      <c r="M409" s="29">
        <f t="shared" si="68"/>
        <v>6951.2738794013885</v>
      </c>
      <c r="N409" s="29">
        <f t="shared" si="69"/>
        <v>1.594889476713612E+26</v>
      </c>
      <c r="O409" s="35">
        <f t="shared" si="70"/>
        <v>5168.6847875843596</v>
      </c>
      <c r="P409" s="35">
        <f t="shared" si="71"/>
        <v>43.566900237558393</v>
      </c>
      <c r="Q409" s="35">
        <f t="shared" si="72"/>
        <v>0.64342176244160498</v>
      </c>
      <c r="R409" s="35">
        <f t="shared" si="73"/>
        <v>5.4742686199465922</v>
      </c>
      <c r="S409" s="18">
        <v>4857.0221369303508</v>
      </c>
      <c r="T409" s="35">
        <f t="shared" si="74"/>
        <v>43.43185041434355</v>
      </c>
      <c r="U409" s="35">
        <f t="shared" si="75"/>
        <v>0.77847158565644747</v>
      </c>
      <c r="V409" s="35">
        <f t="shared" si="76"/>
        <v>8.0134612849515836</v>
      </c>
    </row>
    <row r="410" spans="1:22" x14ac:dyDescent="0.25">
      <c r="A410" s="34" t="s">
        <v>430</v>
      </c>
      <c r="B410" s="16">
        <v>0.81</v>
      </c>
      <c r="C410" s="8">
        <v>0.01</v>
      </c>
      <c r="D410" s="8">
        <v>24.262</v>
      </c>
      <c r="E410" s="8">
        <v>7.4999999999999997E-2</v>
      </c>
      <c r="F410" s="8">
        <v>1.024</v>
      </c>
      <c r="G410" s="8">
        <v>6.0999999999999999E-2</v>
      </c>
      <c r="H410" s="8">
        <v>1.0999999999999999E-2</v>
      </c>
      <c r="I410" s="8">
        <v>5.3999999999999999E-2</v>
      </c>
      <c r="J410" s="8">
        <v>0.12</v>
      </c>
      <c r="K410" s="38">
        <f t="shared" si="66"/>
        <v>0.31</v>
      </c>
      <c r="L410" s="38">
        <f t="shared" si="67"/>
        <v>43.571097999999999</v>
      </c>
      <c r="M410" s="29">
        <f t="shared" si="68"/>
        <v>5178.6862482952329</v>
      </c>
      <c r="N410" s="29">
        <f t="shared" si="69"/>
        <v>1.594889476713612E+26</v>
      </c>
      <c r="O410" s="35">
        <f t="shared" si="70"/>
        <v>5168.6847875843596</v>
      </c>
      <c r="P410" s="35">
        <f t="shared" si="71"/>
        <v>43.566900237558393</v>
      </c>
      <c r="Q410" s="35">
        <f t="shared" si="72"/>
        <v>4.1977624416063009E-3</v>
      </c>
      <c r="R410" s="35">
        <f t="shared" si="73"/>
        <v>1.8336326239501034E-4</v>
      </c>
      <c r="S410" s="18">
        <v>4857.0221369303508</v>
      </c>
      <c r="T410" s="35">
        <f t="shared" si="74"/>
        <v>43.43185041434355</v>
      </c>
      <c r="U410" s="35">
        <f t="shared" si="75"/>
        <v>0.13924758565644879</v>
      </c>
      <c r="V410" s="35">
        <f t="shared" si="76"/>
        <v>0.20176784715036464</v>
      </c>
    </row>
    <row r="411" spans="1:22" x14ac:dyDescent="0.25">
      <c r="A411" s="34" t="s">
        <v>431</v>
      </c>
      <c r="B411" s="16">
        <v>0.81100000000000005</v>
      </c>
      <c r="C411" s="8">
        <v>1E-3</v>
      </c>
      <c r="D411" s="8">
        <v>24.402000000000001</v>
      </c>
      <c r="E411" s="8">
        <v>6.0999999999999999E-2</v>
      </c>
      <c r="F411" s="8">
        <v>0.98099999999999998</v>
      </c>
      <c r="G411" s="8">
        <v>3.5999999999999997E-2</v>
      </c>
      <c r="H411" s="8">
        <v>2.1000000000000001E-2</v>
      </c>
      <c r="I411" s="8">
        <v>0.05</v>
      </c>
      <c r="J411" s="8">
        <v>0.12</v>
      </c>
      <c r="K411" s="38">
        <f t="shared" si="66"/>
        <v>0.26700000000000002</v>
      </c>
      <c r="L411" s="38">
        <f t="shared" si="67"/>
        <v>43.673477000000005</v>
      </c>
      <c r="M411" s="29">
        <f t="shared" si="68"/>
        <v>5428.6944699499018</v>
      </c>
      <c r="N411" s="29">
        <f t="shared" si="69"/>
        <v>1.597172329590159E+26</v>
      </c>
      <c r="O411" s="35">
        <f t="shared" si="70"/>
        <v>5176.0830099110972</v>
      </c>
      <c r="P411" s="35">
        <f t="shared" si="71"/>
        <v>43.570006162933488</v>
      </c>
      <c r="Q411" s="35">
        <f t="shared" si="72"/>
        <v>0.10347083706651716</v>
      </c>
      <c r="R411" s="35">
        <f t="shared" si="73"/>
        <v>0.15018045032537616</v>
      </c>
      <c r="S411" s="18">
        <v>4864.4042761897581</v>
      </c>
      <c r="T411" s="35">
        <f t="shared" si="74"/>
        <v>43.435148307908754</v>
      </c>
      <c r="U411" s="35">
        <f t="shared" si="75"/>
        <v>0.23832869209125107</v>
      </c>
      <c r="V411" s="35">
        <f t="shared" si="76"/>
        <v>0.79676479504448594</v>
      </c>
    </row>
    <row r="412" spans="1:22" x14ac:dyDescent="0.25">
      <c r="A412" s="34" t="s">
        <v>432</v>
      </c>
      <c r="B412" s="16">
        <v>0.81299999999999994</v>
      </c>
      <c r="C412" s="8">
        <v>1E-3</v>
      </c>
      <c r="D412" s="8">
        <v>24.294</v>
      </c>
      <c r="E412" s="8">
        <v>5.8000000000000003E-2</v>
      </c>
      <c r="F412" s="8">
        <v>0.95399999999999996</v>
      </c>
      <c r="G412" s="8">
        <v>0.03</v>
      </c>
      <c r="H412" s="8">
        <v>-0.104</v>
      </c>
      <c r="I412" s="8">
        <v>4.5999999999999999E-2</v>
      </c>
      <c r="J412" s="8">
        <v>0.12</v>
      </c>
      <c r="K412" s="38">
        <f t="shared" si="66"/>
        <v>0.254</v>
      </c>
      <c r="L412" s="38">
        <f t="shared" si="67"/>
        <v>43.952758000000003</v>
      </c>
      <c r="M412" s="29">
        <f t="shared" si="68"/>
        <v>6173.7864038087719</v>
      </c>
      <c r="N412" s="29">
        <f t="shared" si="69"/>
        <v>1.6017396862314668E+26</v>
      </c>
      <c r="O412" s="35">
        <f t="shared" si="70"/>
        <v>5190.8848047289075</v>
      </c>
      <c r="P412" s="35">
        <f t="shared" si="71"/>
        <v>43.576206955966498</v>
      </c>
      <c r="Q412" s="35">
        <f t="shared" si="72"/>
        <v>0.37655104403350492</v>
      </c>
      <c r="R412" s="35">
        <f t="shared" si="73"/>
        <v>2.197760071342342</v>
      </c>
      <c r="S412" s="18">
        <v>4879.1757540302979</v>
      </c>
      <c r="T412" s="35">
        <f t="shared" si="74"/>
        <v>43.441732311129869</v>
      </c>
      <c r="U412" s="35">
        <f t="shared" si="75"/>
        <v>0.51102568887013433</v>
      </c>
      <c r="V412" s="35">
        <f t="shared" si="76"/>
        <v>4.0477905432016144</v>
      </c>
    </row>
    <row r="413" spans="1:22" x14ac:dyDescent="0.25">
      <c r="A413" s="34" t="s">
        <v>433</v>
      </c>
      <c r="B413" s="16">
        <v>0.81699999999999995</v>
      </c>
      <c r="C413" s="8">
        <v>1E-3</v>
      </c>
      <c r="D413" s="8">
        <v>24.292999999999999</v>
      </c>
      <c r="E413" s="8">
        <v>0.06</v>
      </c>
      <c r="F413" s="8">
        <v>1.139</v>
      </c>
      <c r="G413" s="8">
        <v>5.1999999999999998E-2</v>
      </c>
      <c r="H413" s="8">
        <v>-2.1999999999999999E-2</v>
      </c>
      <c r="I413" s="8">
        <v>4.8000000000000001E-2</v>
      </c>
      <c r="J413" s="8">
        <v>0.12</v>
      </c>
      <c r="K413" s="38">
        <f t="shared" si="66"/>
        <v>0.27999999999999997</v>
      </c>
      <c r="L413" s="38">
        <f t="shared" si="67"/>
        <v>43.722293000000001</v>
      </c>
      <c r="M413" s="29">
        <f t="shared" si="68"/>
        <v>5552.1168791955197</v>
      </c>
      <c r="N413" s="29">
        <f t="shared" si="69"/>
        <v>1.6108809866576843E+26</v>
      </c>
      <c r="O413" s="35">
        <f t="shared" si="70"/>
        <v>5220.5097418431005</v>
      </c>
      <c r="P413" s="35">
        <f t="shared" si="71"/>
        <v>43.588564552618003</v>
      </c>
      <c r="Q413" s="35">
        <f t="shared" si="72"/>
        <v>0.13372844738199774</v>
      </c>
      <c r="R413" s="35">
        <f t="shared" si="73"/>
        <v>0.22810328621428241</v>
      </c>
      <c r="S413" s="18">
        <v>4908.7474306175363</v>
      </c>
      <c r="T413" s="35">
        <f t="shared" si="74"/>
        <v>43.45485343478029</v>
      </c>
      <c r="U413" s="35">
        <f t="shared" si="75"/>
        <v>0.26743956521971057</v>
      </c>
      <c r="V413" s="35">
        <f t="shared" si="76"/>
        <v>0.91229491128708984</v>
      </c>
    </row>
    <row r="414" spans="1:22" x14ac:dyDescent="0.25">
      <c r="A414" s="34" t="s">
        <v>434</v>
      </c>
      <c r="B414" s="16">
        <v>0.82</v>
      </c>
      <c r="C414" s="8">
        <v>0.02</v>
      </c>
      <c r="D414" s="8">
        <v>24.215</v>
      </c>
      <c r="E414" s="8">
        <v>6.7000000000000004E-2</v>
      </c>
      <c r="F414" s="8">
        <v>1.2190000000000001</v>
      </c>
      <c r="G414" s="8">
        <v>8.5000000000000006E-2</v>
      </c>
      <c r="H414" s="8">
        <v>1.7999999999999999E-2</v>
      </c>
      <c r="I414" s="8">
        <v>6.0999999999999999E-2</v>
      </c>
      <c r="J414" s="8">
        <v>0.12</v>
      </c>
      <c r="K414" s="38">
        <f t="shared" si="66"/>
        <v>0.33300000000000002</v>
      </c>
      <c r="L414" s="38">
        <f t="shared" si="67"/>
        <v>43.530853</v>
      </c>
      <c r="M414" s="29">
        <f t="shared" si="68"/>
        <v>5083.5909748127424</v>
      </c>
      <c r="N414" s="29">
        <f t="shared" si="69"/>
        <v>1.61774270733305E+26</v>
      </c>
      <c r="O414" s="35">
        <f t="shared" si="70"/>
        <v>5242.7470641085256</v>
      </c>
      <c r="P414" s="35">
        <f t="shared" si="71"/>
        <v>43.59779452859177</v>
      </c>
      <c r="Q414" s="35">
        <f t="shared" si="72"/>
        <v>-6.6941528591769384E-2</v>
      </c>
      <c r="R414" s="35">
        <f t="shared" si="73"/>
        <v>4.0411296433394452E-2</v>
      </c>
      <c r="S414" s="18">
        <v>4930.9512332501263</v>
      </c>
      <c r="T414" s="35">
        <f t="shared" si="74"/>
        <v>43.46465353705733</v>
      </c>
      <c r="U414" s="35">
        <f t="shared" si="75"/>
        <v>6.6199462942670095E-2</v>
      </c>
      <c r="V414" s="35">
        <f t="shared" si="76"/>
        <v>3.9520321167094578E-2</v>
      </c>
    </row>
    <row r="415" spans="1:22" x14ac:dyDescent="0.25">
      <c r="A415" s="34" t="s">
        <v>435</v>
      </c>
      <c r="B415" s="16">
        <v>0.82199999999999995</v>
      </c>
      <c r="C415" s="8">
        <v>0</v>
      </c>
      <c r="D415" s="8">
        <v>24.376999999999999</v>
      </c>
      <c r="E415" s="8">
        <v>5.7000000000000002E-2</v>
      </c>
      <c r="F415" s="8">
        <v>0.93400000000000005</v>
      </c>
      <c r="G415" s="8">
        <v>2.5999999999999999E-2</v>
      </c>
      <c r="H415" s="8">
        <v>-8.4000000000000005E-2</v>
      </c>
      <c r="I415" s="8">
        <v>4.7E-2</v>
      </c>
      <c r="J415" s="8">
        <v>0.12</v>
      </c>
      <c r="K415" s="38">
        <f t="shared" si="66"/>
        <v>0.25</v>
      </c>
      <c r="L415" s="38">
        <f t="shared" si="67"/>
        <v>43.970218000000003</v>
      </c>
      <c r="M415" s="29">
        <f t="shared" si="68"/>
        <v>6223.6276271734932</v>
      </c>
      <c r="N415" s="29">
        <f t="shared" si="69"/>
        <v>1.6223199149416065E+26</v>
      </c>
      <c r="O415" s="35">
        <f t="shared" si="70"/>
        <v>5257.580783736993</v>
      </c>
      <c r="P415" s="35">
        <f t="shared" si="71"/>
        <v>43.603929772138123</v>
      </c>
      <c r="Q415" s="35">
        <f t="shared" si="72"/>
        <v>0.36628822786187953</v>
      </c>
      <c r="R415" s="35">
        <f t="shared" si="73"/>
        <v>2.1466730539231391</v>
      </c>
      <c r="S415" s="18">
        <v>4945.7656540292319</v>
      </c>
      <c r="T415" s="35">
        <f t="shared" si="74"/>
        <v>43.471167671354522</v>
      </c>
      <c r="U415" s="35">
        <f t="shared" si="75"/>
        <v>0.49905032864548104</v>
      </c>
      <c r="V415" s="35">
        <f t="shared" si="76"/>
        <v>3.984819688338602</v>
      </c>
    </row>
    <row r="416" spans="1:22" x14ac:dyDescent="0.25">
      <c r="A416" s="34" t="s">
        <v>436</v>
      </c>
      <c r="B416" s="16">
        <v>0.83</v>
      </c>
      <c r="C416" s="8">
        <v>0.01</v>
      </c>
      <c r="D416" s="8">
        <v>24.353000000000002</v>
      </c>
      <c r="E416" s="8">
        <v>0.06</v>
      </c>
      <c r="F416" s="8">
        <v>1.242</v>
      </c>
      <c r="G416" s="8">
        <v>4.2000000000000003E-2</v>
      </c>
      <c r="H416" s="8">
        <v>-1.7999999999999999E-2</v>
      </c>
      <c r="I416" s="8">
        <v>4.7E-2</v>
      </c>
      <c r="J416" s="8">
        <v>0.12</v>
      </c>
      <c r="K416" s="38">
        <f t="shared" si="66"/>
        <v>0.26900000000000002</v>
      </c>
      <c r="L416" s="38">
        <f t="shared" si="67"/>
        <v>43.784914000000001</v>
      </c>
      <c r="M416" s="29">
        <f t="shared" si="68"/>
        <v>5714.5600401518441</v>
      </c>
      <c r="N416" s="29">
        <f t="shared" si="69"/>
        <v>1.640650462421674E+26</v>
      </c>
      <c r="O416" s="35">
        <f t="shared" si="70"/>
        <v>5316.9860424032831</v>
      </c>
      <c r="P416" s="35">
        <f t="shared" si="71"/>
        <v>43.628327601255684</v>
      </c>
      <c r="Q416" s="35">
        <f t="shared" si="72"/>
        <v>0.15658639874431657</v>
      </c>
      <c r="R416" s="35">
        <f t="shared" si="73"/>
        <v>0.33884689641815485</v>
      </c>
      <c r="S416" s="18">
        <v>5005.1179566531691</v>
      </c>
      <c r="T416" s="35">
        <f t="shared" si="74"/>
        <v>43.497071585220468</v>
      </c>
      <c r="U416" s="35">
        <f t="shared" si="75"/>
        <v>0.28784241477953287</v>
      </c>
      <c r="V416" s="35">
        <f t="shared" si="76"/>
        <v>1.1449987665470713</v>
      </c>
    </row>
    <row r="417" spans="1:22" x14ac:dyDescent="0.25">
      <c r="A417" s="34" t="s">
        <v>437</v>
      </c>
      <c r="B417" s="16">
        <v>0.83</v>
      </c>
      <c r="C417" s="8">
        <v>0.02</v>
      </c>
      <c r="D417" s="8">
        <v>24.111000000000001</v>
      </c>
      <c r="E417" s="8">
        <v>0.06</v>
      </c>
      <c r="F417" s="8">
        <v>1.0489999999999999</v>
      </c>
      <c r="G417" s="8">
        <v>0.03</v>
      </c>
      <c r="H417" s="8">
        <v>-0.18</v>
      </c>
      <c r="I417" s="8">
        <v>4.5999999999999999E-2</v>
      </c>
      <c r="J417" s="8">
        <v>0.12</v>
      </c>
      <c r="K417" s="38">
        <f t="shared" si="66"/>
        <v>0.25600000000000001</v>
      </c>
      <c r="L417" s="38">
        <f t="shared" si="67"/>
        <v>44.021602999999999</v>
      </c>
      <c r="M417" s="29">
        <f t="shared" si="68"/>
        <v>6372.6578250729781</v>
      </c>
      <c r="N417" s="29">
        <f t="shared" si="69"/>
        <v>1.640650462421674E+26</v>
      </c>
      <c r="O417" s="35">
        <f t="shared" si="70"/>
        <v>5316.9860424032831</v>
      </c>
      <c r="P417" s="35">
        <f t="shared" si="71"/>
        <v>43.628327601255684</v>
      </c>
      <c r="Q417" s="35">
        <f t="shared" si="72"/>
        <v>0.39327539874431494</v>
      </c>
      <c r="R417" s="35">
        <f t="shared" si="73"/>
        <v>2.360008838768004</v>
      </c>
      <c r="S417" s="18">
        <v>5005.1179566531691</v>
      </c>
      <c r="T417" s="35">
        <f t="shared" si="74"/>
        <v>43.497071585220468</v>
      </c>
      <c r="U417" s="35">
        <f t="shared" si="75"/>
        <v>0.52453141477953125</v>
      </c>
      <c r="V417" s="35">
        <f t="shared" si="76"/>
        <v>4.1981995405672716</v>
      </c>
    </row>
    <row r="418" spans="1:22" x14ac:dyDescent="0.25">
      <c r="A418" s="34" t="s">
        <v>438</v>
      </c>
      <c r="B418" s="16">
        <v>0.83599999999999997</v>
      </c>
      <c r="C418" s="8">
        <v>1E-3</v>
      </c>
      <c r="D418" s="8">
        <v>24.318999999999999</v>
      </c>
      <c r="E418" s="8">
        <v>8.1000000000000003E-2</v>
      </c>
      <c r="F418" s="8">
        <v>0.93300000000000005</v>
      </c>
      <c r="G418" s="8">
        <v>0.10199999999999999</v>
      </c>
      <c r="H418" s="8">
        <v>-0.04</v>
      </c>
      <c r="I418" s="8">
        <v>6.9000000000000006E-2</v>
      </c>
      <c r="J418" s="8">
        <v>0.12</v>
      </c>
      <c r="K418" s="38">
        <f t="shared" si="66"/>
        <v>0.372</v>
      </c>
      <c r="L418" s="38">
        <f t="shared" si="67"/>
        <v>43.774350999999996</v>
      </c>
      <c r="M418" s="29">
        <f t="shared" si="68"/>
        <v>5686.8294001838522</v>
      </c>
      <c r="N418" s="29">
        <f t="shared" si="69"/>
        <v>1.6544210472816309E+26</v>
      </c>
      <c r="O418" s="35">
        <f t="shared" si="70"/>
        <v>5361.6134686425376</v>
      </c>
      <c r="P418" s="35">
        <f t="shared" si="71"/>
        <v>43.646477507310678</v>
      </c>
      <c r="Q418" s="35">
        <f t="shared" si="72"/>
        <v>0.12787349268931791</v>
      </c>
      <c r="R418" s="35">
        <f t="shared" si="73"/>
        <v>0.11816127682799341</v>
      </c>
      <c r="S418" s="18">
        <v>5049.7309362213273</v>
      </c>
      <c r="T418" s="35">
        <f t="shared" si="74"/>
        <v>43.516341191556251</v>
      </c>
      <c r="U418" s="35">
        <f t="shared" si="75"/>
        <v>0.25800980844374521</v>
      </c>
      <c r="V418" s="35">
        <f t="shared" si="76"/>
        <v>0.48104593922113897</v>
      </c>
    </row>
    <row r="419" spans="1:22" x14ac:dyDescent="0.25">
      <c r="A419" s="34" t="s">
        <v>439</v>
      </c>
      <c r="B419" s="16">
        <v>0.83899999999999997</v>
      </c>
      <c r="C419" s="8">
        <v>1E-3</v>
      </c>
      <c r="D419" s="8">
        <v>24.396999999999998</v>
      </c>
      <c r="E419" s="8">
        <v>5.1999999999999998E-2</v>
      </c>
      <c r="F419" s="8">
        <v>0.98499999999999999</v>
      </c>
      <c r="G419" s="8">
        <v>4.7E-2</v>
      </c>
      <c r="H419" s="8">
        <v>0</v>
      </c>
      <c r="I419" s="8">
        <v>4.3999999999999997E-2</v>
      </c>
      <c r="J419" s="8">
        <v>0.12</v>
      </c>
      <c r="K419" s="38">
        <f t="shared" si="66"/>
        <v>0.26300000000000001</v>
      </c>
      <c r="L419" s="38">
        <f t="shared" si="67"/>
        <v>43.734794999999998</v>
      </c>
      <c r="M419" s="29">
        <f t="shared" si="68"/>
        <v>5584.174742944756</v>
      </c>
      <c r="N419" s="29">
        <f t="shared" si="69"/>
        <v>1.661313584221738E+26</v>
      </c>
      <c r="O419" s="35">
        <f t="shared" si="70"/>
        <v>5383.950659620562</v>
      </c>
      <c r="P419" s="35">
        <f t="shared" si="71"/>
        <v>43.655505356049218</v>
      </c>
      <c r="Q419" s="35">
        <f t="shared" si="72"/>
        <v>7.9289643950779976E-2</v>
      </c>
      <c r="R419" s="35">
        <f t="shared" si="73"/>
        <v>9.089111650944004E-2</v>
      </c>
      <c r="S419" s="18">
        <v>5072.0689652030569</v>
      </c>
      <c r="T419" s="35">
        <f t="shared" si="74"/>
        <v>43.525925750199917</v>
      </c>
      <c r="U419" s="35">
        <f t="shared" si="75"/>
        <v>0.20886924980008104</v>
      </c>
      <c r="V419" s="35">
        <f t="shared" si="76"/>
        <v>0.63072132764748157</v>
      </c>
    </row>
    <row r="420" spans="1:22" x14ac:dyDescent="0.25">
      <c r="A420" s="34" t="s">
        <v>440</v>
      </c>
      <c r="B420" s="16">
        <v>0.83899999999999997</v>
      </c>
      <c r="C420" s="8">
        <v>1E-3</v>
      </c>
      <c r="D420" s="8">
        <v>24.195</v>
      </c>
      <c r="E420" s="8">
        <v>5.8000000000000003E-2</v>
      </c>
      <c r="F420" s="8">
        <v>1.024</v>
      </c>
      <c r="G420" s="8">
        <v>0.03</v>
      </c>
      <c r="H420" s="8">
        <v>-0.10199999999999999</v>
      </c>
      <c r="I420" s="8">
        <v>4.5999999999999999E-2</v>
      </c>
      <c r="J420" s="8">
        <v>0.12</v>
      </c>
      <c r="K420" s="38">
        <f t="shared" si="66"/>
        <v>0.254</v>
      </c>
      <c r="L420" s="38">
        <f t="shared" si="67"/>
        <v>43.857787999999999</v>
      </c>
      <c r="M420" s="29">
        <f t="shared" si="68"/>
        <v>5909.593386652321</v>
      </c>
      <c r="N420" s="29">
        <f t="shared" si="69"/>
        <v>1.661313584221738E+26</v>
      </c>
      <c r="O420" s="35">
        <f t="shared" si="70"/>
        <v>5383.950659620562</v>
      </c>
      <c r="P420" s="35">
        <f t="shared" si="71"/>
        <v>43.655505356049218</v>
      </c>
      <c r="Q420" s="35">
        <f t="shared" si="72"/>
        <v>0.20228264395078099</v>
      </c>
      <c r="R420" s="35">
        <f t="shared" si="73"/>
        <v>0.63423442314648193</v>
      </c>
      <c r="S420" s="18">
        <v>5072.0689652030569</v>
      </c>
      <c r="T420" s="35">
        <f t="shared" si="74"/>
        <v>43.525925750199917</v>
      </c>
      <c r="U420" s="35">
        <f t="shared" si="75"/>
        <v>0.33186224980008205</v>
      </c>
      <c r="V420" s="35">
        <f t="shared" si="76"/>
        <v>1.7070579831727331</v>
      </c>
    </row>
    <row r="421" spans="1:22" x14ac:dyDescent="0.25">
      <c r="A421" s="34" t="s">
        <v>441</v>
      </c>
      <c r="B421" s="16">
        <v>0.84</v>
      </c>
      <c r="C421" s="8">
        <v>0.01</v>
      </c>
      <c r="D421" s="8">
        <v>24.29</v>
      </c>
      <c r="E421" s="8">
        <v>8.3000000000000004E-2</v>
      </c>
      <c r="F421" s="8">
        <v>1.1759999999999999</v>
      </c>
      <c r="G421" s="8">
        <v>9.1999999999999998E-2</v>
      </c>
      <c r="H421" s="8">
        <v>-1E-3</v>
      </c>
      <c r="I421" s="8">
        <v>6.0999999999999999E-2</v>
      </c>
      <c r="J421" s="8">
        <v>0.12</v>
      </c>
      <c r="K421" s="38">
        <f t="shared" si="66"/>
        <v>0.35599999999999998</v>
      </c>
      <c r="L421" s="38">
        <f t="shared" si="67"/>
        <v>43.659002000000001</v>
      </c>
      <c r="M421" s="29">
        <f t="shared" si="68"/>
        <v>5392.6272257066476</v>
      </c>
      <c r="N421" s="29">
        <f t="shared" si="69"/>
        <v>1.6636121660167794E+26</v>
      </c>
      <c r="O421" s="35">
        <f t="shared" si="70"/>
        <v>5391.3998559006268</v>
      </c>
      <c r="P421" s="35">
        <f t="shared" si="71"/>
        <v>43.65850771346652</v>
      </c>
      <c r="Q421" s="35">
        <f t="shared" si="72"/>
        <v>4.9428653348115859E-4</v>
      </c>
      <c r="R421" s="35">
        <f t="shared" si="73"/>
        <v>1.9277804032068278E-6</v>
      </c>
      <c r="S421" s="18">
        <v>5079.5196297933435</v>
      </c>
      <c r="T421" s="35">
        <f t="shared" si="74"/>
        <v>43.529113214968405</v>
      </c>
      <c r="U421" s="35">
        <f t="shared" si="75"/>
        <v>0.1298887850315964</v>
      </c>
      <c r="V421" s="35">
        <f t="shared" si="76"/>
        <v>0.13312000123867143</v>
      </c>
    </row>
    <row r="422" spans="1:22" x14ac:dyDescent="0.25">
      <c r="A422" s="34" t="s">
        <v>442</v>
      </c>
      <c r="B422" s="16">
        <v>0.84199999999999997</v>
      </c>
      <c r="C422" s="8">
        <v>1E-3</v>
      </c>
      <c r="D422" s="8">
        <v>24.254000000000001</v>
      </c>
      <c r="E422" s="8">
        <v>0.06</v>
      </c>
      <c r="F422" s="8">
        <v>1.1839999999999999</v>
      </c>
      <c r="G422" s="8">
        <v>4.1000000000000002E-2</v>
      </c>
      <c r="H422" s="8">
        <v>1.4999999999999999E-2</v>
      </c>
      <c r="I422" s="8">
        <v>4.8000000000000001E-2</v>
      </c>
      <c r="J422" s="8">
        <v>0.12</v>
      </c>
      <c r="K422" s="38">
        <f t="shared" si="66"/>
        <v>0.26900000000000002</v>
      </c>
      <c r="L422" s="38">
        <f t="shared" si="67"/>
        <v>43.574098000000006</v>
      </c>
      <c r="M422" s="29">
        <f t="shared" si="68"/>
        <v>5185.845812262025</v>
      </c>
      <c r="N422" s="29">
        <f t="shared" si="69"/>
        <v>1.6682109304425542E+26</v>
      </c>
      <c r="O422" s="35">
        <f t="shared" si="70"/>
        <v>5406.3034364159148</v>
      </c>
      <c r="P422" s="35">
        <f t="shared" si="71"/>
        <v>43.66450208718976</v>
      </c>
      <c r="Q422" s="35">
        <f t="shared" si="72"/>
        <v>-9.0404087189753568E-2</v>
      </c>
      <c r="R422" s="35">
        <f t="shared" si="73"/>
        <v>0.11294618621374171</v>
      </c>
      <c r="S422" s="18">
        <v>5094.42792565122</v>
      </c>
      <c r="T422" s="35">
        <f t="shared" si="74"/>
        <v>43.535477111798528</v>
      </c>
      <c r="U422" s="35">
        <f t="shared" si="75"/>
        <v>3.8620888201478465E-2</v>
      </c>
      <c r="V422" s="35">
        <f t="shared" si="76"/>
        <v>2.0612940748070071E-2</v>
      </c>
    </row>
    <row r="423" spans="1:22" x14ac:dyDescent="0.25">
      <c r="A423" s="34" t="s">
        <v>443</v>
      </c>
      <c r="B423" s="16">
        <v>0.84199999999999997</v>
      </c>
      <c r="C423" s="8">
        <v>1E-3</v>
      </c>
      <c r="D423" s="8">
        <v>24.196000000000002</v>
      </c>
      <c r="E423" s="8">
        <v>6.5000000000000002E-2</v>
      </c>
      <c r="F423" s="8">
        <v>1.1220000000000001</v>
      </c>
      <c r="G423" s="8">
        <v>7.6999999999999999E-2</v>
      </c>
      <c r="H423" s="8">
        <v>4.8000000000000001E-2</v>
      </c>
      <c r="I423" s="8">
        <v>5.7000000000000002E-2</v>
      </c>
      <c r="J423" s="8">
        <v>0.12</v>
      </c>
      <c r="K423" s="38">
        <f t="shared" si="66"/>
        <v>0.31900000000000001</v>
      </c>
      <c r="L423" s="38">
        <f t="shared" si="67"/>
        <v>43.403694000000002</v>
      </c>
      <c r="M423" s="29">
        <f t="shared" si="68"/>
        <v>4794.4500678968834</v>
      </c>
      <c r="N423" s="29">
        <f t="shared" si="69"/>
        <v>1.6682109304425542E+26</v>
      </c>
      <c r="O423" s="35">
        <f t="shared" si="70"/>
        <v>5406.3034364159148</v>
      </c>
      <c r="P423" s="35">
        <f t="shared" si="71"/>
        <v>43.66450208718976</v>
      </c>
      <c r="Q423" s="35">
        <f t="shared" si="72"/>
        <v>-0.26080808718975845</v>
      </c>
      <c r="R423" s="35">
        <f t="shared" si="73"/>
        <v>0.66843740080758496</v>
      </c>
      <c r="S423" s="18">
        <v>5094.42792565122</v>
      </c>
      <c r="T423" s="35">
        <f t="shared" si="74"/>
        <v>43.535477111798528</v>
      </c>
      <c r="U423" s="35">
        <f t="shared" si="75"/>
        <v>-0.13178311179852642</v>
      </c>
      <c r="V423" s="35">
        <f t="shared" si="76"/>
        <v>0.17066251860047477</v>
      </c>
    </row>
    <row r="424" spans="1:22" x14ac:dyDescent="0.25">
      <c r="A424" s="34" t="s">
        <v>444</v>
      </c>
      <c r="B424" s="16">
        <v>0.85</v>
      </c>
      <c r="C424" s="8">
        <v>0.02</v>
      </c>
      <c r="D424" s="8">
        <v>24.306999999999999</v>
      </c>
      <c r="E424" s="8">
        <v>5.8000000000000003E-2</v>
      </c>
      <c r="F424" s="8">
        <v>1.1100000000000001</v>
      </c>
      <c r="G424" s="8">
        <v>3.1E-2</v>
      </c>
      <c r="H424" s="8">
        <v>-2.5999999999999999E-2</v>
      </c>
      <c r="I424" s="8">
        <v>4.4999999999999998E-2</v>
      </c>
      <c r="J424" s="8">
        <v>0.12</v>
      </c>
      <c r="K424" s="38">
        <f t="shared" si="66"/>
        <v>0.254</v>
      </c>
      <c r="L424" s="38">
        <f t="shared" si="67"/>
        <v>43.744549999999997</v>
      </c>
      <c r="M424" s="29">
        <f t="shared" si="68"/>
        <v>5609.3172061530004</v>
      </c>
      <c r="N424" s="29">
        <f t="shared" si="69"/>
        <v>1.686627250239352E+26</v>
      </c>
      <c r="O424" s="35">
        <f t="shared" si="70"/>
        <v>5465.9866642300067</v>
      </c>
      <c r="P424" s="35">
        <f t="shared" si="71"/>
        <v>43.688342838888602</v>
      </c>
      <c r="Q424" s="35">
        <f t="shared" si="72"/>
        <v>5.620716111139501E-2</v>
      </c>
      <c r="R424" s="35">
        <f t="shared" si="73"/>
        <v>4.8968394819925529E-2</v>
      </c>
      <c r="S424" s="18">
        <v>5154.1536159646548</v>
      </c>
      <c r="T424" s="35">
        <f t="shared" si="74"/>
        <v>43.560786791264164</v>
      </c>
      <c r="U424" s="35">
        <f t="shared" si="75"/>
        <v>0.18376320873583296</v>
      </c>
      <c r="V424" s="35">
        <f t="shared" si="76"/>
        <v>0.52341925855430149</v>
      </c>
    </row>
    <row r="425" spans="1:22" x14ac:dyDescent="0.25">
      <c r="A425" s="34" t="s">
        <v>445</v>
      </c>
      <c r="B425" s="16">
        <v>0.85</v>
      </c>
      <c r="C425" s="8">
        <v>0.02</v>
      </c>
      <c r="D425" s="8">
        <v>24.204999999999998</v>
      </c>
      <c r="E425" s="8">
        <v>7.2999999999999995E-2</v>
      </c>
      <c r="F425" s="8">
        <v>1.1679999999999999</v>
      </c>
      <c r="G425" s="8">
        <v>5.8999999999999997E-2</v>
      </c>
      <c r="H425" s="8">
        <v>-5.8999999999999997E-2</v>
      </c>
      <c r="I425" s="8">
        <v>5.0999999999999997E-2</v>
      </c>
      <c r="J425" s="8">
        <v>0.12</v>
      </c>
      <c r="K425" s="38">
        <f t="shared" si="66"/>
        <v>0.30299999999999999</v>
      </c>
      <c r="L425" s="38">
        <f t="shared" si="67"/>
        <v>43.754365999999997</v>
      </c>
      <c r="M425" s="29">
        <f t="shared" si="68"/>
        <v>5634.731158067013</v>
      </c>
      <c r="N425" s="29">
        <f t="shared" si="69"/>
        <v>1.686627250239352E+26</v>
      </c>
      <c r="O425" s="35">
        <f t="shared" si="70"/>
        <v>5465.9866642300067</v>
      </c>
      <c r="P425" s="35">
        <f t="shared" si="71"/>
        <v>43.688342838888602</v>
      </c>
      <c r="Q425" s="35">
        <f t="shared" si="72"/>
        <v>6.6023161111395723E-2</v>
      </c>
      <c r="R425" s="35">
        <f t="shared" si="73"/>
        <v>4.7479634928398268E-2</v>
      </c>
      <c r="S425" s="18">
        <v>5154.1536159646548</v>
      </c>
      <c r="T425" s="35">
        <f t="shared" si="74"/>
        <v>43.560786791264164</v>
      </c>
      <c r="U425" s="35">
        <f t="shared" si="75"/>
        <v>0.19357920873583367</v>
      </c>
      <c r="V425" s="35">
        <f t="shared" si="76"/>
        <v>0.40816161873881057</v>
      </c>
    </row>
    <row r="426" spans="1:22" x14ac:dyDescent="0.25">
      <c r="A426" s="34" t="s">
        <v>446</v>
      </c>
      <c r="B426" s="16">
        <v>0.85</v>
      </c>
      <c r="C426" s="8">
        <v>0.01</v>
      </c>
      <c r="D426" s="8">
        <v>24.138999999999999</v>
      </c>
      <c r="E426" s="8">
        <v>5.6000000000000001E-2</v>
      </c>
      <c r="F426" s="8">
        <v>1.131</v>
      </c>
      <c r="G426" s="8">
        <v>2.5000000000000001E-2</v>
      </c>
      <c r="H426" s="8">
        <v>-8.2000000000000003E-2</v>
      </c>
      <c r="I426" s="8">
        <v>4.2000000000000003E-2</v>
      </c>
      <c r="J426" s="8">
        <v>0.12</v>
      </c>
      <c r="K426" s="38">
        <f t="shared" si="66"/>
        <v>0.24299999999999999</v>
      </c>
      <c r="L426" s="38">
        <f t="shared" si="67"/>
        <v>43.754916999999999</v>
      </c>
      <c r="M426" s="29">
        <f t="shared" si="68"/>
        <v>5636.1611236485933</v>
      </c>
      <c r="N426" s="29">
        <f t="shared" si="69"/>
        <v>1.686627250239352E+26</v>
      </c>
      <c r="O426" s="35">
        <f t="shared" si="70"/>
        <v>5465.9866642300067</v>
      </c>
      <c r="P426" s="35">
        <f t="shared" si="71"/>
        <v>43.688342838888602</v>
      </c>
      <c r="Q426" s="35">
        <f t="shared" si="72"/>
        <v>6.6574161111397245E-2</v>
      </c>
      <c r="R426" s="35">
        <f t="shared" si="73"/>
        <v>7.505832321777299E-2</v>
      </c>
      <c r="S426" s="18">
        <v>5154.1536159646548</v>
      </c>
      <c r="T426" s="35">
        <f t="shared" si="74"/>
        <v>43.560786791264164</v>
      </c>
      <c r="U426" s="35">
        <f t="shared" si="75"/>
        <v>0.1941302087358352</v>
      </c>
      <c r="V426" s="35">
        <f t="shared" si="76"/>
        <v>0.63822482927431368</v>
      </c>
    </row>
    <row r="427" spans="1:22" x14ac:dyDescent="0.25">
      <c r="A427" s="34" t="s">
        <v>447</v>
      </c>
      <c r="B427" s="16">
        <v>0.85499999999999998</v>
      </c>
      <c r="C427" s="8">
        <v>1E-3</v>
      </c>
      <c r="D427" s="8">
        <v>24.437999999999999</v>
      </c>
      <c r="E427" s="8">
        <v>7.0999999999999994E-2</v>
      </c>
      <c r="F427" s="8">
        <v>1.046</v>
      </c>
      <c r="G427" s="8">
        <v>3.7999999999999999E-2</v>
      </c>
      <c r="H427" s="8">
        <v>8.0000000000000002E-3</v>
      </c>
      <c r="I427" s="8">
        <v>4.9000000000000002E-2</v>
      </c>
      <c r="J427" s="8">
        <v>0.12</v>
      </c>
      <c r="K427" s="38">
        <f t="shared" si="66"/>
        <v>0.27799999999999997</v>
      </c>
      <c r="L427" s="38">
        <f t="shared" si="67"/>
        <v>43.759721999999996</v>
      </c>
      <c r="M427" s="29">
        <f t="shared" si="68"/>
        <v>5648.6465410239307</v>
      </c>
      <c r="N427" s="29">
        <f t="shared" si="69"/>
        <v>1.6981546347992895E+26</v>
      </c>
      <c r="O427" s="35">
        <f t="shared" si="70"/>
        <v>5503.3443733913691</v>
      </c>
      <c r="P427" s="35">
        <f t="shared" si="71"/>
        <v>43.703133448831473</v>
      </c>
      <c r="Q427" s="35">
        <f t="shared" si="72"/>
        <v>5.6588551168523793E-2</v>
      </c>
      <c r="R427" s="35">
        <f t="shared" si="73"/>
        <v>4.1435020487457126E-2</v>
      </c>
      <c r="S427" s="18">
        <v>5191.5569134309553</v>
      </c>
      <c r="T427" s="35">
        <f t="shared" si="74"/>
        <v>43.57648809705919</v>
      </c>
      <c r="U427" s="35">
        <f t="shared" si="75"/>
        <v>0.1832339029408061</v>
      </c>
      <c r="V427" s="35">
        <f t="shared" si="76"/>
        <v>0.43443226524145701</v>
      </c>
    </row>
    <row r="428" spans="1:22" x14ac:dyDescent="0.25">
      <c r="A428" s="34" t="s">
        <v>448</v>
      </c>
      <c r="B428" s="16">
        <v>0.86</v>
      </c>
      <c r="C428" s="8">
        <v>1.2999999999999999E-2</v>
      </c>
      <c r="D428" s="8">
        <v>24.242999999999999</v>
      </c>
      <c r="E428" s="8">
        <v>0.06</v>
      </c>
      <c r="F428" s="8">
        <v>1.08</v>
      </c>
      <c r="G428" s="8">
        <v>3.1E-2</v>
      </c>
      <c r="H428" s="8">
        <v>4.5999999999999999E-2</v>
      </c>
      <c r="I428" s="8">
        <v>4.5999999999999999E-2</v>
      </c>
      <c r="J428" s="8">
        <v>0.12</v>
      </c>
      <c r="K428" s="38">
        <f t="shared" si="66"/>
        <v>0.25700000000000001</v>
      </c>
      <c r="L428" s="38">
        <f t="shared" si="67"/>
        <v>43.450779999999995</v>
      </c>
      <c r="M428" s="29">
        <f t="shared" si="68"/>
        <v>4899.5478112527489</v>
      </c>
      <c r="N428" s="29">
        <f t="shared" si="69"/>
        <v>1.7096951551527393E+26</v>
      </c>
      <c r="O428" s="35">
        <f t="shared" si="70"/>
        <v>5540.744652760317</v>
      </c>
      <c r="P428" s="35">
        <f t="shared" si="71"/>
        <v>43.71784068000683</v>
      </c>
      <c r="Q428" s="35">
        <f t="shared" si="72"/>
        <v>-0.26706068000683558</v>
      </c>
      <c r="R428" s="35">
        <f t="shared" si="73"/>
        <v>1.0798256870764649</v>
      </c>
      <c r="S428" s="18">
        <v>5229.0173185003696</v>
      </c>
      <c r="T428" s="35">
        <f t="shared" si="74"/>
        <v>43.592100401074731</v>
      </c>
      <c r="U428" s="35">
        <f t="shared" si="75"/>
        <v>-0.14132040107473642</v>
      </c>
      <c r="V428" s="35">
        <f t="shared" si="76"/>
        <v>0.30237332525737504</v>
      </c>
    </row>
    <row r="429" spans="1:22" x14ac:dyDescent="0.25">
      <c r="A429" s="34" t="s">
        <v>449</v>
      </c>
      <c r="B429" s="16">
        <v>0.86</v>
      </c>
      <c r="C429" s="8">
        <v>0.02</v>
      </c>
      <c r="D429" s="8">
        <v>24.391999999999999</v>
      </c>
      <c r="E429" s="8">
        <v>8.4000000000000005E-2</v>
      </c>
      <c r="F429" s="8">
        <v>1.095</v>
      </c>
      <c r="G429" s="8">
        <v>7.0999999999999994E-2</v>
      </c>
      <c r="H429" s="8">
        <v>-8.2000000000000003E-2</v>
      </c>
      <c r="I429" s="8">
        <v>6.0999999999999999E-2</v>
      </c>
      <c r="J429" s="8">
        <v>0.12</v>
      </c>
      <c r="K429" s="38">
        <f t="shared" si="66"/>
        <v>0.33599999999999997</v>
      </c>
      <c r="L429" s="38">
        <f t="shared" si="67"/>
        <v>44.002624999999995</v>
      </c>
      <c r="M429" s="29">
        <f t="shared" si="68"/>
        <v>6317.2054299850442</v>
      </c>
      <c r="N429" s="29">
        <f t="shared" si="69"/>
        <v>1.7096951551527393E+26</v>
      </c>
      <c r="O429" s="35">
        <f t="shared" si="70"/>
        <v>5540.744652760317</v>
      </c>
      <c r="P429" s="35">
        <f t="shared" si="71"/>
        <v>43.71784068000683</v>
      </c>
      <c r="Q429" s="35">
        <f t="shared" si="72"/>
        <v>0.28478431999316456</v>
      </c>
      <c r="R429" s="35">
        <f t="shared" si="73"/>
        <v>0.71837894091880272</v>
      </c>
      <c r="S429" s="18">
        <v>5229.0173185003696</v>
      </c>
      <c r="T429" s="35">
        <f t="shared" si="74"/>
        <v>43.592100401074731</v>
      </c>
      <c r="U429" s="35">
        <f t="shared" si="75"/>
        <v>0.41052459892526372</v>
      </c>
      <c r="V429" s="35">
        <f t="shared" si="76"/>
        <v>1.4927937776604012</v>
      </c>
    </row>
    <row r="430" spans="1:22" x14ac:dyDescent="0.25">
      <c r="A430" s="34" t="s">
        <v>450</v>
      </c>
      <c r="B430" s="16">
        <v>0.86</v>
      </c>
      <c r="C430" s="8">
        <v>0.02</v>
      </c>
      <c r="D430" s="8">
        <v>24.617999999999999</v>
      </c>
      <c r="E430" s="8">
        <v>6.7000000000000004E-2</v>
      </c>
      <c r="F430" s="8">
        <v>1.042</v>
      </c>
      <c r="G430" s="8">
        <v>4.7E-2</v>
      </c>
      <c r="H430" s="8">
        <v>6.2E-2</v>
      </c>
      <c r="I430" s="8">
        <v>5.6000000000000001E-2</v>
      </c>
      <c r="J430" s="8">
        <v>0.12</v>
      </c>
      <c r="K430" s="38">
        <f t="shared" si="66"/>
        <v>0.29000000000000004</v>
      </c>
      <c r="L430" s="38">
        <f t="shared" si="67"/>
        <v>43.770114</v>
      </c>
      <c r="M430" s="29">
        <f t="shared" si="68"/>
        <v>5675.7440168093162</v>
      </c>
      <c r="N430" s="29">
        <f t="shared" si="69"/>
        <v>1.7096951551527393E+26</v>
      </c>
      <c r="O430" s="35">
        <f t="shared" si="70"/>
        <v>5540.744652760317</v>
      </c>
      <c r="P430" s="35">
        <f t="shared" si="71"/>
        <v>43.71784068000683</v>
      </c>
      <c r="Q430" s="35">
        <f t="shared" si="72"/>
        <v>5.2273319993169309E-2</v>
      </c>
      <c r="R430" s="35">
        <f t="shared" si="73"/>
        <v>3.2491081844331436E-2</v>
      </c>
      <c r="S430" s="18">
        <v>5229.0173185003696</v>
      </c>
      <c r="T430" s="35">
        <f t="shared" si="74"/>
        <v>43.592100401074731</v>
      </c>
      <c r="U430" s="35">
        <f t="shared" si="75"/>
        <v>0.17801359892526847</v>
      </c>
      <c r="V430" s="35">
        <f t="shared" si="76"/>
        <v>0.37679954105025365</v>
      </c>
    </row>
    <row r="431" spans="1:22" x14ac:dyDescent="0.25">
      <c r="A431" s="34" t="s">
        <v>451</v>
      </c>
      <c r="B431" s="16">
        <v>0.86499999999999999</v>
      </c>
      <c r="C431" s="8">
        <v>1E-3</v>
      </c>
      <c r="D431" s="8">
        <v>24.344999999999999</v>
      </c>
      <c r="E431" s="8">
        <v>6.7000000000000004E-2</v>
      </c>
      <c r="F431" s="8">
        <v>1.018</v>
      </c>
      <c r="G431" s="8">
        <v>0.03</v>
      </c>
      <c r="H431" s="8">
        <v>-0.16700000000000001</v>
      </c>
      <c r="I431" s="8">
        <v>4.5999999999999999E-2</v>
      </c>
      <c r="J431" s="8">
        <v>0.12</v>
      </c>
      <c r="K431" s="38">
        <f t="shared" si="66"/>
        <v>0.26300000000000001</v>
      </c>
      <c r="L431" s="38">
        <f t="shared" si="67"/>
        <v>44.210355999999997</v>
      </c>
      <c r="M431" s="29">
        <f t="shared" si="68"/>
        <v>6951.3827203708443</v>
      </c>
      <c r="N431" s="29">
        <f t="shared" si="69"/>
        <v>1.7212487425259138E+26</v>
      </c>
      <c r="O431" s="35">
        <f t="shared" si="70"/>
        <v>5578.1872794561832</v>
      </c>
      <c r="P431" s="35">
        <f t="shared" si="71"/>
        <v>43.732465454875182</v>
      </c>
      <c r="Q431" s="35">
        <f t="shared" si="72"/>
        <v>0.47789054512481499</v>
      </c>
      <c r="R431" s="35">
        <f t="shared" si="73"/>
        <v>3.3017590700992181</v>
      </c>
      <c r="S431" s="18">
        <v>5266.5345127477285</v>
      </c>
      <c r="T431" s="35">
        <f t="shared" si="74"/>
        <v>43.607624672783444</v>
      </c>
      <c r="U431" s="35">
        <f t="shared" si="75"/>
        <v>0.60273132721655287</v>
      </c>
      <c r="V431" s="35">
        <f t="shared" si="76"/>
        <v>5.2521368359847225</v>
      </c>
    </row>
    <row r="432" spans="1:22" x14ac:dyDescent="0.25">
      <c r="A432" s="34" t="s">
        <v>452</v>
      </c>
      <c r="B432" s="16">
        <v>0.86599999999999999</v>
      </c>
      <c r="C432" s="8">
        <v>1E-3</v>
      </c>
      <c r="D432" s="8">
        <v>24.283000000000001</v>
      </c>
      <c r="E432" s="8">
        <v>6.2E-2</v>
      </c>
      <c r="F432" s="8">
        <v>1.0169999999999999</v>
      </c>
      <c r="G432" s="8">
        <v>3.1E-2</v>
      </c>
      <c r="H432" s="8">
        <v>-0.1</v>
      </c>
      <c r="I432" s="8">
        <v>4.7E-2</v>
      </c>
      <c r="J432" s="8">
        <v>0.12</v>
      </c>
      <c r="K432" s="38">
        <f t="shared" si="66"/>
        <v>0.26</v>
      </c>
      <c r="L432" s="38">
        <f t="shared" si="67"/>
        <v>43.938499</v>
      </c>
      <c r="M432" s="29">
        <f t="shared" si="68"/>
        <v>6133.3789734001939</v>
      </c>
      <c r="N432" s="29">
        <f t="shared" si="69"/>
        <v>1.7235610220246095E+26</v>
      </c>
      <c r="O432" s="35">
        <f t="shared" si="70"/>
        <v>5585.6808669705852</v>
      </c>
      <c r="P432" s="35">
        <f t="shared" si="71"/>
        <v>43.735380595177134</v>
      </c>
      <c r="Q432" s="35">
        <f t="shared" si="72"/>
        <v>0.20311840482286669</v>
      </c>
      <c r="R432" s="35">
        <f t="shared" si="73"/>
        <v>0.61031192866547257</v>
      </c>
      <c r="S432" s="18">
        <v>5274.0447384482768</v>
      </c>
      <c r="T432" s="35">
        <f t="shared" si="74"/>
        <v>43.610719047441428</v>
      </c>
      <c r="U432" s="35">
        <f t="shared" si="75"/>
        <v>0.32777995255857206</v>
      </c>
      <c r="V432" s="35">
        <f t="shared" si="76"/>
        <v>1.5893446346050257</v>
      </c>
    </row>
    <row r="433" spans="1:22" x14ac:dyDescent="0.25">
      <c r="A433" s="34" t="s">
        <v>453</v>
      </c>
      <c r="B433" s="16">
        <v>0.86599999999999999</v>
      </c>
      <c r="C433" s="8">
        <v>1E-3</v>
      </c>
      <c r="D433" s="8">
        <v>24.399000000000001</v>
      </c>
      <c r="E433" s="8">
        <v>6.5000000000000002E-2</v>
      </c>
      <c r="F433" s="8">
        <v>1.165</v>
      </c>
      <c r="G433" s="8">
        <v>4.8000000000000001E-2</v>
      </c>
      <c r="H433" s="8">
        <v>3.9E-2</v>
      </c>
      <c r="I433" s="8">
        <v>5.0999999999999997E-2</v>
      </c>
      <c r="J433" s="8">
        <v>0.12</v>
      </c>
      <c r="K433" s="38">
        <f t="shared" si="66"/>
        <v>0.28400000000000003</v>
      </c>
      <c r="L433" s="38">
        <f t="shared" si="67"/>
        <v>43.641185</v>
      </c>
      <c r="M433" s="29">
        <f t="shared" si="68"/>
        <v>5348.5615755097615</v>
      </c>
      <c r="N433" s="29">
        <f t="shared" si="69"/>
        <v>1.7235610220246095E+26</v>
      </c>
      <c r="O433" s="35">
        <f t="shared" si="70"/>
        <v>5585.6808669705852</v>
      </c>
      <c r="P433" s="35">
        <f t="shared" si="71"/>
        <v>43.735380595177134</v>
      </c>
      <c r="Q433" s="35">
        <f t="shared" si="72"/>
        <v>-9.4195595177133384E-2</v>
      </c>
      <c r="R433" s="35">
        <f t="shared" si="73"/>
        <v>0.11000806078623281</v>
      </c>
      <c r="S433" s="18">
        <v>5274.0447384482768</v>
      </c>
      <c r="T433" s="35">
        <f t="shared" si="74"/>
        <v>43.610719047441428</v>
      </c>
      <c r="U433" s="35">
        <f t="shared" si="75"/>
        <v>3.0465952558571985E-2</v>
      </c>
      <c r="V433" s="35">
        <f t="shared" si="76"/>
        <v>1.1507814239500579E-2</v>
      </c>
    </row>
    <row r="434" spans="1:22" x14ac:dyDescent="0.25">
      <c r="A434" s="34" t="s">
        <v>454</v>
      </c>
      <c r="B434" s="16">
        <v>0.86799999999999999</v>
      </c>
      <c r="C434" s="8">
        <v>1E-3</v>
      </c>
      <c r="D434" s="8">
        <v>24.359000000000002</v>
      </c>
      <c r="E434" s="8">
        <v>7.1999999999999995E-2</v>
      </c>
      <c r="F434" s="8">
        <v>1.036</v>
      </c>
      <c r="G434" s="8">
        <v>3.7999999999999999E-2</v>
      </c>
      <c r="H434" s="8">
        <v>-3.5999999999999997E-2</v>
      </c>
      <c r="I434" s="8">
        <v>5.3999999999999999E-2</v>
      </c>
      <c r="J434" s="8">
        <v>0.12</v>
      </c>
      <c r="K434" s="38">
        <f t="shared" si="66"/>
        <v>0.28399999999999997</v>
      </c>
      <c r="L434" s="38">
        <f t="shared" si="67"/>
        <v>43.816972000000007</v>
      </c>
      <c r="M434" s="29">
        <f t="shared" si="68"/>
        <v>5799.5513755352595</v>
      </c>
      <c r="N434" s="29">
        <f t="shared" si="69"/>
        <v>1.7281871386889505E+26</v>
      </c>
      <c r="O434" s="35">
        <f t="shared" si="70"/>
        <v>5600.6730900541806</v>
      </c>
      <c r="P434" s="35">
        <f t="shared" si="71"/>
        <v>43.741201118718635</v>
      </c>
      <c r="Q434" s="35">
        <f t="shared" si="72"/>
        <v>7.5770881281371771E-2</v>
      </c>
      <c r="R434" s="35">
        <f t="shared" si="73"/>
        <v>7.1181641169357962E-2</v>
      </c>
      <c r="S434" s="18">
        <v>5289.0719565462823</v>
      </c>
      <c r="T434" s="35">
        <f t="shared" si="74"/>
        <v>43.616897377653451</v>
      </c>
      <c r="U434" s="35">
        <f t="shared" si="75"/>
        <v>0.20007462234655549</v>
      </c>
      <c r="V434" s="35">
        <f t="shared" si="76"/>
        <v>0.49630349269882962</v>
      </c>
    </row>
    <row r="435" spans="1:22" x14ac:dyDescent="0.25">
      <c r="A435" s="34" t="s">
        <v>455</v>
      </c>
      <c r="B435" s="16">
        <v>0.87</v>
      </c>
      <c r="C435" s="8">
        <v>0.02</v>
      </c>
      <c r="D435" s="8">
        <v>24.395</v>
      </c>
      <c r="E435" s="8">
        <v>8.5999999999999993E-2</v>
      </c>
      <c r="F435" s="8">
        <v>0.879</v>
      </c>
      <c r="G435" s="8">
        <v>5.8999999999999997E-2</v>
      </c>
      <c r="H435" s="8">
        <v>-0.14699999999999999</v>
      </c>
      <c r="I435" s="8">
        <v>5.6000000000000001E-2</v>
      </c>
      <c r="J435" s="8">
        <v>0.12</v>
      </c>
      <c r="K435" s="38">
        <f t="shared" si="66"/>
        <v>0.32099999999999995</v>
      </c>
      <c r="L435" s="38">
        <f t="shared" si="67"/>
        <v>44.177323000000001</v>
      </c>
      <c r="M435" s="29">
        <f t="shared" si="68"/>
        <v>6846.4367447535506</v>
      </c>
      <c r="N435" s="29">
        <f t="shared" si="69"/>
        <v>1.7328153286242851E+26</v>
      </c>
      <c r="O435" s="35">
        <f t="shared" si="70"/>
        <v>5615.6720321514767</v>
      </c>
      <c r="P435" s="35">
        <f t="shared" si="71"/>
        <v>43.74700868045025</v>
      </c>
      <c r="Q435" s="35">
        <f t="shared" si="72"/>
        <v>0.43031431954975119</v>
      </c>
      <c r="R435" s="35">
        <f t="shared" si="73"/>
        <v>1.7970556730773715</v>
      </c>
      <c r="S435" s="18">
        <v>5304.1081801758701</v>
      </c>
      <c r="T435" s="35">
        <f t="shared" si="74"/>
        <v>43.623061865797986</v>
      </c>
      <c r="U435" s="35">
        <f t="shared" si="75"/>
        <v>0.55426113420201517</v>
      </c>
      <c r="V435" s="35">
        <f t="shared" si="76"/>
        <v>2.9813899795897205</v>
      </c>
    </row>
    <row r="436" spans="1:22" x14ac:dyDescent="0.25">
      <c r="A436" s="34" t="s">
        <v>456</v>
      </c>
      <c r="B436" s="16">
        <v>0.88</v>
      </c>
      <c r="C436" s="8">
        <v>0.01</v>
      </c>
      <c r="D436" s="8">
        <v>24.327000000000002</v>
      </c>
      <c r="E436" s="8">
        <v>6.3E-2</v>
      </c>
      <c r="F436" s="8">
        <v>1.181</v>
      </c>
      <c r="G436" s="8">
        <v>4.7E-2</v>
      </c>
      <c r="H436" s="8">
        <v>-6.0999999999999999E-2</v>
      </c>
      <c r="I436" s="8">
        <v>0.05</v>
      </c>
      <c r="J436" s="8">
        <v>0.12</v>
      </c>
      <c r="K436" s="38">
        <f t="shared" si="66"/>
        <v>0.28000000000000003</v>
      </c>
      <c r="L436" s="38">
        <f t="shared" si="67"/>
        <v>43.884537000000002</v>
      </c>
      <c r="M436" s="29">
        <f t="shared" si="68"/>
        <v>5982.8401571294798</v>
      </c>
      <c r="N436" s="29">
        <f t="shared" si="69"/>
        <v>1.7559872261898414E+26</v>
      </c>
      <c r="O436" s="35">
        <f t="shared" si="70"/>
        <v>5690.7670379153533</v>
      </c>
      <c r="P436" s="35">
        <f t="shared" si="71"/>
        <v>43.775854036617709</v>
      </c>
      <c r="Q436" s="35">
        <f t="shared" si="72"/>
        <v>0.108682963382293</v>
      </c>
      <c r="R436" s="35">
        <f t="shared" si="73"/>
        <v>0.15066309348924539</v>
      </c>
      <c r="S436" s="18">
        <v>5379.4236826154838</v>
      </c>
      <c r="T436" s="35">
        <f t="shared" si="74"/>
        <v>43.653678752991084</v>
      </c>
      <c r="U436" s="35">
        <f t="shared" si="75"/>
        <v>0.23085824700891777</v>
      </c>
      <c r="V436" s="35">
        <f t="shared" si="76"/>
        <v>0.67978992617385825</v>
      </c>
    </row>
    <row r="437" spans="1:22" x14ac:dyDescent="0.25">
      <c r="A437" s="34" t="s">
        <v>457</v>
      </c>
      <c r="B437" s="16">
        <v>0.89</v>
      </c>
      <c r="C437" s="8">
        <v>2E-3</v>
      </c>
      <c r="D437" s="8">
        <v>24.22</v>
      </c>
      <c r="E437" s="8">
        <v>6.4000000000000001E-2</v>
      </c>
      <c r="F437" s="8">
        <v>0.96</v>
      </c>
      <c r="G437" s="8">
        <v>4.5999999999999999E-2</v>
      </c>
      <c r="H437" s="8">
        <v>-0.151</v>
      </c>
      <c r="I437" s="8">
        <v>4.8000000000000001E-2</v>
      </c>
      <c r="J437" s="8">
        <v>0.12</v>
      </c>
      <c r="K437" s="38">
        <f t="shared" si="66"/>
        <v>0.27800000000000002</v>
      </c>
      <c r="L437" s="38">
        <f t="shared" si="67"/>
        <v>44.026749999999993</v>
      </c>
      <c r="M437" s="29">
        <f t="shared" si="68"/>
        <v>6387.7807311277284</v>
      </c>
      <c r="N437" s="29">
        <f t="shared" si="69"/>
        <v>1.7792103109210972E+26</v>
      </c>
      <c r="O437" s="35">
        <f t="shared" si="70"/>
        <v>5766.0279299857939</v>
      </c>
      <c r="P437" s="35">
        <f t="shared" si="71"/>
        <v>43.804383708652665</v>
      </c>
      <c r="Q437" s="35">
        <f t="shared" si="72"/>
        <v>0.22236629134732766</v>
      </c>
      <c r="R437" s="35">
        <f t="shared" si="73"/>
        <v>0.63980600806848242</v>
      </c>
      <c r="S437" s="18">
        <v>5454.9613457036457</v>
      </c>
      <c r="T437" s="35">
        <f t="shared" si="74"/>
        <v>43.683958387447575</v>
      </c>
      <c r="U437" s="35">
        <f t="shared" si="75"/>
        <v>0.34279161255241775</v>
      </c>
      <c r="V437" s="35">
        <f t="shared" si="76"/>
        <v>1.5204452362233689</v>
      </c>
    </row>
    <row r="438" spans="1:22" x14ac:dyDescent="0.25">
      <c r="A438" s="34" t="s">
        <v>458</v>
      </c>
      <c r="B438" s="16">
        <v>0.89100000000000001</v>
      </c>
      <c r="C438" s="8">
        <v>1E-3</v>
      </c>
      <c r="D438" s="8">
        <v>24.568000000000001</v>
      </c>
      <c r="E438" s="8">
        <v>6.8000000000000005E-2</v>
      </c>
      <c r="F438" s="8">
        <v>1.1319999999999999</v>
      </c>
      <c r="G438" s="8">
        <v>5.0999999999999997E-2</v>
      </c>
      <c r="H438" s="8">
        <v>-8.0000000000000002E-3</v>
      </c>
      <c r="I438" s="8">
        <v>5.0999999999999997E-2</v>
      </c>
      <c r="J438" s="8">
        <v>0.12</v>
      </c>
      <c r="K438" s="38">
        <f t="shared" si="66"/>
        <v>0.28999999999999998</v>
      </c>
      <c r="L438" s="38">
        <f t="shared" si="67"/>
        <v>43.952444</v>
      </c>
      <c r="M438" s="29">
        <f t="shared" si="68"/>
        <v>6172.8937243677319</v>
      </c>
      <c r="N438" s="29">
        <f t="shared" si="69"/>
        <v>1.7815354142382584E+26</v>
      </c>
      <c r="O438" s="35">
        <f t="shared" si="70"/>
        <v>5773.5630766655104</v>
      </c>
      <c r="P438" s="35">
        <f t="shared" si="71"/>
        <v>43.807219574400904</v>
      </c>
      <c r="Q438" s="35">
        <f t="shared" si="72"/>
        <v>0.14522442559909621</v>
      </c>
      <c r="R438" s="35">
        <f t="shared" si="73"/>
        <v>0.25077448026857824</v>
      </c>
      <c r="S438" s="18">
        <v>5462.5272364909588</v>
      </c>
      <c r="T438" s="35">
        <f t="shared" si="74"/>
        <v>43.686968077012061</v>
      </c>
      <c r="U438" s="35">
        <f t="shared" si="75"/>
        <v>0.26547592298793887</v>
      </c>
      <c r="V438" s="35">
        <f t="shared" si="76"/>
        <v>0.83801980602019088</v>
      </c>
    </row>
    <row r="439" spans="1:22" x14ac:dyDescent="0.25">
      <c r="A439" s="34" t="s">
        <v>459</v>
      </c>
      <c r="B439" s="16">
        <v>0.89900000000000002</v>
      </c>
      <c r="C439" s="8">
        <v>1E-3</v>
      </c>
      <c r="D439" s="8">
        <v>24.314</v>
      </c>
      <c r="E439" s="8">
        <v>7.4999999999999997E-2</v>
      </c>
      <c r="F439" s="8">
        <v>1.1459999999999999</v>
      </c>
      <c r="G439" s="8">
        <v>4.3999999999999997E-2</v>
      </c>
      <c r="H439" s="8">
        <v>-4.2999999999999997E-2</v>
      </c>
      <c r="I439" s="8">
        <v>5.0999999999999997E-2</v>
      </c>
      <c r="J439" s="8">
        <v>0.12</v>
      </c>
      <c r="K439" s="38">
        <f t="shared" si="66"/>
        <v>0.28999999999999998</v>
      </c>
      <c r="L439" s="38">
        <f t="shared" si="67"/>
        <v>43.810051999999999</v>
      </c>
      <c r="M439" s="29">
        <f t="shared" si="68"/>
        <v>5781.098911710229</v>
      </c>
      <c r="N439" s="29">
        <f t="shared" si="69"/>
        <v>1.800154414404668E+26</v>
      </c>
      <c r="O439" s="35">
        <f t="shared" si="70"/>
        <v>5833.9031468241346</v>
      </c>
      <c r="P439" s="35">
        <f t="shared" si="71"/>
        <v>43.829796073920861</v>
      </c>
      <c r="Q439" s="35">
        <f t="shared" si="72"/>
        <v>-1.9744073920861638E-2</v>
      </c>
      <c r="R439" s="35">
        <f t="shared" si="73"/>
        <v>4.6352967299934447E-3</v>
      </c>
      <c r="S439" s="18">
        <v>5523.1331703919477</v>
      </c>
      <c r="T439" s="35">
        <f t="shared" si="74"/>
        <v>43.710927573957534</v>
      </c>
      <c r="U439" s="35">
        <f t="shared" si="75"/>
        <v>9.9124426042465075E-2</v>
      </c>
      <c r="V439" s="35">
        <f t="shared" si="76"/>
        <v>0.11683295883767097</v>
      </c>
    </row>
    <row r="440" spans="1:22" x14ac:dyDescent="0.25">
      <c r="A440" s="34" t="s">
        <v>460</v>
      </c>
      <c r="B440" s="16">
        <v>0.90100000000000002</v>
      </c>
      <c r="C440" s="8">
        <v>1E-3</v>
      </c>
      <c r="D440" s="8">
        <v>24.417000000000002</v>
      </c>
      <c r="E440" s="8">
        <v>7.2999999999999995E-2</v>
      </c>
      <c r="F440" s="8">
        <v>1.1180000000000001</v>
      </c>
      <c r="G440" s="8">
        <v>4.1000000000000002E-2</v>
      </c>
      <c r="H440" s="8">
        <v>-9.5000000000000001E-2</v>
      </c>
      <c r="I440" s="8">
        <v>4.8000000000000001E-2</v>
      </c>
      <c r="J440" s="8">
        <v>0.12</v>
      </c>
      <c r="K440" s="38">
        <f t="shared" si="66"/>
        <v>0.28199999999999997</v>
      </c>
      <c r="L440" s="38">
        <f t="shared" si="67"/>
        <v>44.071696000000003</v>
      </c>
      <c r="M440" s="29">
        <f t="shared" si="68"/>
        <v>6521.3753866240604</v>
      </c>
      <c r="N440" s="29">
        <f t="shared" si="69"/>
        <v>1.8048141935347234E+26</v>
      </c>
      <c r="O440" s="35">
        <f t="shared" si="70"/>
        <v>5849.0044625295022</v>
      </c>
      <c r="P440" s="35">
        <f t="shared" si="71"/>
        <v>43.835409763553827</v>
      </c>
      <c r="Q440" s="35">
        <f t="shared" si="72"/>
        <v>0.23628623644617619</v>
      </c>
      <c r="R440" s="35">
        <f t="shared" si="73"/>
        <v>0.70206711852897608</v>
      </c>
      <c r="S440" s="18">
        <v>5538.3064567078445</v>
      </c>
      <c r="T440" s="35">
        <f t="shared" si="74"/>
        <v>43.716884916649462</v>
      </c>
      <c r="U440" s="35">
        <f t="shared" si="75"/>
        <v>0.35481108335054046</v>
      </c>
      <c r="V440" s="35">
        <f t="shared" si="76"/>
        <v>1.5830554910264096</v>
      </c>
    </row>
    <row r="441" spans="1:22" x14ac:dyDescent="0.25">
      <c r="A441" s="34" t="s">
        <v>461</v>
      </c>
      <c r="B441" s="16">
        <v>0.91</v>
      </c>
      <c r="C441" s="8">
        <v>0.02</v>
      </c>
      <c r="D441" s="8">
        <v>24.666</v>
      </c>
      <c r="E441" s="8">
        <v>7.9000000000000001E-2</v>
      </c>
      <c r="F441" s="8">
        <v>0.94</v>
      </c>
      <c r="G441" s="8">
        <v>4.4999999999999998E-2</v>
      </c>
      <c r="H441" s="8">
        <v>-0.11</v>
      </c>
      <c r="I441" s="8">
        <v>4.9000000000000002E-2</v>
      </c>
      <c r="J441" s="8">
        <v>0.12</v>
      </c>
      <c r="K441" s="38">
        <f t="shared" si="66"/>
        <v>0.29299999999999998</v>
      </c>
      <c r="L441" s="38">
        <f t="shared" si="67"/>
        <v>44.341480000000004</v>
      </c>
      <c r="M441" s="29">
        <f t="shared" si="68"/>
        <v>7384.073313927659</v>
      </c>
      <c r="N441" s="29">
        <f t="shared" si="69"/>
        <v>1.8258079310697503E+26</v>
      </c>
      <c r="O441" s="35">
        <f t="shared" si="70"/>
        <v>5917.0405323739315</v>
      </c>
      <c r="P441" s="35">
        <f t="shared" si="71"/>
        <v>43.860522721259187</v>
      </c>
      <c r="Q441" s="35">
        <f t="shared" si="72"/>
        <v>0.48095727874081717</v>
      </c>
      <c r="R441" s="35">
        <f t="shared" si="73"/>
        <v>2.6944973613411003</v>
      </c>
      <c r="S441" s="18">
        <v>5606.6934211630796</v>
      </c>
      <c r="T441" s="35">
        <f t="shared" si="74"/>
        <v>43.743534045752568</v>
      </c>
      <c r="U441" s="35">
        <f t="shared" si="75"/>
        <v>0.59794595424743591</v>
      </c>
      <c r="V441" s="35">
        <f t="shared" si="76"/>
        <v>4.1647469883269084</v>
      </c>
    </row>
    <row r="442" spans="1:22" x14ac:dyDescent="0.25">
      <c r="A442" s="34" t="s">
        <v>462</v>
      </c>
      <c r="B442" s="16">
        <v>0.91500000000000004</v>
      </c>
      <c r="C442" s="8">
        <v>1.4E-2</v>
      </c>
      <c r="D442" s="8">
        <v>24.366</v>
      </c>
      <c r="E442" s="8">
        <v>7.0000000000000007E-2</v>
      </c>
      <c r="F442" s="8">
        <v>1.004</v>
      </c>
      <c r="G442" s="8">
        <v>3.4000000000000002E-2</v>
      </c>
      <c r="H442" s="8">
        <v>-0.124</v>
      </c>
      <c r="I442" s="8">
        <v>4.3999999999999997E-2</v>
      </c>
      <c r="J442" s="8">
        <v>0.12</v>
      </c>
      <c r="K442" s="38">
        <f t="shared" si="66"/>
        <v>0.26800000000000002</v>
      </c>
      <c r="L442" s="38">
        <f t="shared" si="67"/>
        <v>44.094707999999997</v>
      </c>
      <c r="M442" s="29">
        <f t="shared" si="68"/>
        <v>6590.8526145107353</v>
      </c>
      <c r="N442" s="29">
        <f t="shared" si="69"/>
        <v>1.8374885094899956E+26</v>
      </c>
      <c r="O442" s="35">
        <f t="shared" si="70"/>
        <v>5954.8947090252886</v>
      </c>
      <c r="P442" s="35">
        <f t="shared" si="71"/>
        <v>43.874370434724909</v>
      </c>
      <c r="Q442" s="35">
        <f t="shared" si="72"/>
        <v>0.22033756527508785</v>
      </c>
      <c r="R442" s="35">
        <f t="shared" si="73"/>
        <v>0.67593899909993305</v>
      </c>
      <c r="S442" s="18">
        <v>5644.7615189011212</v>
      </c>
      <c r="T442" s="35">
        <f t="shared" si="74"/>
        <v>43.758227992409367</v>
      </c>
      <c r="U442" s="35">
        <f t="shared" si="75"/>
        <v>0.33648000759063024</v>
      </c>
      <c r="V442" s="35">
        <f t="shared" si="76"/>
        <v>1.576336538040078</v>
      </c>
    </row>
    <row r="443" spans="1:22" x14ac:dyDescent="0.25">
      <c r="A443" s="34" t="s">
        <v>463</v>
      </c>
      <c r="B443" s="16">
        <v>0.92</v>
      </c>
      <c r="C443" s="8">
        <v>0.02</v>
      </c>
      <c r="D443" s="8">
        <v>24.4</v>
      </c>
      <c r="E443" s="8">
        <v>8.5999999999999993E-2</v>
      </c>
      <c r="F443" s="8">
        <v>0.97199999999999998</v>
      </c>
      <c r="G443" s="8">
        <v>5.8999999999999997E-2</v>
      </c>
      <c r="H443" s="8">
        <v>-0.111</v>
      </c>
      <c r="I443" s="8">
        <v>5.3999999999999999E-2</v>
      </c>
      <c r="J443" s="8">
        <v>0.12</v>
      </c>
      <c r="K443" s="38">
        <f t="shared" si="66"/>
        <v>0.31899999999999995</v>
      </c>
      <c r="L443" s="38">
        <f t="shared" si="67"/>
        <v>44.083314000000001</v>
      </c>
      <c r="M443" s="29">
        <f t="shared" si="68"/>
        <v>6556.3601204885708</v>
      </c>
      <c r="N443" s="29">
        <f t="shared" si="69"/>
        <v>1.8491814291536807E+26</v>
      </c>
      <c r="O443" s="35">
        <f t="shared" si="70"/>
        <v>5992.7888809228116</v>
      </c>
      <c r="P443" s="35">
        <f t="shared" si="71"/>
        <v>43.888144891348048</v>
      </c>
      <c r="Q443" s="35">
        <f t="shared" si="72"/>
        <v>0.19516910865195314</v>
      </c>
      <c r="R443" s="35">
        <f t="shared" si="73"/>
        <v>0.37431806853311095</v>
      </c>
      <c r="S443" s="18">
        <v>5682.8830593695784</v>
      </c>
      <c r="T443" s="35">
        <f t="shared" si="74"/>
        <v>43.772843596787936</v>
      </c>
      <c r="U443" s="35">
        <f t="shared" si="75"/>
        <v>0.31047040321206509</v>
      </c>
      <c r="V443" s="35">
        <f t="shared" si="76"/>
        <v>0.9472378540959927</v>
      </c>
    </row>
    <row r="444" spans="1:22" x14ac:dyDescent="0.25">
      <c r="A444" s="34" t="s">
        <v>464</v>
      </c>
      <c r="B444" s="16">
        <v>0.92</v>
      </c>
      <c r="C444" s="8">
        <v>0.01</v>
      </c>
      <c r="D444" s="8">
        <v>24.672000000000001</v>
      </c>
      <c r="E444" s="8">
        <v>8.4000000000000005E-2</v>
      </c>
      <c r="F444" s="8">
        <v>0.98299999999999998</v>
      </c>
      <c r="G444" s="8">
        <v>7.1999999999999995E-2</v>
      </c>
      <c r="H444" s="8">
        <v>1.4E-2</v>
      </c>
      <c r="I444" s="8">
        <v>7.2999999999999995E-2</v>
      </c>
      <c r="J444" s="8">
        <v>0.12</v>
      </c>
      <c r="K444" s="38">
        <f t="shared" si="66"/>
        <v>0.34899999999999998</v>
      </c>
      <c r="L444" s="38">
        <f t="shared" si="67"/>
        <v>43.965681000000004</v>
      </c>
      <c r="M444" s="29">
        <f t="shared" si="68"/>
        <v>6210.6377680051455</v>
      </c>
      <c r="N444" s="29">
        <f t="shared" si="69"/>
        <v>1.8491814291536807E+26</v>
      </c>
      <c r="O444" s="35">
        <f t="shared" si="70"/>
        <v>5992.7888809228116</v>
      </c>
      <c r="P444" s="35">
        <f t="shared" si="71"/>
        <v>43.888144891348048</v>
      </c>
      <c r="Q444" s="35">
        <f t="shared" si="72"/>
        <v>7.753610865195526E-2</v>
      </c>
      <c r="R444" s="35">
        <f t="shared" si="73"/>
        <v>4.9357953915713439E-2</v>
      </c>
      <c r="S444" s="18">
        <v>5682.8830593695784</v>
      </c>
      <c r="T444" s="35">
        <f t="shared" si="74"/>
        <v>43.772843596787936</v>
      </c>
      <c r="U444" s="35">
        <f t="shared" si="75"/>
        <v>0.19283740321206722</v>
      </c>
      <c r="V444" s="35">
        <f t="shared" si="76"/>
        <v>0.30530343821129052</v>
      </c>
    </row>
    <row r="445" spans="1:22" x14ac:dyDescent="0.25">
      <c r="A445" s="34" t="s">
        <v>465</v>
      </c>
      <c r="B445" s="16">
        <v>0.92400000000000004</v>
      </c>
      <c r="C445" s="8">
        <v>1E-3</v>
      </c>
      <c r="D445" s="8">
        <v>24.821999999999999</v>
      </c>
      <c r="E445" s="8">
        <v>7.4999999999999997E-2</v>
      </c>
      <c r="F445" s="8">
        <v>1.103</v>
      </c>
      <c r="G445" s="8">
        <v>6.8000000000000005E-2</v>
      </c>
      <c r="H445" s="8">
        <v>3.3000000000000002E-2</v>
      </c>
      <c r="I445" s="8">
        <v>5.5E-2</v>
      </c>
      <c r="J445" s="8">
        <v>0.12</v>
      </c>
      <c r="K445" s="38">
        <f t="shared" si="66"/>
        <v>0.318</v>
      </c>
      <c r="L445" s="38">
        <f t="shared" si="67"/>
        <v>44.073850999999998</v>
      </c>
      <c r="M445" s="29">
        <f t="shared" si="68"/>
        <v>6527.8505044666808</v>
      </c>
      <c r="N445" s="29">
        <f t="shared" si="69"/>
        <v>1.8585446080355365E+26</v>
      </c>
      <c r="O445" s="35">
        <f t="shared" si="70"/>
        <v>6023.1328771411581</v>
      </c>
      <c r="P445" s="35">
        <f t="shared" si="71"/>
        <v>43.899112221525009</v>
      </c>
      <c r="Q445" s="35">
        <f t="shared" si="72"/>
        <v>0.17473877847498898</v>
      </c>
      <c r="R445" s="35">
        <f t="shared" si="73"/>
        <v>0.30194257251425249</v>
      </c>
      <c r="S445" s="18">
        <v>5713.4185752268395</v>
      </c>
      <c r="T445" s="35">
        <f t="shared" si="74"/>
        <v>43.784480212069042</v>
      </c>
      <c r="U445" s="35">
        <f t="shared" si="75"/>
        <v>0.28937078793095594</v>
      </c>
      <c r="V445" s="35">
        <f t="shared" si="76"/>
        <v>0.82804727767673625</v>
      </c>
    </row>
    <row r="446" spans="1:22" x14ac:dyDescent="0.25">
      <c r="A446" s="34" t="s">
        <v>466</v>
      </c>
      <c r="B446" s="16">
        <v>0.92700000000000005</v>
      </c>
      <c r="C446" s="8">
        <v>1E-3</v>
      </c>
      <c r="D446" s="8">
        <v>24.704999999999998</v>
      </c>
      <c r="E446" s="8">
        <v>9.8000000000000004E-2</v>
      </c>
      <c r="F446" s="8">
        <v>1.103</v>
      </c>
      <c r="G446" s="8">
        <v>7.0000000000000007E-2</v>
      </c>
      <c r="H446" s="8">
        <v>-3.2000000000000001E-2</v>
      </c>
      <c r="I446" s="8">
        <v>5.8000000000000003E-2</v>
      </c>
      <c r="J446" s="8">
        <v>0.12</v>
      </c>
      <c r="K446" s="38">
        <f t="shared" si="66"/>
        <v>0.34599999999999997</v>
      </c>
      <c r="L446" s="38">
        <f t="shared" si="67"/>
        <v>44.160300999999997</v>
      </c>
      <c r="M446" s="29">
        <f t="shared" si="68"/>
        <v>6792.9778737710039</v>
      </c>
      <c r="N446" s="29">
        <f t="shared" si="69"/>
        <v>1.8655721295529888E+26</v>
      </c>
      <c r="O446" s="35">
        <f t="shared" si="70"/>
        <v>6045.9075233420499</v>
      </c>
      <c r="P446" s="35">
        <f t="shared" si="71"/>
        <v>43.907307500175406</v>
      </c>
      <c r="Q446" s="35">
        <f t="shared" si="72"/>
        <v>0.25299349982459063</v>
      </c>
      <c r="R446" s="35">
        <f t="shared" si="73"/>
        <v>0.53464625408044997</v>
      </c>
      <c r="S446" s="18">
        <v>5736.3424471420267</v>
      </c>
      <c r="T446" s="35">
        <f t="shared" si="74"/>
        <v>43.793175349338483</v>
      </c>
      <c r="U446" s="35">
        <f t="shared" si="75"/>
        <v>0.3671256506615137</v>
      </c>
      <c r="V446" s="35">
        <f t="shared" si="76"/>
        <v>1.1258415197103129</v>
      </c>
    </row>
    <row r="447" spans="1:22" x14ac:dyDescent="0.25">
      <c r="A447" s="34" t="s">
        <v>467</v>
      </c>
      <c r="B447" s="16">
        <v>0.93</v>
      </c>
      <c r="C447" s="8">
        <v>1E-3</v>
      </c>
      <c r="D447" s="8">
        <v>24.876000000000001</v>
      </c>
      <c r="E447" s="8">
        <v>0.11899999999999999</v>
      </c>
      <c r="F447" s="8">
        <v>1.1659999999999999</v>
      </c>
      <c r="G447" s="8">
        <v>0.17199999999999999</v>
      </c>
      <c r="H447" s="8">
        <v>5.0999999999999997E-2</v>
      </c>
      <c r="I447" s="8">
        <v>7.9000000000000001E-2</v>
      </c>
      <c r="J447" s="8">
        <v>0.12</v>
      </c>
      <c r="K447" s="38">
        <f t="shared" si="66"/>
        <v>0.49</v>
      </c>
      <c r="L447" s="38">
        <f t="shared" si="67"/>
        <v>44.080771999999996</v>
      </c>
      <c r="M447" s="29">
        <f t="shared" si="68"/>
        <v>6548.6895113171604</v>
      </c>
      <c r="N447" s="29">
        <f t="shared" si="69"/>
        <v>1.87260403948966E+26</v>
      </c>
      <c r="O447" s="35">
        <f t="shared" si="70"/>
        <v>6068.6963914410662</v>
      </c>
      <c r="P447" s="35">
        <f t="shared" si="71"/>
        <v>43.91547705438262</v>
      </c>
      <c r="Q447" s="35">
        <f t="shared" si="72"/>
        <v>0.16529494561737579</v>
      </c>
      <c r="R447" s="35">
        <f t="shared" si="73"/>
        <v>0.11379599769534036</v>
      </c>
      <c r="S447" s="18">
        <v>5759.2853087515059</v>
      </c>
      <c r="T447" s="35">
        <f t="shared" si="74"/>
        <v>43.801842967703564</v>
      </c>
      <c r="U447" s="35">
        <f t="shared" si="75"/>
        <v>0.27892903229643196</v>
      </c>
      <c r="V447" s="35">
        <f t="shared" si="76"/>
        <v>0.32403750544699705</v>
      </c>
    </row>
    <row r="448" spans="1:22" x14ac:dyDescent="0.25">
      <c r="A448" s="34" t="s">
        <v>468</v>
      </c>
      <c r="B448" s="16">
        <v>0.93</v>
      </c>
      <c r="C448" s="8">
        <v>0.02</v>
      </c>
      <c r="D448" s="8">
        <v>24.765000000000001</v>
      </c>
      <c r="E448" s="8">
        <v>0.112</v>
      </c>
      <c r="F448" s="8">
        <v>1.022</v>
      </c>
      <c r="G448" s="8">
        <v>5.5E-2</v>
      </c>
      <c r="H448" s="8">
        <v>-7.5999999999999998E-2</v>
      </c>
      <c r="I448" s="8">
        <v>5.8000000000000003E-2</v>
      </c>
      <c r="J448" s="8">
        <v>0.12</v>
      </c>
      <c r="K448" s="38">
        <f t="shared" si="66"/>
        <v>0.34499999999999997</v>
      </c>
      <c r="L448" s="38">
        <f t="shared" si="67"/>
        <v>44.346114</v>
      </c>
      <c r="M448" s="29">
        <f t="shared" si="68"/>
        <v>7399.8480171078709</v>
      </c>
      <c r="N448" s="29">
        <f t="shared" si="69"/>
        <v>1.87260403948966E+26</v>
      </c>
      <c r="O448" s="35">
        <f t="shared" si="70"/>
        <v>6068.6963914410662</v>
      </c>
      <c r="P448" s="35">
        <f t="shared" si="71"/>
        <v>43.91547705438262</v>
      </c>
      <c r="Q448" s="35">
        <f t="shared" si="72"/>
        <v>0.43063694561737975</v>
      </c>
      <c r="R448" s="35">
        <f t="shared" si="73"/>
        <v>1.5580607345571613</v>
      </c>
      <c r="S448" s="18">
        <v>5759.2853087515059</v>
      </c>
      <c r="T448" s="35">
        <f t="shared" si="74"/>
        <v>43.801842967703564</v>
      </c>
      <c r="U448" s="35">
        <f t="shared" si="75"/>
        <v>0.54427103229643592</v>
      </c>
      <c r="V448" s="35">
        <f t="shared" si="76"/>
        <v>2.4888129098679102</v>
      </c>
    </row>
    <row r="449" spans="1:22" x14ac:dyDescent="0.25">
      <c r="A449" s="34" t="s">
        <v>469</v>
      </c>
      <c r="B449" s="16">
        <v>0.93400000000000005</v>
      </c>
      <c r="C449" s="8">
        <v>1E-3</v>
      </c>
      <c r="D449" s="8">
        <v>24.43</v>
      </c>
      <c r="E449" s="8">
        <v>7.4999999999999997E-2</v>
      </c>
      <c r="F449" s="8">
        <v>1.03</v>
      </c>
      <c r="G449" s="8">
        <v>3.6999999999999998E-2</v>
      </c>
      <c r="H449" s="8">
        <v>-0.16600000000000001</v>
      </c>
      <c r="I449" s="8">
        <v>4.3999999999999997E-2</v>
      </c>
      <c r="J449" s="8">
        <v>0.12</v>
      </c>
      <c r="K449" s="38">
        <f t="shared" si="66"/>
        <v>0.27599999999999997</v>
      </c>
      <c r="L449" s="38">
        <f t="shared" si="67"/>
        <v>44.293990000000001</v>
      </c>
      <c r="M449" s="29">
        <f t="shared" si="68"/>
        <v>7224.3370549853389</v>
      </c>
      <c r="N449" s="29">
        <f t="shared" si="69"/>
        <v>1.8819867225684858E+26</v>
      </c>
      <c r="O449" s="35">
        <f t="shared" si="70"/>
        <v>6099.103596457041</v>
      </c>
      <c r="P449" s="35">
        <f t="shared" si="71"/>
        <v>43.926330050693679</v>
      </c>
      <c r="Q449" s="35">
        <f t="shared" si="72"/>
        <v>0.36765994930632218</v>
      </c>
      <c r="R449" s="35">
        <f t="shared" si="73"/>
        <v>1.7744937818200934</v>
      </c>
      <c r="S449" s="18">
        <v>5789.9052238216927</v>
      </c>
      <c r="T449" s="35">
        <f t="shared" si="74"/>
        <v>43.813357273638786</v>
      </c>
      <c r="U449" s="35">
        <f t="shared" si="75"/>
        <v>0.48063272636121468</v>
      </c>
      <c r="V449" s="35">
        <f t="shared" si="76"/>
        <v>3.0325537918690184</v>
      </c>
    </row>
    <row r="450" spans="1:22" x14ac:dyDescent="0.25">
      <c r="A450" s="34" t="s">
        <v>470</v>
      </c>
      <c r="B450" s="16">
        <v>0.93500000000000005</v>
      </c>
      <c r="C450" s="8">
        <v>0.01</v>
      </c>
      <c r="D450" s="8">
        <v>24.472999999999999</v>
      </c>
      <c r="E450" s="8">
        <v>7.0000000000000007E-2</v>
      </c>
      <c r="F450" s="8">
        <v>1.036</v>
      </c>
      <c r="G450" s="8">
        <v>3.2000000000000001E-2</v>
      </c>
      <c r="H450" s="8">
        <v>-2.8000000000000001E-2</v>
      </c>
      <c r="I450" s="8">
        <v>0.05</v>
      </c>
      <c r="J450" s="8">
        <v>0.12</v>
      </c>
      <c r="K450" s="38">
        <f t="shared" si="66"/>
        <v>0.27200000000000002</v>
      </c>
      <c r="L450" s="38">
        <f t="shared" si="67"/>
        <v>43.905932</v>
      </c>
      <c r="M450" s="29">
        <f t="shared" si="68"/>
        <v>6042.0790088818667</v>
      </c>
      <c r="N450" s="29">
        <f t="shared" si="69"/>
        <v>1.8843336048774276E+26</v>
      </c>
      <c r="O450" s="35">
        <f t="shared" si="70"/>
        <v>6106.7093240422992</v>
      </c>
      <c r="P450" s="35">
        <f t="shared" si="71"/>
        <v>43.929036241563693</v>
      </c>
      <c r="Q450" s="35">
        <f t="shared" si="72"/>
        <v>-2.3104241563693506E-2</v>
      </c>
      <c r="R450" s="35">
        <f t="shared" si="73"/>
        <v>7.2151543338222117E-3</v>
      </c>
      <c r="S450" s="18">
        <v>5797.5654433038135</v>
      </c>
      <c r="T450" s="35">
        <f t="shared" si="74"/>
        <v>43.816228298413264</v>
      </c>
      <c r="U450" s="35">
        <f t="shared" si="75"/>
        <v>8.9703701586735463E-2</v>
      </c>
      <c r="V450" s="35">
        <f t="shared" si="76"/>
        <v>0.10876343639654634</v>
      </c>
    </row>
    <row r="451" spans="1:22" x14ac:dyDescent="0.25">
      <c r="A451" s="34" t="s">
        <v>471</v>
      </c>
      <c r="B451" s="16">
        <v>0.93600000000000005</v>
      </c>
      <c r="C451" s="8">
        <v>1.4E-2</v>
      </c>
      <c r="D451" s="8">
        <v>24.811</v>
      </c>
      <c r="E451" s="8">
        <v>9.9000000000000005E-2</v>
      </c>
      <c r="F451" s="8">
        <v>1.081</v>
      </c>
      <c r="G451" s="8">
        <v>6.6000000000000003E-2</v>
      </c>
      <c r="H451" s="8">
        <v>2.8000000000000001E-2</v>
      </c>
      <c r="I451" s="8">
        <v>6.5000000000000002E-2</v>
      </c>
      <c r="J451" s="8">
        <v>0.12</v>
      </c>
      <c r="K451" s="38">
        <f t="shared" si="66"/>
        <v>0.35</v>
      </c>
      <c r="L451" s="38">
        <f t="shared" si="67"/>
        <v>44.075266999999997</v>
      </c>
      <c r="M451" s="29">
        <f t="shared" si="68"/>
        <v>6532.1086524011771</v>
      </c>
      <c r="N451" s="29">
        <f t="shared" si="69"/>
        <v>1.8866809708117046E+26</v>
      </c>
      <c r="O451" s="35">
        <f t="shared" si="70"/>
        <v>6114.3166189505282</v>
      </c>
      <c r="P451" s="35">
        <f t="shared" si="71"/>
        <v>43.931739620676851</v>
      </c>
      <c r="Q451" s="35">
        <f t="shared" si="72"/>
        <v>0.14352737932314596</v>
      </c>
      <c r="R451" s="35">
        <f t="shared" si="73"/>
        <v>0.16816415196220597</v>
      </c>
      <c r="S451" s="18">
        <v>5805.2277545379493</v>
      </c>
      <c r="T451" s="35">
        <f t="shared" si="74"/>
        <v>43.819096314687116</v>
      </c>
      <c r="U451" s="35">
        <f t="shared" si="75"/>
        <v>0.25617068531288112</v>
      </c>
      <c r="V451" s="35">
        <f t="shared" si="76"/>
        <v>0.5357013878667034</v>
      </c>
    </row>
    <row r="452" spans="1:22" x14ac:dyDescent="0.25">
      <c r="A452" s="34" t="s">
        <v>472</v>
      </c>
      <c r="B452" s="16">
        <v>0.93600000000000005</v>
      </c>
      <c r="C452" s="8">
        <v>1E-3</v>
      </c>
      <c r="D452" s="8">
        <v>24.494</v>
      </c>
      <c r="E452" s="8">
        <v>7.0000000000000007E-2</v>
      </c>
      <c r="F452" s="8">
        <v>0.96699999999999997</v>
      </c>
      <c r="G452" s="8">
        <v>3.3000000000000002E-2</v>
      </c>
      <c r="H452" s="8">
        <v>-8.3000000000000004E-2</v>
      </c>
      <c r="I452" s="8">
        <v>4.3999999999999997E-2</v>
      </c>
      <c r="J452" s="8">
        <v>0.12</v>
      </c>
      <c r="K452" s="38">
        <f t="shared" si="66"/>
        <v>0.26700000000000002</v>
      </c>
      <c r="L452" s="38">
        <f t="shared" si="67"/>
        <v>44.088938999999996</v>
      </c>
      <c r="M452" s="29">
        <f t="shared" si="68"/>
        <v>6573.3657859996447</v>
      </c>
      <c r="N452" s="29">
        <f t="shared" si="69"/>
        <v>1.8866809708117046E+26</v>
      </c>
      <c r="O452" s="35">
        <f t="shared" si="70"/>
        <v>6114.3166189505282</v>
      </c>
      <c r="P452" s="35">
        <f t="shared" si="71"/>
        <v>43.931739620676851</v>
      </c>
      <c r="Q452" s="35">
        <f t="shared" si="72"/>
        <v>0.15719937932314565</v>
      </c>
      <c r="R452" s="35">
        <f t="shared" si="73"/>
        <v>0.34664036330404735</v>
      </c>
      <c r="S452" s="18">
        <v>5805.2277545379493</v>
      </c>
      <c r="T452" s="35">
        <f t="shared" si="74"/>
        <v>43.819096314687116</v>
      </c>
      <c r="U452" s="35">
        <f t="shared" si="75"/>
        <v>0.2698426853128808</v>
      </c>
      <c r="V452" s="35">
        <f t="shared" si="76"/>
        <v>1.0214068764727575</v>
      </c>
    </row>
    <row r="453" spans="1:22" x14ac:dyDescent="0.25">
      <c r="A453" s="34" t="s">
        <v>473</v>
      </c>
      <c r="B453" s="16">
        <v>0.94899999999999995</v>
      </c>
      <c r="C453" s="8">
        <v>1.4E-2</v>
      </c>
      <c r="D453" s="8">
        <v>24.463999999999999</v>
      </c>
      <c r="E453" s="8">
        <v>8.2000000000000003E-2</v>
      </c>
      <c r="F453" s="8">
        <v>0.94699999999999995</v>
      </c>
      <c r="G453" s="8">
        <v>7.3999999999999996E-2</v>
      </c>
      <c r="H453" s="8">
        <v>1.9E-2</v>
      </c>
      <c r="I453" s="8">
        <v>5.5E-2</v>
      </c>
      <c r="J453" s="8">
        <v>0.12</v>
      </c>
      <c r="K453" s="38">
        <f t="shared" si="66"/>
        <v>0.33099999999999996</v>
      </c>
      <c r="L453" s="38">
        <f t="shared" si="67"/>
        <v>43.736739</v>
      </c>
      <c r="M453" s="29">
        <f t="shared" si="68"/>
        <v>5589.1761863572274</v>
      </c>
      <c r="N453" s="29">
        <f t="shared" si="69"/>
        <v>1.9172405140077388E+26</v>
      </c>
      <c r="O453" s="35">
        <f t="shared" si="70"/>
        <v>6213.3533536829827</v>
      </c>
      <c r="P453" s="35">
        <f t="shared" si="71"/>
        <v>43.966630263310201</v>
      </c>
      <c r="Q453" s="35">
        <f t="shared" si="72"/>
        <v>-0.2298912633102006</v>
      </c>
      <c r="R453" s="35">
        <f t="shared" si="73"/>
        <v>0.48237961451940009</v>
      </c>
      <c r="S453" s="18">
        <v>5905.0271260194913</v>
      </c>
      <c r="T453" s="35">
        <f t="shared" si="74"/>
        <v>43.85610948489883</v>
      </c>
      <c r="U453" s="35">
        <f t="shared" si="75"/>
        <v>-0.1193704848988304</v>
      </c>
      <c r="V453" s="35">
        <f t="shared" si="76"/>
        <v>0.13005825672439919</v>
      </c>
    </row>
    <row r="454" spans="1:22" x14ac:dyDescent="0.25">
      <c r="A454" s="34" t="s">
        <v>474</v>
      </c>
      <c r="B454" s="16">
        <v>0.95</v>
      </c>
      <c r="C454" s="8">
        <v>0.02</v>
      </c>
      <c r="D454" s="8">
        <v>24.734000000000002</v>
      </c>
      <c r="E454" s="8">
        <v>7.8E-2</v>
      </c>
      <c r="F454" s="8">
        <v>1.0389999999999999</v>
      </c>
      <c r="G454" s="8">
        <v>0.05</v>
      </c>
      <c r="H454" s="8">
        <v>2.1999999999999999E-2</v>
      </c>
      <c r="I454" s="8">
        <v>0.05</v>
      </c>
      <c r="J454" s="8">
        <v>0.12</v>
      </c>
      <c r="K454" s="38">
        <f t="shared" si="66"/>
        <v>0.29799999999999999</v>
      </c>
      <c r="L454" s="38">
        <f t="shared" si="67"/>
        <v>44.010873000000004</v>
      </c>
      <c r="M454" s="29">
        <f t="shared" si="68"/>
        <v>6341.2459799005255</v>
      </c>
      <c r="N454" s="29">
        <f t="shared" si="69"/>
        <v>1.9195945991312415E+26</v>
      </c>
      <c r="O454" s="35">
        <f t="shared" si="70"/>
        <v>6220.9824240005064</v>
      </c>
      <c r="P454" s="35">
        <f t="shared" si="71"/>
        <v>43.96929487171063</v>
      </c>
      <c r="Q454" s="35">
        <f t="shared" si="72"/>
        <v>4.157812828937324E-2</v>
      </c>
      <c r="R454" s="35">
        <f t="shared" si="73"/>
        <v>1.9466924373311781E-2</v>
      </c>
      <c r="S454" s="18">
        <v>5912.7184859544232</v>
      </c>
      <c r="T454" s="35">
        <f t="shared" si="74"/>
        <v>43.858936010159553</v>
      </c>
      <c r="U454" s="35">
        <f t="shared" si="75"/>
        <v>0.15193698984045056</v>
      </c>
      <c r="V454" s="35">
        <f t="shared" si="76"/>
        <v>0.25995280484862371</v>
      </c>
    </row>
    <row r="455" spans="1:22" x14ac:dyDescent="0.25">
      <c r="A455" s="34" t="s">
        <v>475</v>
      </c>
      <c r="B455" s="16">
        <v>0.95</v>
      </c>
      <c r="C455" s="8">
        <v>0.02</v>
      </c>
      <c r="D455" s="8">
        <v>24.56</v>
      </c>
      <c r="E455" s="8">
        <v>7.9000000000000001E-2</v>
      </c>
      <c r="F455" s="8">
        <v>1.117</v>
      </c>
      <c r="G455" s="8">
        <v>4.4999999999999998E-2</v>
      </c>
      <c r="H455" s="8">
        <v>-7.6999999999999999E-2</v>
      </c>
      <c r="I455" s="8">
        <v>4.5999999999999999E-2</v>
      </c>
      <c r="J455" s="8">
        <v>0.12</v>
      </c>
      <c r="K455" s="38">
        <f t="shared" ref="K455:K481" si="77">PeakMagnitudeError+StretchError+ColorError+ScatterError</f>
        <v>0.28999999999999998</v>
      </c>
      <c r="L455" s="38">
        <f t="shared" ref="L455:L481" si="78">PeakMagnitude+α*(Stretch-1)-β*Color-Mb</f>
        <v>44.158208999999999</v>
      </c>
      <c r="M455" s="29">
        <f t="shared" ref="M455:M482" si="79">10^((ObservedDistanceModuli-25)/5)</f>
        <v>6786.4366594130261</v>
      </c>
      <c r="N455" s="29">
        <f t="shared" ref="N455:N482" si="80">(RedShift*Age*(2*InitialTangentVelocity-UniverseAcceleration*Age))/(2+RedShift)*(1+RedShift)</f>
        <v>1.9195945991312415E+26</v>
      </c>
      <c r="O455" s="35">
        <f t="shared" ref="O455:O482" si="81">N455/Mpc</f>
        <v>6220.9824240005064</v>
      </c>
      <c r="P455" s="35">
        <f t="shared" ref="P455:P482" si="82">(LOG10(T2LuminousDistance)*5+25)</f>
        <v>43.96929487171063</v>
      </c>
      <c r="Q455" s="35">
        <f t="shared" ref="Q455:Q482" si="83">ObservedDistanceModuli-T2DistanceModuli</f>
        <v>0.18891412828936893</v>
      </c>
      <c r="R455" s="35">
        <f t="shared" ref="R455:R482" si="84">(ObservedDistanceModuli-T2DistanceModuli)^2/TotalError^2</f>
        <v>0.4243584764248769</v>
      </c>
      <c r="S455" s="18">
        <v>5912.7184859544232</v>
      </c>
      <c r="T455" s="35">
        <f t="shared" ref="T455:T482" si="85">(LOG10(ΛCDMLuminousDistance)*5+25)</f>
        <v>43.858936010159553</v>
      </c>
      <c r="U455" s="35">
        <f t="shared" ref="U455:U482" si="86">ObservedDistanceModuli-ΛCDMDistanceModuli</f>
        <v>0.29927298984044626</v>
      </c>
      <c r="V455" s="35">
        <f t="shared" ref="V455:V482" si="87">(ObservedDistanceModuli-ΛCDMDistanceModuli)^2/TotalError^2</f>
        <v>1.0649741075866808</v>
      </c>
    </row>
    <row r="456" spans="1:22" x14ac:dyDescent="0.25">
      <c r="A456" s="34" t="s">
        <v>476</v>
      </c>
      <c r="B456" s="16">
        <v>0.96</v>
      </c>
      <c r="C456" s="8">
        <v>0.02</v>
      </c>
      <c r="D456" s="8">
        <v>24.587</v>
      </c>
      <c r="E456" s="8">
        <v>0.08</v>
      </c>
      <c r="F456" s="8">
        <v>0.99</v>
      </c>
      <c r="G456" s="8">
        <v>5.1999999999999998E-2</v>
      </c>
      <c r="H456" s="8">
        <v>5.0000000000000001E-3</v>
      </c>
      <c r="I456" s="8">
        <v>4.7E-2</v>
      </c>
      <c r="J456" s="8">
        <v>0.12</v>
      </c>
      <c r="K456" s="38">
        <f t="shared" si="77"/>
        <v>0.29899999999999999</v>
      </c>
      <c r="L456" s="38">
        <f t="shared" si="78"/>
        <v>43.909880000000001</v>
      </c>
      <c r="M456" s="29">
        <f t="shared" si="79"/>
        <v>6053.0742330523535</v>
      </c>
      <c r="N456" s="29">
        <f t="shared" si="80"/>
        <v>1.9431615664167789E+26</v>
      </c>
      <c r="O456" s="35">
        <f t="shared" si="81"/>
        <v>6297.3577635314023</v>
      </c>
      <c r="P456" s="35">
        <f t="shared" si="82"/>
        <v>43.995791835030147</v>
      </c>
      <c r="Q456" s="35">
        <f t="shared" si="83"/>
        <v>-8.5911835030145767E-2</v>
      </c>
      <c r="R456" s="35">
        <f t="shared" si="84"/>
        <v>8.2558846078309878E-2</v>
      </c>
      <c r="S456" s="18">
        <v>5989.7449227569041</v>
      </c>
      <c r="T456" s="35">
        <f t="shared" si="85"/>
        <v>43.887041640328945</v>
      </c>
      <c r="U456" s="35">
        <f t="shared" si="86"/>
        <v>2.2838359671055741E-2</v>
      </c>
      <c r="V456" s="35">
        <f t="shared" si="87"/>
        <v>5.834282306288581E-3</v>
      </c>
    </row>
    <row r="457" spans="1:22" x14ac:dyDescent="0.25">
      <c r="A457" s="34" t="s">
        <v>477</v>
      </c>
      <c r="B457" s="16">
        <v>0.96</v>
      </c>
      <c r="C457" s="8">
        <v>0.02</v>
      </c>
      <c r="D457" s="8">
        <v>24.773</v>
      </c>
      <c r="E457" s="8">
        <v>7.9000000000000001E-2</v>
      </c>
      <c r="F457" s="8">
        <v>1.022</v>
      </c>
      <c r="G457" s="8">
        <v>3.6999999999999998E-2</v>
      </c>
      <c r="H457" s="8">
        <v>-0.123</v>
      </c>
      <c r="I457" s="8">
        <v>4.3999999999999997E-2</v>
      </c>
      <c r="J457" s="8">
        <v>0.12</v>
      </c>
      <c r="K457" s="38">
        <f t="shared" si="77"/>
        <v>0.27999999999999997</v>
      </c>
      <c r="L457" s="38">
        <f t="shared" si="78"/>
        <v>44.501223999999993</v>
      </c>
      <c r="M457" s="29">
        <f t="shared" si="79"/>
        <v>7947.7610218240434</v>
      </c>
      <c r="N457" s="29">
        <f t="shared" si="80"/>
        <v>1.9431615664167789E+26</v>
      </c>
      <c r="O457" s="35">
        <f t="shared" si="81"/>
        <v>6297.3577635314023</v>
      </c>
      <c r="P457" s="35">
        <f t="shared" si="82"/>
        <v>43.995791835030147</v>
      </c>
      <c r="Q457" s="35">
        <f t="shared" si="83"/>
        <v>0.50543216496984655</v>
      </c>
      <c r="R457" s="35">
        <f t="shared" si="84"/>
        <v>3.2584397115574779</v>
      </c>
      <c r="S457" s="18">
        <v>5989.7449227569041</v>
      </c>
      <c r="T457" s="35">
        <f t="shared" si="85"/>
        <v>43.887041640328945</v>
      </c>
      <c r="U457" s="35">
        <f t="shared" si="86"/>
        <v>0.61418235967104806</v>
      </c>
      <c r="V457" s="35">
        <f t="shared" si="87"/>
        <v>4.8114792210599076</v>
      </c>
    </row>
    <row r="458" spans="1:22" x14ac:dyDescent="0.25">
      <c r="A458" s="34" t="s">
        <v>478</v>
      </c>
      <c r="B458" s="16">
        <v>0.96099999999999997</v>
      </c>
      <c r="C458" s="8">
        <v>1E-3</v>
      </c>
      <c r="D458" s="8">
        <v>24.847999999999999</v>
      </c>
      <c r="E458" s="8">
        <v>0.14299999999999999</v>
      </c>
      <c r="F458" s="8">
        <v>0.89200000000000002</v>
      </c>
      <c r="G458" s="8">
        <v>4.5999999999999999E-2</v>
      </c>
      <c r="H458" s="8">
        <v>-0.17299999999999999</v>
      </c>
      <c r="I458" s="8">
        <v>5.6000000000000001E-2</v>
      </c>
      <c r="J458" s="8">
        <v>0.12</v>
      </c>
      <c r="K458" s="38">
        <f t="shared" si="77"/>
        <v>0.36499999999999999</v>
      </c>
      <c r="L458" s="38">
        <f t="shared" si="78"/>
        <v>44.713614</v>
      </c>
      <c r="M458" s="29">
        <f t="shared" si="79"/>
        <v>8764.412306577884</v>
      </c>
      <c r="N458" s="29">
        <f t="shared" si="80"/>
        <v>1.9455208641663712E+26</v>
      </c>
      <c r="O458" s="35">
        <f t="shared" si="81"/>
        <v>6305.0037268196093</v>
      </c>
      <c r="P458" s="35">
        <f t="shared" si="82"/>
        <v>43.998426738079772</v>
      </c>
      <c r="Q458" s="35">
        <f t="shared" si="83"/>
        <v>0.71518726192022797</v>
      </c>
      <c r="R458" s="35">
        <f t="shared" si="84"/>
        <v>3.839315591014846</v>
      </c>
      <c r="S458" s="18">
        <v>5997.4588019015628</v>
      </c>
      <c r="T458" s="35">
        <f t="shared" si="85"/>
        <v>43.889836366843966</v>
      </c>
      <c r="U458" s="35">
        <f t="shared" si="86"/>
        <v>0.82377763315603403</v>
      </c>
      <c r="V458" s="35">
        <f t="shared" si="87"/>
        <v>5.093710556488328</v>
      </c>
    </row>
    <row r="459" spans="1:22" x14ac:dyDescent="0.25">
      <c r="A459" s="34" t="s">
        <v>479</v>
      </c>
      <c r="B459" s="16">
        <v>0.97</v>
      </c>
      <c r="C459" s="8">
        <v>0.01</v>
      </c>
      <c r="D459" s="8">
        <v>25.026</v>
      </c>
      <c r="E459" s="8">
        <v>6.2E-2</v>
      </c>
      <c r="F459" s="8">
        <v>0.96199999999999997</v>
      </c>
      <c r="G459" s="8">
        <v>7.6999999999999999E-2</v>
      </c>
      <c r="H459" s="8">
        <v>-0.129</v>
      </c>
      <c r="I459" s="8">
        <v>9.7000000000000003E-2</v>
      </c>
      <c r="J459" s="8">
        <v>0.12</v>
      </c>
      <c r="K459" s="38">
        <f t="shared" si="77"/>
        <v>0.35599999999999998</v>
      </c>
      <c r="L459" s="38">
        <f t="shared" si="78"/>
        <v>44.764184</v>
      </c>
      <c r="M459" s="29">
        <f t="shared" si="79"/>
        <v>8970.9162037067854</v>
      </c>
      <c r="N459" s="29">
        <f t="shared" si="80"/>
        <v>1.9667756816869869E+26</v>
      </c>
      <c r="O459" s="35">
        <f t="shared" si="81"/>
        <v>6373.8858992746318</v>
      </c>
      <c r="P459" s="35">
        <f t="shared" si="82"/>
        <v>44.022021423897748</v>
      </c>
      <c r="Q459" s="35">
        <f t="shared" si="83"/>
        <v>0.74216257610225256</v>
      </c>
      <c r="R459" s="35">
        <f t="shared" si="84"/>
        <v>4.3460839017069484</v>
      </c>
      <c r="S459" s="18">
        <v>6066.9749875990774</v>
      </c>
      <c r="T459" s="35">
        <f t="shared" si="85"/>
        <v>43.914861022379633</v>
      </c>
      <c r="U459" s="35">
        <f t="shared" si="86"/>
        <v>0.84932297762036768</v>
      </c>
      <c r="V459" s="35">
        <f t="shared" si="87"/>
        <v>5.6917491503118898</v>
      </c>
    </row>
    <row r="460" spans="1:22" x14ac:dyDescent="0.25">
      <c r="A460" s="34" t="s">
        <v>480</v>
      </c>
      <c r="B460" s="16">
        <v>0.97499999999999998</v>
      </c>
      <c r="C460" s="8">
        <v>1E-3</v>
      </c>
      <c r="D460" s="8">
        <v>24.890999999999998</v>
      </c>
      <c r="E460" s="8">
        <v>6.3E-2</v>
      </c>
      <c r="F460" s="8">
        <v>1.208</v>
      </c>
      <c r="G460" s="8">
        <v>4.3999999999999997E-2</v>
      </c>
      <c r="H460" s="8">
        <v>1.7999999999999999E-2</v>
      </c>
      <c r="I460" s="8">
        <v>4.3999999999999997E-2</v>
      </c>
      <c r="J460" s="8">
        <v>0.12</v>
      </c>
      <c r="K460" s="38">
        <f t="shared" si="77"/>
        <v>0.27100000000000002</v>
      </c>
      <c r="L460" s="38">
        <f t="shared" si="78"/>
        <v>44.205235999999999</v>
      </c>
      <c r="M460" s="29">
        <f t="shared" si="79"/>
        <v>6935.0117302682929</v>
      </c>
      <c r="N460" s="29">
        <f t="shared" si="80"/>
        <v>1.9786002712407604E+26</v>
      </c>
      <c r="O460" s="35">
        <f t="shared" si="81"/>
        <v>6412.2067842252027</v>
      </c>
      <c r="P460" s="35">
        <f t="shared" si="82"/>
        <v>44.035037596326859</v>
      </c>
      <c r="Q460" s="35">
        <f t="shared" si="83"/>
        <v>0.17019840367314032</v>
      </c>
      <c r="R460" s="35">
        <f t="shared" si="84"/>
        <v>0.39443221923564797</v>
      </c>
      <c r="S460" s="18">
        <v>6105.6657038013382</v>
      </c>
      <c r="T460" s="35">
        <f t="shared" si="85"/>
        <v>43.928665111040829</v>
      </c>
      <c r="U460" s="35">
        <f t="shared" si="86"/>
        <v>0.2765708889591707</v>
      </c>
      <c r="V460" s="35">
        <f t="shared" si="87"/>
        <v>1.0415361530979415</v>
      </c>
    </row>
    <row r="461" spans="1:22" x14ac:dyDescent="0.25">
      <c r="A461" s="34" t="s">
        <v>481</v>
      </c>
      <c r="B461" s="16">
        <v>0.98099999999999998</v>
      </c>
      <c r="C461" s="8">
        <v>1E-3</v>
      </c>
      <c r="D461" s="8">
        <v>24.687999999999999</v>
      </c>
      <c r="E461" s="8">
        <v>8.1000000000000003E-2</v>
      </c>
      <c r="F461" s="8">
        <v>1.1299999999999999</v>
      </c>
      <c r="G461" s="8">
        <v>5.3999999999999999E-2</v>
      </c>
      <c r="H461" s="8">
        <v>-2.5999999999999999E-2</v>
      </c>
      <c r="I461" s="8">
        <v>0.05</v>
      </c>
      <c r="J461" s="8">
        <v>0.12</v>
      </c>
      <c r="K461" s="38">
        <f t="shared" si="77"/>
        <v>0.30499999999999999</v>
      </c>
      <c r="L461" s="38">
        <f t="shared" si="78"/>
        <v>44.128489999999999</v>
      </c>
      <c r="M461" s="29">
        <f t="shared" si="79"/>
        <v>6694.1894651445637</v>
      </c>
      <c r="N461" s="29">
        <f t="shared" si="80"/>
        <v>1.9928050981087602E+26</v>
      </c>
      <c r="O461" s="35">
        <f t="shared" si="81"/>
        <v>6458.2414929714087</v>
      </c>
      <c r="P461" s="35">
        <f t="shared" si="82"/>
        <v>44.05057140277394</v>
      </c>
      <c r="Q461" s="35">
        <f t="shared" si="83"/>
        <v>7.7918597226059205E-2</v>
      </c>
      <c r="R461" s="35">
        <f t="shared" si="84"/>
        <v>6.5265335056993723E-2</v>
      </c>
      <c r="S461" s="18">
        <v>6152.1606706030661</v>
      </c>
      <c r="T461" s="35">
        <f t="shared" si="85"/>
        <v>43.945138345154405</v>
      </c>
      <c r="U461" s="35">
        <f t="shared" si="86"/>
        <v>0.18335165484559468</v>
      </c>
      <c r="V461" s="35">
        <f t="shared" si="87"/>
        <v>0.36138488938046853</v>
      </c>
    </row>
    <row r="462" spans="1:22" x14ac:dyDescent="0.25">
      <c r="A462" s="34" t="s">
        <v>482</v>
      </c>
      <c r="B462" s="16">
        <v>0.98299999999999998</v>
      </c>
      <c r="C462" s="8">
        <v>1E-3</v>
      </c>
      <c r="D462" s="8">
        <v>25.023</v>
      </c>
      <c r="E462" s="8">
        <v>0.13500000000000001</v>
      </c>
      <c r="F462" s="8">
        <v>0.81599999999999995</v>
      </c>
      <c r="G462" s="8">
        <v>5.8999999999999997E-2</v>
      </c>
      <c r="H462" s="8">
        <v>-4.3999999999999997E-2</v>
      </c>
      <c r="I462" s="8">
        <v>6.4000000000000001E-2</v>
      </c>
      <c r="J462" s="8">
        <v>0.12</v>
      </c>
      <c r="K462" s="38">
        <f t="shared" si="77"/>
        <v>0.378</v>
      </c>
      <c r="L462" s="38">
        <f t="shared" si="78"/>
        <v>44.473672000000001</v>
      </c>
      <c r="M462" s="29">
        <f t="shared" si="79"/>
        <v>7847.5555753678127</v>
      </c>
      <c r="N462" s="29">
        <f t="shared" si="80"/>
        <v>1.9975437380080502E+26</v>
      </c>
      <c r="O462" s="35">
        <f t="shared" si="81"/>
        <v>6473.5983790245846</v>
      </c>
      <c r="P462" s="35">
        <f t="shared" si="82"/>
        <v>44.055728761721497</v>
      </c>
      <c r="Q462" s="35">
        <f t="shared" si="83"/>
        <v>0.41794323827850377</v>
      </c>
      <c r="R462" s="35">
        <f t="shared" si="84"/>
        <v>1.2225060218269517</v>
      </c>
      <c r="S462" s="18">
        <v>6167.6749453527564</v>
      </c>
      <c r="T462" s="35">
        <f t="shared" si="85"/>
        <v>43.950607385234306</v>
      </c>
      <c r="U462" s="35">
        <f t="shared" si="86"/>
        <v>0.5230646147656941</v>
      </c>
      <c r="V462" s="35">
        <f t="shared" si="87"/>
        <v>1.9148161531031043</v>
      </c>
    </row>
    <row r="463" spans="1:22" x14ac:dyDescent="0.25">
      <c r="A463" s="34" t="s">
        <v>483</v>
      </c>
      <c r="B463" s="16">
        <v>0.98499999999999999</v>
      </c>
      <c r="C463" s="8">
        <v>1E-3</v>
      </c>
      <c r="D463" s="8">
        <v>24.77</v>
      </c>
      <c r="E463" s="8">
        <v>8.4000000000000005E-2</v>
      </c>
      <c r="F463" s="8">
        <v>1.081</v>
      </c>
      <c r="G463" s="8">
        <v>5.2999999999999999E-2</v>
      </c>
      <c r="H463" s="8">
        <v>-6.2E-2</v>
      </c>
      <c r="I463" s="8">
        <v>0.05</v>
      </c>
      <c r="J463" s="8">
        <v>0.12</v>
      </c>
      <c r="K463" s="38">
        <f t="shared" si="77"/>
        <v>0.307</v>
      </c>
      <c r="L463" s="38">
        <f t="shared" si="78"/>
        <v>44.315967000000001</v>
      </c>
      <c r="M463" s="29">
        <f t="shared" si="79"/>
        <v>7297.824245817068</v>
      </c>
      <c r="N463" s="29">
        <f t="shared" si="80"/>
        <v>2.0022842205186662E+26</v>
      </c>
      <c r="O463" s="35">
        <f t="shared" si="81"/>
        <v>6488.9612365743869</v>
      </c>
      <c r="P463" s="35">
        <f t="shared" si="82"/>
        <v>44.06087589900141</v>
      </c>
      <c r="Q463" s="35">
        <f t="shared" si="83"/>
        <v>0.255091100998591</v>
      </c>
      <c r="R463" s="35">
        <f t="shared" si="84"/>
        <v>0.69042079819067959</v>
      </c>
      <c r="S463" s="18">
        <v>6183.1971682184803</v>
      </c>
      <c r="T463" s="35">
        <f t="shared" si="85"/>
        <v>43.956065476958244</v>
      </c>
      <c r="U463" s="35">
        <f t="shared" si="86"/>
        <v>0.35990152304175638</v>
      </c>
      <c r="V463" s="35">
        <f t="shared" si="87"/>
        <v>1.3743287068061825</v>
      </c>
    </row>
    <row r="464" spans="1:22" x14ac:dyDescent="0.25">
      <c r="A464" s="34" t="s">
        <v>484</v>
      </c>
      <c r="B464" s="16">
        <v>0.998</v>
      </c>
      <c r="C464" s="8">
        <v>1E-3</v>
      </c>
      <c r="D464" s="8">
        <v>24.623999999999999</v>
      </c>
      <c r="E464" s="8">
        <v>0.08</v>
      </c>
      <c r="F464" s="8">
        <v>1.1519999999999999</v>
      </c>
      <c r="G464" s="8">
        <v>3.9E-2</v>
      </c>
      <c r="H464" s="8">
        <v>-7.3999999999999996E-2</v>
      </c>
      <c r="I464" s="8">
        <v>4.5999999999999999E-2</v>
      </c>
      <c r="J464" s="8">
        <v>0.12</v>
      </c>
      <c r="K464" s="38">
        <f t="shared" si="77"/>
        <v>0.28499999999999998</v>
      </c>
      <c r="L464" s="38">
        <f t="shared" si="78"/>
        <v>44.217963999999995</v>
      </c>
      <c r="M464" s="29">
        <f t="shared" si="79"/>
        <v>6975.7803936081655</v>
      </c>
      <c r="N464" s="29">
        <f t="shared" si="80"/>
        <v>2.0331420158082846E+26</v>
      </c>
      <c r="O464" s="35">
        <f t="shared" si="81"/>
        <v>6588.9645405152305</v>
      </c>
      <c r="P464" s="35">
        <f t="shared" si="82"/>
        <v>44.094085851669988</v>
      </c>
      <c r="Q464" s="35">
        <f t="shared" si="83"/>
        <v>0.12387814833000732</v>
      </c>
      <c r="R464" s="35">
        <f t="shared" si="84"/>
        <v>0.18892946301842162</v>
      </c>
      <c r="S464" s="18">
        <v>6284.284196870497</v>
      </c>
      <c r="T464" s="35">
        <f t="shared" si="85"/>
        <v>43.991279085485232</v>
      </c>
      <c r="U464" s="35">
        <f t="shared" si="86"/>
        <v>0.22668491451476314</v>
      </c>
      <c r="V464" s="35">
        <f t="shared" si="87"/>
        <v>0.63263835603035368</v>
      </c>
    </row>
    <row r="465" spans="1:22" x14ac:dyDescent="0.25">
      <c r="A465" s="34" t="s">
        <v>485</v>
      </c>
      <c r="B465" s="16">
        <v>1</v>
      </c>
      <c r="C465" s="8">
        <v>0.02</v>
      </c>
      <c r="D465" s="8">
        <v>24.577999999999999</v>
      </c>
      <c r="E465" s="8">
        <v>8.5999999999999993E-2</v>
      </c>
      <c r="F465" s="8">
        <v>1.1299999999999999</v>
      </c>
      <c r="G465" s="8">
        <v>4.2000000000000003E-2</v>
      </c>
      <c r="H465" s="8">
        <v>-6.5000000000000002E-2</v>
      </c>
      <c r="I465" s="8">
        <v>4.8000000000000001E-2</v>
      </c>
      <c r="J465" s="8">
        <v>0.12</v>
      </c>
      <c r="K465" s="38">
        <f t="shared" si="77"/>
        <v>0.29599999999999999</v>
      </c>
      <c r="L465" s="38">
        <f t="shared" si="78"/>
        <v>44.140560000000001</v>
      </c>
      <c r="M465" s="29">
        <f t="shared" si="79"/>
        <v>6731.5023229894441</v>
      </c>
      <c r="N465" s="29">
        <f t="shared" si="80"/>
        <v>2.0378962006071662E+26</v>
      </c>
      <c r="O465" s="35">
        <f t="shared" si="81"/>
        <v>6604.3718041570837</v>
      </c>
      <c r="P465" s="35">
        <f t="shared" si="82"/>
        <v>44.099157573066215</v>
      </c>
      <c r="Q465" s="35">
        <f t="shared" si="83"/>
        <v>4.1402426933785819E-2</v>
      </c>
      <c r="R465" s="35">
        <f t="shared" si="84"/>
        <v>1.9564474023094795E-2</v>
      </c>
      <c r="S465" s="18">
        <v>6299.8654986668644</v>
      </c>
      <c r="T465" s="35">
        <f t="shared" si="85"/>
        <v>43.99665638710097</v>
      </c>
      <c r="U465" s="35">
        <f t="shared" si="86"/>
        <v>0.14390361289903097</v>
      </c>
      <c r="V465" s="35">
        <f t="shared" si="87"/>
        <v>0.23635237633987125</v>
      </c>
    </row>
    <row r="466" spans="1:22" x14ac:dyDescent="0.25">
      <c r="A466" s="34" t="s">
        <v>486</v>
      </c>
      <c r="B466" s="16">
        <v>1.002</v>
      </c>
      <c r="C466" s="8">
        <v>1E-3</v>
      </c>
      <c r="D466" s="8">
        <v>25.234000000000002</v>
      </c>
      <c r="E466" s="8">
        <v>0.152</v>
      </c>
      <c r="F466" s="8">
        <v>1.1120000000000001</v>
      </c>
      <c r="G466" s="8">
        <v>7.6999999999999999E-2</v>
      </c>
      <c r="H466" s="8">
        <v>-1.6E-2</v>
      </c>
      <c r="I466" s="8">
        <v>6.3E-2</v>
      </c>
      <c r="J466" s="8">
        <v>0.12</v>
      </c>
      <c r="K466" s="38">
        <f t="shared" si="77"/>
        <v>0.41199999999999998</v>
      </c>
      <c r="L466" s="38">
        <f t="shared" si="78"/>
        <v>44.640544000000006</v>
      </c>
      <c r="M466" s="29">
        <f t="shared" si="79"/>
        <v>8474.3968920690095</v>
      </c>
      <c r="N466" s="29">
        <f t="shared" si="80"/>
        <v>2.0426521968701421E+26</v>
      </c>
      <c r="O466" s="35">
        <f t="shared" si="81"/>
        <v>6619.7849383542598</v>
      </c>
      <c r="P466" s="35">
        <f t="shared" si="82"/>
        <v>44.104219402180995</v>
      </c>
      <c r="Q466" s="35">
        <f t="shared" si="83"/>
        <v>0.53632459781901076</v>
      </c>
      <c r="R466" s="35">
        <f t="shared" si="84"/>
        <v>1.694575797823332</v>
      </c>
      <c r="S466" s="18">
        <v>6315.4546074076461</v>
      </c>
      <c r="T466" s="35">
        <f t="shared" si="85"/>
        <v>44.002023089882272</v>
      </c>
      <c r="U466" s="35">
        <f t="shared" si="86"/>
        <v>0.63852091011773382</v>
      </c>
      <c r="V466" s="35">
        <f t="shared" si="87"/>
        <v>2.4019049430765103</v>
      </c>
    </row>
    <row r="467" spans="1:22" x14ac:dyDescent="0.25">
      <c r="A467" s="34" t="s">
        <v>487</v>
      </c>
      <c r="B467" s="16">
        <v>1.01</v>
      </c>
      <c r="C467" s="8">
        <v>0.01</v>
      </c>
      <c r="D467" s="8">
        <v>24.99</v>
      </c>
      <c r="E467" s="8">
        <v>8.6999999999999994E-2</v>
      </c>
      <c r="F467" s="8">
        <v>1.1950000000000001</v>
      </c>
      <c r="G467" s="8">
        <v>0.129</v>
      </c>
      <c r="H467" s="8">
        <v>-7.6999999999999999E-2</v>
      </c>
      <c r="I467" s="8">
        <v>9.7000000000000003E-2</v>
      </c>
      <c r="J467" s="8">
        <v>0.12</v>
      </c>
      <c r="K467" s="38">
        <f t="shared" si="77"/>
        <v>0.433</v>
      </c>
      <c r="L467" s="38">
        <f t="shared" si="78"/>
        <v>44.599674999999998</v>
      </c>
      <c r="M467" s="29">
        <f t="shared" si="79"/>
        <v>8316.3929197226153</v>
      </c>
      <c r="N467" s="29">
        <f t="shared" si="80"/>
        <v>2.0616942243451536E+26</v>
      </c>
      <c r="O467" s="35">
        <f t="shared" si="81"/>
        <v>6681.4959466541341</v>
      </c>
      <c r="P467" s="35">
        <f t="shared" si="82"/>
        <v>44.124368546391061</v>
      </c>
      <c r="Q467" s="35">
        <f t="shared" si="83"/>
        <v>0.47530645360893686</v>
      </c>
      <c r="R467" s="35">
        <f t="shared" si="84"/>
        <v>1.2049572233160584</v>
      </c>
      <c r="S467" s="18">
        <v>6377.888785154295</v>
      </c>
      <c r="T467" s="35">
        <f t="shared" si="85"/>
        <v>44.023384709675099</v>
      </c>
      <c r="U467" s="35">
        <f t="shared" si="86"/>
        <v>0.57629029032489854</v>
      </c>
      <c r="V467" s="35">
        <f t="shared" si="87"/>
        <v>1.7713599129695921</v>
      </c>
    </row>
    <row r="468" spans="1:22" x14ac:dyDescent="0.25">
      <c r="A468" s="34" t="s">
        <v>488</v>
      </c>
      <c r="B468" s="16">
        <v>1.02</v>
      </c>
      <c r="C468" s="8">
        <v>0.01</v>
      </c>
      <c r="D468" s="8">
        <v>24.968</v>
      </c>
      <c r="E468" s="8">
        <v>7.0999999999999994E-2</v>
      </c>
      <c r="F468" s="8">
        <v>1.0169999999999999</v>
      </c>
      <c r="G468" s="8">
        <v>3.5999999999999997E-2</v>
      </c>
      <c r="H468" s="8">
        <v>-6.0999999999999999E-2</v>
      </c>
      <c r="I468" s="8">
        <v>6.2E-2</v>
      </c>
      <c r="J468" s="8">
        <v>0.12</v>
      </c>
      <c r="K468" s="38">
        <f t="shared" si="77"/>
        <v>0.28899999999999998</v>
      </c>
      <c r="L468" s="38">
        <f t="shared" si="78"/>
        <v>44.501429000000002</v>
      </c>
      <c r="M468" s="29">
        <f t="shared" si="79"/>
        <v>7948.5113734804745</v>
      </c>
      <c r="N468" s="29">
        <f t="shared" si="80"/>
        <v>2.0855370852968569E+26</v>
      </c>
      <c r="O468" s="35">
        <f t="shared" si="81"/>
        <v>6758.7653966648613</v>
      </c>
      <c r="P468" s="35">
        <f t="shared" si="82"/>
        <v>44.149336859601576</v>
      </c>
      <c r="Q468" s="35">
        <f t="shared" si="83"/>
        <v>0.35209214039842607</v>
      </c>
      <c r="R468" s="35">
        <f t="shared" si="84"/>
        <v>1.4842838966289318</v>
      </c>
      <c r="S468" s="18">
        <v>6456.1052137827091</v>
      </c>
      <c r="T468" s="35">
        <f t="shared" si="85"/>
        <v>44.049852996885527</v>
      </c>
      <c r="U468" s="35">
        <f t="shared" si="86"/>
        <v>0.4515760031144751</v>
      </c>
      <c r="V468" s="35">
        <f t="shared" si="87"/>
        <v>2.4415522633690263</v>
      </c>
    </row>
    <row r="469" spans="1:22" x14ac:dyDescent="0.25">
      <c r="A469" s="34" t="s">
        <v>489</v>
      </c>
      <c r="B469" s="16">
        <v>1.02</v>
      </c>
      <c r="C469" s="8">
        <v>0.01</v>
      </c>
      <c r="D469" s="8">
        <v>24.867000000000001</v>
      </c>
      <c r="E469" s="8">
        <v>9.4E-2</v>
      </c>
      <c r="F469" s="8">
        <v>1.0229999999999999</v>
      </c>
      <c r="G469" s="8">
        <v>0.05</v>
      </c>
      <c r="H469" s="8">
        <v>7.0000000000000001E-3</v>
      </c>
      <c r="I469" s="8">
        <v>6.5000000000000002E-2</v>
      </c>
      <c r="J469" s="8">
        <v>0.12</v>
      </c>
      <c r="K469" s="38">
        <f t="shared" si="77"/>
        <v>0.32900000000000001</v>
      </c>
      <c r="L469" s="38">
        <f t="shared" si="78"/>
        <v>44.188471000000007</v>
      </c>
      <c r="M469" s="29">
        <f t="shared" si="79"/>
        <v>6881.6756592053534</v>
      </c>
      <c r="N469" s="29">
        <f t="shared" si="80"/>
        <v>2.0855370852968569E+26</v>
      </c>
      <c r="O469" s="35">
        <f t="shared" si="81"/>
        <v>6758.7653966648613</v>
      </c>
      <c r="P469" s="35">
        <f t="shared" si="82"/>
        <v>44.149336859601576</v>
      </c>
      <c r="Q469" s="35">
        <f t="shared" si="83"/>
        <v>3.9134140398431327E-2</v>
      </c>
      <c r="R469" s="35">
        <f t="shared" si="84"/>
        <v>1.4148806318531193E-2</v>
      </c>
      <c r="S469" s="18">
        <v>6456.1052137827091</v>
      </c>
      <c r="T469" s="35">
        <f t="shared" si="85"/>
        <v>44.049852996885527</v>
      </c>
      <c r="U469" s="35">
        <f t="shared" si="86"/>
        <v>0.13861800311448036</v>
      </c>
      <c r="V469" s="35">
        <f t="shared" si="87"/>
        <v>0.17752007822771487</v>
      </c>
    </row>
    <row r="470" spans="1:22" x14ac:dyDescent="0.25">
      <c r="A470" s="34" t="s">
        <v>490</v>
      </c>
      <c r="B470" s="16">
        <v>1.0309999999999999</v>
      </c>
      <c r="C470" s="8">
        <v>1E-3</v>
      </c>
      <c r="D470" s="8">
        <v>24.545999999999999</v>
      </c>
      <c r="E470" s="8">
        <v>0.104</v>
      </c>
      <c r="F470" s="8">
        <v>1.127</v>
      </c>
      <c r="G470" s="8">
        <v>4.8000000000000001E-2</v>
      </c>
      <c r="H470" s="8">
        <v>-0.08</v>
      </c>
      <c r="I470" s="8">
        <v>5.3999999999999999E-2</v>
      </c>
      <c r="J470" s="8">
        <v>0.12</v>
      </c>
      <c r="K470" s="38">
        <f t="shared" si="77"/>
        <v>0.32599999999999996</v>
      </c>
      <c r="L470" s="38">
        <f t="shared" si="78"/>
        <v>44.155068999999997</v>
      </c>
      <c r="M470" s="29">
        <f t="shared" si="79"/>
        <v>6776.630404686106</v>
      </c>
      <c r="N470" s="29">
        <f t="shared" si="80"/>
        <v>2.1118154896665697E+26</v>
      </c>
      <c r="O470" s="35">
        <f t="shared" si="81"/>
        <v>6843.9279053470318</v>
      </c>
      <c r="P470" s="35">
        <f t="shared" si="82"/>
        <v>44.176527129948127</v>
      </c>
      <c r="Q470" s="35">
        <f t="shared" si="83"/>
        <v>-2.1458129948129567E-2</v>
      </c>
      <c r="R470" s="35">
        <f t="shared" si="84"/>
        <v>4.3325994662088826E-3</v>
      </c>
      <c r="S470" s="18">
        <v>6542.3639743223184</v>
      </c>
      <c r="T470" s="35">
        <f t="shared" si="85"/>
        <v>44.078673508821467</v>
      </c>
      <c r="U470" s="35">
        <f t="shared" si="86"/>
        <v>7.6395491178530506E-2</v>
      </c>
      <c r="V470" s="35">
        <f t="shared" si="87"/>
        <v>5.4916171782988958E-2</v>
      </c>
    </row>
    <row r="471" spans="1:22" x14ac:dyDescent="0.25">
      <c r="A471" s="34" t="s">
        <v>491</v>
      </c>
      <c r="B471" s="16">
        <v>1.06</v>
      </c>
      <c r="C471" s="8">
        <v>0.02</v>
      </c>
      <c r="D471" s="8">
        <v>24.756</v>
      </c>
      <c r="E471" s="8">
        <v>0.13300000000000001</v>
      </c>
      <c r="F471" s="8">
        <v>0.85799999999999998</v>
      </c>
      <c r="G471" s="8">
        <v>0.05</v>
      </c>
      <c r="H471" s="8">
        <v>-0.13900000000000001</v>
      </c>
      <c r="I471" s="8">
        <v>5.5E-2</v>
      </c>
      <c r="J471" s="8">
        <v>0.12</v>
      </c>
      <c r="K471" s="38">
        <f t="shared" si="77"/>
        <v>0.35799999999999998</v>
      </c>
      <c r="L471" s="38">
        <f t="shared" si="78"/>
        <v>44.510196000000001</v>
      </c>
      <c r="M471" s="29">
        <f t="shared" si="79"/>
        <v>7980.6671858506061</v>
      </c>
      <c r="N471" s="29">
        <f t="shared" si="80"/>
        <v>2.1813481096302981E+26</v>
      </c>
      <c r="O471" s="35">
        <f t="shared" si="81"/>
        <v>7069.2677801751997</v>
      </c>
      <c r="P471" s="35">
        <f t="shared" si="82"/>
        <v>44.246872164106335</v>
      </c>
      <c r="Q471" s="35">
        <f t="shared" si="83"/>
        <v>0.26332383589366515</v>
      </c>
      <c r="R471" s="35">
        <f t="shared" si="84"/>
        <v>0.54102121149272731</v>
      </c>
      <c r="S471" s="18">
        <v>6770.8627305337322</v>
      </c>
      <c r="T471" s="35">
        <f t="shared" si="85"/>
        <v>44.153220045965384</v>
      </c>
      <c r="U471" s="35">
        <f t="shared" si="86"/>
        <v>0.3569759540346169</v>
      </c>
      <c r="V471" s="35">
        <f t="shared" si="87"/>
        <v>0.9942872550710411</v>
      </c>
    </row>
    <row r="472" spans="1:22" x14ac:dyDescent="0.25">
      <c r="A472" s="34" t="s">
        <v>492</v>
      </c>
      <c r="B472" s="16">
        <v>1.1200000000000001</v>
      </c>
      <c r="C472" s="8">
        <v>0.01</v>
      </c>
      <c r="D472" s="8">
        <v>25.120999999999999</v>
      </c>
      <c r="E472" s="8">
        <v>6.8000000000000005E-2</v>
      </c>
      <c r="F472" s="8">
        <v>1.048</v>
      </c>
      <c r="G472" s="8">
        <v>3.6999999999999998E-2</v>
      </c>
      <c r="H472" s="8">
        <v>-3.6999999999999998E-2</v>
      </c>
      <c r="I472" s="8">
        <v>5.2999999999999999E-2</v>
      </c>
      <c r="J472" s="8">
        <v>0.12</v>
      </c>
      <c r="K472" s="38">
        <f t="shared" si="77"/>
        <v>0.27800000000000002</v>
      </c>
      <c r="L472" s="38">
        <f t="shared" si="78"/>
        <v>44.583866</v>
      </c>
      <c r="M472" s="29">
        <f t="shared" si="79"/>
        <v>8256.0668345491958</v>
      </c>
      <c r="N472" s="29">
        <f t="shared" si="80"/>
        <v>2.3263368936161806E+26</v>
      </c>
      <c r="O472" s="35">
        <f t="shared" si="81"/>
        <v>7539.1444287454706</v>
      </c>
      <c r="P472" s="35">
        <f t="shared" si="82"/>
        <v>44.386610316247072</v>
      </c>
      <c r="Q472" s="35">
        <f t="shared" si="83"/>
        <v>0.19725568375292823</v>
      </c>
      <c r="R472" s="35">
        <f t="shared" si="84"/>
        <v>0.50346520331291367</v>
      </c>
      <c r="S472" s="18">
        <v>7248.4660805541371</v>
      </c>
      <c r="T472" s="35">
        <f t="shared" si="85"/>
        <v>44.301230554762725</v>
      </c>
      <c r="U472" s="35">
        <f t="shared" si="86"/>
        <v>0.28263544523727546</v>
      </c>
      <c r="V472" s="35">
        <f t="shared" si="87"/>
        <v>1.0336265579482546</v>
      </c>
    </row>
    <row r="473" spans="1:22" x14ac:dyDescent="0.25">
      <c r="A473" s="34" t="s">
        <v>4</v>
      </c>
      <c r="B473" s="16">
        <v>1.1399999999999999</v>
      </c>
      <c r="C473" s="8">
        <v>0.01</v>
      </c>
      <c r="D473" s="8">
        <v>24.727</v>
      </c>
      <c r="E473" s="8">
        <v>7.8E-2</v>
      </c>
      <c r="F473" s="8">
        <v>1.0900000000000001</v>
      </c>
      <c r="G473" s="8">
        <v>6.4000000000000001E-2</v>
      </c>
      <c r="H473" s="8">
        <v>-5.5E-2</v>
      </c>
      <c r="I473" s="8">
        <v>6.3E-2</v>
      </c>
      <c r="J473" s="8">
        <v>0.12</v>
      </c>
      <c r="K473" s="38">
        <f t="shared" si="77"/>
        <v>0.32500000000000001</v>
      </c>
      <c r="L473" s="38">
        <f t="shared" si="78"/>
        <v>44.252380000000002</v>
      </c>
      <c r="M473" s="29">
        <f t="shared" si="79"/>
        <v>7087.2213993615496</v>
      </c>
      <c r="N473" s="29">
        <f t="shared" si="80"/>
        <v>2.3749927886948607E+26</v>
      </c>
      <c r="O473" s="35">
        <f t="shared" si="81"/>
        <v>7696.8274459020467</v>
      </c>
      <c r="P473" s="35">
        <f t="shared" si="82"/>
        <v>44.431558751406868</v>
      </c>
      <c r="Q473" s="35">
        <f t="shared" si="83"/>
        <v>-0.1791787514068659</v>
      </c>
      <c r="R473" s="35">
        <f t="shared" si="84"/>
        <v>0.30395289898909772</v>
      </c>
      <c r="S473" s="18">
        <v>7409.0673576022473</v>
      </c>
      <c r="T473" s="35">
        <f t="shared" si="85"/>
        <v>44.348817715376484</v>
      </c>
      <c r="U473" s="35">
        <f t="shared" si="86"/>
        <v>-9.6437715376481492E-2</v>
      </c>
      <c r="V473" s="35">
        <f t="shared" si="87"/>
        <v>8.8049542693824881E-2</v>
      </c>
    </row>
    <row r="474" spans="1:22" x14ac:dyDescent="0.25">
      <c r="A474" s="34" t="s">
        <v>5</v>
      </c>
      <c r="B474" s="16">
        <v>1.23</v>
      </c>
      <c r="C474" s="8">
        <v>0.01</v>
      </c>
      <c r="D474" s="8">
        <v>26.053999999999998</v>
      </c>
      <c r="E474" s="8">
        <v>8.4000000000000005E-2</v>
      </c>
      <c r="F474" s="8">
        <v>0.96899999999999997</v>
      </c>
      <c r="G474" s="8">
        <v>8.3000000000000004E-2</v>
      </c>
      <c r="H474" s="8">
        <v>7.2999999999999995E-2</v>
      </c>
      <c r="I474" s="8">
        <v>4.8000000000000001E-2</v>
      </c>
      <c r="J474" s="8">
        <v>0.12</v>
      </c>
      <c r="K474" s="38">
        <f t="shared" si="77"/>
        <v>0.33500000000000002</v>
      </c>
      <c r="L474" s="38">
        <f t="shared" si="78"/>
        <v>45.160952999999999</v>
      </c>
      <c r="M474" s="29">
        <f t="shared" si="79"/>
        <v>10769.377485285067</v>
      </c>
      <c r="N474" s="29">
        <f t="shared" si="80"/>
        <v>2.5958570380706172E+26</v>
      </c>
      <c r="O474" s="35">
        <f t="shared" si="81"/>
        <v>8412.5997314036213</v>
      </c>
      <c r="P474" s="35">
        <f t="shared" si="82"/>
        <v>44.624651129126903</v>
      </c>
      <c r="Q474" s="35">
        <f t="shared" si="83"/>
        <v>0.53630187087309622</v>
      </c>
      <c r="R474" s="35">
        <f t="shared" si="84"/>
        <v>2.5628843546623581</v>
      </c>
      <c r="S474" s="18">
        <v>8139.9684611991906</v>
      </c>
      <c r="T474" s="35">
        <f t="shared" si="85"/>
        <v>44.553113610960935</v>
      </c>
      <c r="U474" s="35">
        <f t="shared" si="86"/>
        <v>0.60783938903906432</v>
      </c>
      <c r="V474" s="35">
        <f t="shared" si="87"/>
        <v>3.292214059856386</v>
      </c>
    </row>
    <row r="475" spans="1:22" x14ac:dyDescent="0.25">
      <c r="A475" s="34" t="s">
        <v>14</v>
      </c>
      <c r="B475" s="16">
        <v>1.2649999999999999</v>
      </c>
      <c r="C475" s="8">
        <v>0.01</v>
      </c>
      <c r="D475" s="8">
        <v>25.757000000000001</v>
      </c>
      <c r="E475" s="8">
        <v>8.2000000000000003E-2</v>
      </c>
      <c r="F475" s="8">
        <v>1.04</v>
      </c>
      <c r="G475" s="8">
        <v>8.3000000000000004E-2</v>
      </c>
      <c r="H475" s="8">
        <v>2.8000000000000001E-2</v>
      </c>
      <c r="I475" s="8">
        <v>6.9000000000000006E-2</v>
      </c>
      <c r="J475" s="8">
        <v>0.12</v>
      </c>
      <c r="K475" s="38">
        <f t="shared" si="77"/>
        <v>0.35399999999999998</v>
      </c>
      <c r="L475" s="38">
        <f t="shared" si="78"/>
        <v>45.015240000000006</v>
      </c>
      <c r="M475" s="29">
        <f t="shared" si="79"/>
        <v>10070.42965202977</v>
      </c>
      <c r="N475" s="29">
        <f t="shared" si="80"/>
        <v>2.6825564202379787E+26</v>
      </c>
      <c r="O475" s="35">
        <f t="shared" si="81"/>
        <v>8693.5732936750283</v>
      </c>
      <c r="P475" s="35">
        <f t="shared" si="82"/>
        <v>44.695991599592588</v>
      </c>
      <c r="Q475" s="35">
        <f t="shared" si="83"/>
        <v>0.31924840040741742</v>
      </c>
      <c r="R475" s="35">
        <f t="shared" si="84"/>
        <v>0.81330030612766713</v>
      </c>
      <c r="S475" s="18">
        <v>8427.6658312788531</v>
      </c>
      <c r="T475" s="35">
        <f t="shared" si="85"/>
        <v>44.628536534473362</v>
      </c>
      <c r="U475" s="35">
        <f t="shared" si="86"/>
        <v>0.3867034655266437</v>
      </c>
      <c r="V475" s="35">
        <f t="shared" si="87"/>
        <v>1.1932998998556938</v>
      </c>
    </row>
    <row r="476" spans="1:22" x14ac:dyDescent="0.25">
      <c r="A476" s="34" t="s">
        <v>3</v>
      </c>
      <c r="B476" s="16">
        <v>1.3</v>
      </c>
      <c r="C476" s="8">
        <v>0.01</v>
      </c>
      <c r="D476" s="8">
        <v>25.690999999999999</v>
      </c>
      <c r="E476" s="8">
        <v>8.1000000000000003E-2</v>
      </c>
      <c r="F476" s="8">
        <v>1.0580000000000001</v>
      </c>
      <c r="G476" s="8">
        <v>4.4999999999999998E-2</v>
      </c>
      <c r="H476" s="8">
        <v>1.2999999999999999E-2</v>
      </c>
      <c r="I476" s="8">
        <v>3.7999999999999999E-2</v>
      </c>
      <c r="J476" s="8">
        <v>0.12</v>
      </c>
      <c r="K476" s="38">
        <f t="shared" si="77"/>
        <v>0.28400000000000003</v>
      </c>
      <c r="L476" s="38">
        <f t="shared" si="78"/>
        <v>44.998835999999997</v>
      </c>
      <c r="M476" s="29">
        <f t="shared" si="79"/>
        <v>9994.641018350947</v>
      </c>
      <c r="N476" s="29">
        <f t="shared" si="80"/>
        <v>2.7696861999161033E+26</v>
      </c>
      <c r="O476" s="35">
        <f t="shared" si="81"/>
        <v>8975.9416792862175</v>
      </c>
      <c r="P476" s="35">
        <f t="shared" si="82"/>
        <v>44.765400110577332</v>
      </c>
      <c r="Q476" s="35">
        <f t="shared" si="83"/>
        <v>0.23343588942266535</v>
      </c>
      <c r="R476" s="35">
        <f t="shared" si="84"/>
        <v>0.6756138969270834</v>
      </c>
      <c r="S476" s="18">
        <v>8717.2050034010863</v>
      </c>
      <c r="T476" s="35">
        <f t="shared" si="85"/>
        <v>44.701886297267421</v>
      </c>
      <c r="U476" s="35">
        <f t="shared" si="86"/>
        <v>0.29694970273257582</v>
      </c>
      <c r="V476" s="35">
        <f t="shared" si="87"/>
        <v>1.0932742257608252</v>
      </c>
    </row>
    <row r="477" spans="1:22" x14ac:dyDescent="0.25">
      <c r="A477" s="34" t="s">
        <v>493</v>
      </c>
      <c r="B477" s="16">
        <v>1.34</v>
      </c>
      <c r="C477" s="8">
        <v>0.01</v>
      </c>
      <c r="D477" s="8">
        <v>25.87</v>
      </c>
      <c r="E477" s="8">
        <v>0.106</v>
      </c>
      <c r="F477" s="8">
        <v>1.1919999999999999</v>
      </c>
      <c r="G477" s="8">
        <v>9.8000000000000004E-2</v>
      </c>
      <c r="H477" s="8">
        <v>0.09</v>
      </c>
      <c r="I477" s="8">
        <v>6.5000000000000002E-2</v>
      </c>
      <c r="J477" s="8">
        <v>0.12</v>
      </c>
      <c r="K477" s="38">
        <f t="shared" si="77"/>
        <v>0.38900000000000001</v>
      </c>
      <c r="L477" s="38">
        <f t="shared" si="78"/>
        <v>44.956524000000002</v>
      </c>
      <c r="M477" s="29">
        <f t="shared" si="79"/>
        <v>9801.7766013026867</v>
      </c>
      <c r="N477" s="29">
        <f t="shared" si="80"/>
        <v>2.8697727514777685E+26</v>
      </c>
      <c r="O477" s="35">
        <f t="shared" si="81"/>
        <v>9300.300102895937</v>
      </c>
      <c r="P477" s="35">
        <f t="shared" si="82"/>
        <v>44.842484813161548</v>
      </c>
      <c r="Q477" s="35">
        <f t="shared" si="83"/>
        <v>0.11403918683845404</v>
      </c>
      <c r="R477" s="35">
        <f t="shared" si="84"/>
        <v>8.5942705472312683E-2</v>
      </c>
      <c r="S477" s="18">
        <v>9050.2880114257769</v>
      </c>
      <c r="T477" s="35">
        <f t="shared" si="85"/>
        <v>44.783312000878311</v>
      </c>
      <c r="U477" s="35">
        <f t="shared" si="86"/>
        <v>0.1732119991216905</v>
      </c>
      <c r="V477" s="35">
        <f t="shared" si="87"/>
        <v>0.19826988084755262</v>
      </c>
    </row>
    <row r="478" spans="1:22" x14ac:dyDescent="0.25">
      <c r="A478" s="34" t="s">
        <v>6</v>
      </c>
      <c r="B478" s="16">
        <v>1.39</v>
      </c>
      <c r="C478" s="8">
        <v>0.01</v>
      </c>
      <c r="D478" s="8">
        <v>25.956</v>
      </c>
      <c r="E478" s="8">
        <v>0.14899999999999999</v>
      </c>
      <c r="F478" s="8">
        <v>1.1930000000000001</v>
      </c>
      <c r="G478" s="8">
        <v>0.189</v>
      </c>
      <c r="H478" s="8">
        <v>0.112</v>
      </c>
      <c r="I478" s="8">
        <v>7.6999999999999999E-2</v>
      </c>
      <c r="J478" s="8">
        <v>0.12</v>
      </c>
      <c r="K478" s="38">
        <f t="shared" si="77"/>
        <v>0.53499999999999992</v>
      </c>
      <c r="L478" s="38">
        <f t="shared" si="78"/>
        <v>44.973810999999998</v>
      </c>
      <c r="M478" s="29">
        <f t="shared" si="79"/>
        <v>9880.1195589411327</v>
      </c>
      <c r="N478" s="29">
        <f t="shared" si="80"/>
        <v>2.9956172424942766E+26</v>
      </c>
      <c r="O478" s="35">
        <f t="shared" si="81"/>
        <v>9708.1343232700183</v>
      </c>
      <c r="P478" s="35">
        <f t="shared" si="82"/>
        <v>44.935678883340373</v>
      </c>
      <c r="Q478" s="35">
        <f t="shared" si="83"/>
        <v>3.8132116659625126E-2</v>
      </c>
      <c r="R478" s="35">
        <f t="shared" si="84"/>
        <v>5.0801234027190514E-3</v>
      </c>
      <c r="S478" s="18">
        <v>9469.7939418974202</v>
      </c>
      <c r="T478" s="35">
        <f t="shared" si="85"/>
        <v>44.881702645348724</v>
      </c>
      <c r="U478" s="35">
        <f t="shared" si="86"/>
        <v>9.2108354651273316E-2</v>
      </c>
      <c r="V478" s="35">
        <f t="shared" si="87"/>
        <v>2.9640838489177205E-2</v>
      </c>
    </row>
    <row r="479" spans="1:22" s="34" customFormat="1" x14ac:dyDescent="0.25">
      <c r="A479" s="34" t="s">
        <v>500</v>
      </c>
      <c r="B479" s="16">
        <v>1.54992</v>
      </c>
      <c r="C479" s="8">
        <v>6.9999999999999994E-5</v>
      </c>
      <c r="D479" s="8">
        <v>25.7576</v>
      </c>
      <c r="E479" s="8">
        <v>7.8972200000000006E-2</v>
      </c>
      <c r="F479" s="8">
        <f>-0.831631+1</f>
        <v>0.16836899999999999</v>
      </c>
      <c r="G479" s="8">
        <v>0.36499999999999999</v>
      </c>
      <c r="H479" s="8">
        <v>-0.197134</v>
      </c>
      <c r="I479" s="8">
        <v>6.8996000000000002E-2</v>
      </c>
      <c r="J479" s="8">
        <v>0.12</v>
      </c>
      <c r="K479" s="38">
        <f t="shared" si="77"/>
        <v>0.63296819999999998</v>
      </c>
      <c r="L479" s="38">
        <f t="shared" si="78"/>
        <v>45.592379663000003</v>
      </c>
      <c r="M479" s="29">
        <f t="shared" si="79"/>
        <v>13136.386947167128</v>
      </c>
      <c r="N479" s="29">
        <f t="shared" si="80"/>
        <v>3.4032244315316514E+26</v>
      </c>
      <c r="O479" s="35">
        <f t="shared" si="81"/>
        <v>11029.099260369425</v>
      </c>
      <c r="P479" s="35">
        <f t="shared" si="82"/>
        <v>45.212700226650306</v>
      </c>
      <c r="Q479" s="35">
        <f t="shared" si="83"/>
        <v>0.37967943634969714</v>
      </c>
      <c r="R479" s="35">
        <f t="shared" si="84"/>
        <v>0.35980762997333449</v>
      </c>
      <c r="S479" s="18">
        <v>10833.440950930488</v>
      </c>
      <c r="T479" s="35">
        <f t="shared" si="85"/>
        <v>45.173832102448273</v>
      </c>
      <c r="U479" s="35">
        <f t="shared" si="86"/>
        <v>0.4185475605517297</v>
      </c>
      <c r="V479" s="35">
        <f t="shared" si="87"/>
        <v>0.43724600126521806</v>
      </c>
    </row>
    <row r="480" spans="1:22" s="32" customFormat="1" x14ac:dyDescent="0.25">
      <c r="A480" s="21" t="s">
        <v>25</v>
      </c>
      <c r="B480" s="16">
        <v>1.8</v>
      </c>
      <c r="C480" s="8">
        <v>0.01</v>
      </c>
      <c r="D480" s="8">
        <v>26.136900000000001</v>
      </c>
      <c r="E480" s="8">
        <v>7.3994099999999993E-2</v>
      </c>
      <c r="F480" s="8">
        <f>-0.472842+1</f>
        <v>0.52715800000000002</v>
      </c>
      <c r="G480" s="8">
        <v>0.6804</v>
      </c>
      <c r="H480" s="8">
        <v>-1.5653799999999999E-2</v>
      </c>
      <c r="I480" s="8">
        <v>7.1185600000000002E-2</v>
      </c>
      <c r="J480" s="8">
        <v>0.12</v>
      </c>
      <c r="K480" s="38">
        <f t="shared" si="77"/>
        <v>0.94557969999999991</v>
      </c>
      <c r="L480" s="38">
        <f t="shared" si="78"/>
        <v>45.456388619999998</v>
      </c>
      <c r="M480" s="29">
        <f t="shared" si="79"/>
        <v>12338.93635168419</v>
      </c>
      <c r="N480" s="29">
        <f t="shared" si="80"/>
        <v>4.054340862260572E+26</v>
      </c>
      <c r="O480" s="35">
        <f t="shared" si="81"/>
        <v>13139.223905112511</v>
      </c>
      <c r="P480" s="35">
        <f t="shared" si="82"/>
        <v>45.59284856748819</v>
      </c>
      <c r="Q480" s="35">
        <f t="shared" si="83"/>
        <v>-0.13645994748819135</v>
      </c>
      <c r="R480" s="35">
        <f t="shared" si="84"/>
        <v>2.0826395882675132E-2</v>
      </c>
      <c r="S480" s="18">
        <v>13025.059409166108</v>
      </c>
      <c r="T480" s="35">
        <f t="shared" si="85"/>
        <v>45.57389856427784</v>
      </c>
      <c r="U480" s="35">
        <f t="shared" si="86"/>
        <v>-0.11750994427784178</v>
      </c>
      <c r="V480" s="35">
        <f t="shared" si="87"/>
        <v>1.5443757033034104E-2</v>
      </c>
    </row>
    <row r="481" spans="1:22" s="33" customFormat="1" x14ac:dyDescent="0.25">
      <c r="A481" s="21" t="s">
        <v>15</v>
      </c>
      <c r="B481" s="35">
        <v>1.9139999999999999</v>
      </c>
      <c r="C481" s="38">
        <v>0</v>
      </c>
      <c r="D481" s="38">
        <v>26.2</v>
      </c>
      <c r="E481" s="38">
        <v>0.11</v>
      </c>
      <c r="F481" s="38">
        <f>-1.5+1</f>
        <v>-0.5</v>
      </c>
      <c r="G481" s="38">
        <v>0.51</v>
      </c>
      <c r="H481" s="38">
        <v>-7.0999999999999994E-2</v>
      </c>
      <c r="I481" s="38">
        <v>0.11</v>
      </c>
      <c r="J481" s="8">
        <v>0.12</v>
      </c>
      <c r="K481" s="38">
        <f t="shared" si="77"/>
        <v>0.85</v>
      </c>
      <c r="L481" s="38">
        <f t="shared" si="78"/>
        <v>45.541730000000001</v>
      </c>
      <c r="M481" s="29">
        <f t="shared" si="79"/>
        <v>12833.526153740904</v>
      </c>
      <c r="N481" s="29">
        <f t="shared" si="80"/>
        <v>4.3559609546557E+26</v>
      </c>
      <c r="O481" s="35">
        <f t="shared" si="81"/>
        <v>14116.708054299375</v>
      </c>
      <c r="P481" s="35">
        <f t="shared" si="82"/>
        <v>45.748667166108689</v>
      </c>
      <c r="Q481" s="35">
        <f t="shared" si="83"/>
        <v>-0.20693716610868762</v>
      </c>
      <c r="R481" s="35">
        <f t="shared" si="84"/>
        <v>5.9270575386982112E-2</v>
      </c>
      <c r="S481" s="18">
        <v>14045.107539661623</v>
      </c>
      <c r="T481" s="35">
        <f t="shared" si="85"/>
        <v>45.737625344139687</v>
      </c>
      <c r="U481" s="35">
        <f t="shared" si="86"/>
        <v>-0.19589534413968579</v>
      </c>
      <c r="V481" s="35">
        <f t="shared" si="87"/>
        <v>5.3114167274195059E-2</v>
      </c>
    </row>
    <row r="482" spans="1:22" s="10" customFormat="1" x14ac:dyDescent="0.25">
      <c r="A482" s="21" t="s">
        <v>24</v>
      </c>
      <c r="B482" s="16">
        <v>2.25</v>
      </c>
      <c r="C482" s="8">
        <v>0.12</v>
      </c>
      <c r="D482" s="8">
        <v>26.791</v>
      </c>
      <c r="E482" s="8">
        <v>7.2377999999999998E-2</v>
      </c>
      <c r="F482" s="8">
        <f>0.1517+1</f>
        <v>1.1516999999999999</v>
      </c>
      <c r="G482" s="8">
        <v>1.0577000000000001</v>
      </c>
      <c r="H482" s="8">
        <v>4.2164699999999999E-2</v>
      </c>
      <c r="I482" s="8">
        <v>0.13100000000000001</v>
      </c>
      <c r="J482" s="8">
        <v>0.12</v>
      </c>
      <c r="K482" s="8">
        <f>PeakMagnitudeError+StretchError+ColorError+ScatterError</f>
        <v>1.381078</v>
      </c>
      <c r="L482" s="38">
        <f>PeakMagnitude+α*(Stretch-1)-β*Color-Mb</f>
        <v>46.021324389</v>
      </c>
      <c r="M482" s="29">
        <f t="shared" si="79"/>
        <v>16005.339024969737</v>
      </c>
      <c r="N482" s="29">
        <f t="shared" si="80"/>
        <v>5.2595703412729066E+26</v>
      </c>
      <c r="O482" s="35">
        <f t="shared" si="81"/>
        <v>17045.106641611295</v>
      </c>
      <c r="P482" s="35">
        <f t="shared" si="82"/>
        <v>46.157998613544251</v>
      </c>
      <c r="Q482" s="35">
        <f t="shared" si="83"/>
        <v>-0.13667422454425093</v>
      </c>
      <c r="R482" s="35">
        <f t="shared" si="84"/>
        <v>9.793475080547143E-3</v>
      </c>
      <c r="S482" s="18">
        <v>17116.864254064749</v>
      </c>
      <c r="T482" s="35">
        <f t="shared" si="85"/>
        <v>46.167121032461964</v>
      </c>
      <c r="U482" s="35">
        <f t="shared" si="86"/>
        <v>-0.14579664346196353</v>
      </c>
      <c r="V482" s="35">
        <f t="shared" si="87"/>
        <v>1.1144449923870235E-2</v>
      </c>
    </row>
    <row r="483" spans="1:22" ht="18.75" x14ac:dyDescent="0.3">
      <c r="A483" s="21"/>
      <c r="B483" s="35"/>
      <c r="C483" s="38"/>
      <c r="D483" s="38"/>
      <c r="E483" s="38"/>
      <c r="F483" s="38"/>
      <c r="G483" s="38"/>
      <c r="H483" s="38"/>
      <c r="I483" s="38"/>
      <c r="J483" s="38"/>
      <c r="K483" s="38"/>
      <c r="L483" s="38">
        <f>AVERAGE(L7:L482)</f>
        <v>40.510829272420203</v>
      </c>
      <c r="M483" s="29">
        <f>AVERAGE(M7:M482)</f>
        <v>2760.2572495500931</v>
      </c>
      <c r="N483" s="29"/>
      <c r="O483" s="35"/>
      <c r="P483" s="28">
        <f>AVERAGE(P7:P482)</f>
        <v>40.483673258313573</v>
      </c>
      <c r="Q483" s="35"/>
      <c r="R483" s="35">
        <f>SUM(R7:R482)</f>
        <v>398.45375736590631</v>
      </c>
      <c r="S483" s="43"/>
      <c r="T483" s="35"/>
      <c r="U483" s="35"/>
      <c r="V483" s="39">
        <f>SUM(V7:V482)/(COUNT(V7:V482)-4)</f>
        <v>2.3085535705988023</v>
      </c>
    </row>
    <row r="484" spans="1:22" ht="18.75" x14ac:dyDescent="0.3">
      <c r="R484" s="39">
        <f>SUM(R7:R482)/(COUNT(R7:R482)-2)</f>
        <v>0.84061974127828332</v>
      </c>
      <c r="V484" s="31"/>
    </row>
    <row r="487" spans="1:22" s="34" customFormat="1" x14ac:dyDescent="0.25">
      <c r="A487" s="21"/>
      <c r="B487" s="35"/>
      <c r="C487" s="38"/>
      <c r="D487" s="38"/>
      <c r="E487" s="38"/>
      <c r="F487" s="38"/>
      <c r="G487" s="38"/>
      <c r="H487" s="38"/>
      <c r="I487" s="38"/>
      <c r="J487" s="8"/>
      <c r="K487" s="38"/>
      <c r="L487" s="38"/>
      <c r="M487" s="29"/>
      <c r="N487" s="29"/>
      <c r="O487" s="35"/>
      <c r="P487" s="35"/>
      <c r="Q487" s="35"/>
      <c r="R487" s="35"/>
      <c r="S487" s="43"/>
      <c r="T487" s="16"/>
      <c r="U487" s="16"/>
      <c r="V487" s="35"/>
    </row>
    <row r="488" spans="1:22" x14ac:dyDescent="0.25">
      <c r="L488" s="2"/>
    </row>
  </sheetData>
  <sortState xmlns:xlrd2="http://schemas.microsoft.com/office/spreadsheetml/2017/richdata2" ref="A2:P478">
    <sortCondition ref="B2:B47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"/>
  <sheetViews>
    <sheetView zoomScale="130" zoomScaleNormal="130" workbookViewId="0">
      <selection activeCell="D28" sqref="D2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5C69-41A1-4B4E-B3AC-50943BEA87E1}">
  <dimension ref="A1:H103"/>
  <sheetViews>
    <sheetView workbookViewId="0"/>
  </sheetViews>
  <sheetFormatPr defaultRowHeight="15" x14ac:dyDescent="0.25"/>
  <cols>
    <col min="1" max="7" width="9.140625" style="18"/>
    <col min="8" max="8" width="11" style="16" bestFit="1" customWidth="1"/>
  </cols>
  <sheetData>
    <row r="1" spans="1:8" s="42" customFormat="1" ht="20.25" x14ac:dyDescent="0.35">
      <c r="A1" s="60" t="s">
        <v>609</v>
      </c>
      <c r="B1" s="60">
        <v>0.1</v>
      </c>
      <c r="C1" s="60"/>
      <c r="D1" s="60"/>
      <c r="E1" s="60"/>
      <c r="F1" s="18"/>
      <c r="G1" s="18"/>
      <c r="H1" s="16"/>
    </row>
    <row r="2" spans="1:8" s="42" customFormat="1" ht="20.25" x14ac:dyDescent="0.35">
      <c r="A2" s="60" t="s">
        <v>610</v>
      </c>
      <c r="B2" s="60">
        <v>0.2</v>
      </c>
      <c r="C2" s="60"/>
      <c r="D2" s="60"/>
      <c r="E2" s="60"/>
      <c r="F2" s="18"/>
      <c r="G2" s="18"/>
      <c r="H2" s="16"/>
    </row>
    <row r="3" spans="1:8" s="42" customFormat="1" ht="18.75" x14ac:dyDescent="0.3">
      <c r="A3" s="60"/>
      <c r="B3" s="18"/>
      <c r="C3" s="18"/>
      <c r="D3" s="18"/>
      <c r="E3" s="18"/>
      <c r="F3" s="18"/>
      <c r="G3" s="18"/>
      <c r="H3" s="16"/>
    </row>
    <row r="4" spans="1:8" s="58" customFormat="1" ht="21.75" x14ac:dyDescent="0.35">
      <c r="A4" s="61" t="s">
        <v>611</v>
      </c>
      <c r="B4" s="61" t="s">
        <v>614</v>
      </c>
      <c r="C4" s="61"/>
      <c r="D4" s="61" t="s">
        <v>608</v>
      </c>
      <c r="E4" s="61" t="s">
        <v>636</v>
      </c>
      <c r="F4" s="61" t="s">
        <v>612</v>
      </c>
      <c r="G4" s="61" t="s">
        <v>613</v>
      </c>
      <c r="H4" s="59"/>
    </row>
    <row r="5" spans="1:8" x14ac:dyDescent="0.25">
      <c r="A5" s="18">
        <v>0</v>
      </c>
      <c r="B5" s="18">
        <f t="shared" ref="B5:B36" si="0">(_xlfn.SINGLE(veloc)+accel*_xlfn.SINGLE(time))</f>
        <v>0.2</v>
      </c>
      <c r="D5" s="18">
        <f>time</f>
        <v>0</v>
      </c>
      <c r="E5" s="18">
        <f t="shared" ref="E5:E36" si="1">time+time*veloc+accel/2*time^2</f>
        <v>0</v>
      </c>
    </row>
    <row r="6" spans="1:8" x14ac:dyDescent="0.25">
      <c r="A6" s="18">
        <f>A5+1</f>
        <v>1</v>
      </c>
      <c r="B6" s="18">
        <f t="shared" si="0"/>
        <v>0.30000000000000004</v>
      </c>
      <c r="C6" s="18">
        <f>(A6-A5)+B6</f>
        <v>1.3</v>
      </c>
      <c r="D6" s="18">
        <f t="shared" ref="D6:D37" si="2">D5+(A6-A5)+(_xlfn.SINGLE(veloc)+accel*_xlfn.SINGLE(time))</f>
        <v>1.3</v>
      </c>
      <c r="E6" s="18">
        <f t="shared" si="1"/>
        <v>1.25</v>
      </c>
      <c r="F6" s="18">
        <f t="shared" ref="F6:F37" si="3">(D6-D5)/(A6-A5)</f>
        <v>1.3</v>
      </c>
    </row>
    <row r="7" spans="1:8" x14ac:dyDescent="0.25">
      <c r="A7" s="18">
        <f t="shared" ref="A7:A70" si="4">A6+1</f>
        <v>2</v>
      </c>
      <c r="B7" s="18">
        <f t="shared" si="0"/>
        <v>0.4</v>
      </c>
      <c r="C7" s="18">
        <f t="shared" ref="C7:C70" si="5">(A7-A6)+B7</f>
        <v>1.4</v>
      </c>
      <c r="D7" s="18">
        <f t="shared" si="2"/>
        <v>2.6999999999999997</v>
      </c>
      <c r="E7" s="18">
        <f t="shared" si="1"/>
        <v>2.6</v>
      </c>
      <c r="F7" s="18">
        <f t="shared" si="3"/>
        <v>1.3999999999999997</v>
      </c>
      <c r="G7" s="18">
        <f t="shared" ref="G7:G38" si="6">(F7-F6)/(A7-A6)</f>
        <v>9.9999999999999645E-2</v>
      </c>
    </row>
    <row r="8" spans="1:8" x14ac:dyDescent="0.25">
      <c r="A8" s="18">
        <f t="shared" si="4"/>
        <v>3</v>
      </c>
      <c r="B8" s="18">
        <f t="shared" si="0"/>
        <v>0.5</v>
      </c>
      <c r="C8" s="18">
        <f t="shared" si="5"/>
        <v>1.5</v>
      </c>
      <c r="D8" s="18">
        <f t="shared" si="2"/>
        <v>4.1999999999999993</v>
      </c>
      <c r="E8" s="18">
        <f t="shared" si="1"/>
        <v>4.05</v>
      </c>
      <c r="F8" s="18">
        <f t="shared" si="3"/>
        <v>1.4999999999999996</v>
      </c>
      <c r="G8" s="18">
        <f t="shared" si="6"/>
        <v>9.9999999999999867E-2</v>
      </c>
    </row>
    <row r="9" spans="1:8" x14ac:dyDescent="0.25">
      <c r="A9" s="18">
        <f t="shared" si="4"/>
        <v>4</v>
      </c>
      <c r="B9" s="18">
        <f t="shared" si="0"/>
        <v>0.60000000000000009</v>
      </c>
      <c r="C9" s="18">
        <f t="shared" si="5"/>
        <v>1.6</v>
      </c>
      <c r="D9" s="18">
        <f t="shared" si="2"/>
        <v>5.7999999999999989</v>
      </c>
      <c r="E9" s="18">
        <f t="shared" si="1"/>
        <v>5.6</v>
      </c>
      <c r="F9" s="18">
        <f t="shared" si="3"/>
        <v>1.5999999999999996</v>
      </c>
      <c r="G9" s="18">
        <f t="shared" si="6"/>
        <v>0.10000000000000009</v>
      </c>
    </row>
    <row r="10" spans="1:8" x14ac:dyDescent="0.25">
      <c r="A10" s="18">
        <f t="shared" si="4"/>
        <v>5</v>
      </c>
      <c r="B10" s="18">
        <f t="shared" si="0"/>
        <v>0.7</v>
      </c>
      <c r="C10" s="18">
        <f t="shared" si="5"/>
        <v>1.7</v>
      </c>
      <c r="D10" s="18">
        <f t="shared" si="2"/>
        <v>7.4999999999999991</v>
      </c>
      <c r="E10" s="18">
        <f t="shared" si="1"/>
        <v>7.25</v>
      </c>
      <c r="F10" s="18">
        <f t="shared" si="3"/>
        <v>1.7000000000000002</v>
      </c>
      <c r="G10" s="18">
        <f t="shared" si="6"/>
        <v>0.10000000000000053</v>
      </c>
    </row>
    <row r="11" spans="1:8" x14ac:dyDescent="0.25">
      <c r="A11" s="18">
        <f t="shared" si="4"/>
        <v>6</v>
      </c>
      <c r="B11" s="18">
        <f t="shared" si="0"/>
        <v>0.8</v>
      </c>
      <c r="C11" s="18">
        <f t="shared" si="5"/>
        <v>1.8</v>
      </c>
      <c r="D11" s="18">
        <f t="shared" si="2"/>
        <v>9.3000000000000007</v>
      </c>
      <c r="E11" s="18">
        <f t="shared" si="1"/>
        <v>9</v>
      </c>
      <c r="F11" s="18">
        <f t="shared" si="3"/>
        <v>1.8000000000000016</v>
      </c>
      <c r="G11" s="18">
        <f t="shared" si="6"/>
        <v>0.10000000000000142</v>
      </c>
    </row>
    <row r="12" spans="1:8" x14ac:dyDescent="0.25">
      <c r="A12" s="18">
        <f t="shared" si="4"/>
        <v>7</v>
      </c>
      <c r="B12" s="18">
        <f t="shared" si="0"/>
        <v>0.90000000000000013</v>
      </c>
      <c r="C12" s="18">
        <f t="shared" si="5"/>
        <v>1.9000000000000001</v>
      </c>
      <c r="D12" s="18">
        <f t="shared" si="2"/>
        <v>11.200000000000001</v>
      </c>
      <c r="E12" s="18">
        <f t="shared" si="1"/>
        <v>10.850000000000001</v>
      </c>
      <c r="F12" s="18">
        <f t="shared" si="3"/>
        <v>1.9000000000000004</v>
      </c>
      <c r="G12" s="18">
        <f t="shared" si="6"/>
        <v>9.9999999999998757E-2</v>
      </c>
    </row>
    <row r="13" spans="1:8" x14ac:dyDescent="0.25">
      <c r="A13" s="18">
        <f t="shared" si="4"/>
        <v>8</v>
      </c>
      <c r="B13" s="18">
        <f t="shared" si="0"/>
        <v>1</v>
      </c>
      <c r="C13" s="18">
        <f t="shared" si="5"/>
        <v>2</v>
      </c>
      <c r="D13" s="18">
        <f t="shared" si="2"/>
        <v>13.200000000000001</v>
      </c>
      <c r="E13" s="18">
        <f t="shared" si="1"/>
        <v>12.8</v>
      </c>
      <c r="F13" s="18">
        <f t="shared" si="3"/>
        <v>2</v>
      </c>
      <c r="G13" s="18">
        <f t="shared" si="6"/>
        <v>9.9999999999999645E-2</v>
      </c>
    </row>
    <row r="14" spans="1:8" x14ac:dyDescent="0.25">
      <c r="A14" s="18">
        <f t="shared" si="4"/>
        <v>9</v>
      </c>
      <c r="B14" s="18">
        <f t="shared" si="0"/>
        <v>1.1000000000000001</v>
      </c>
      <c r="C14" s="18">
        <f t="shared" si="5"/>
        <v>2.1</v>
      </c>
      <c r="D14" s="18">
        <f t="shared" si="2"/>
        <v>15.3</v>
      </c>
      <c r="E14" s="18">
        <f t="shared" si="1"/>
        <v>14.850000000000001</v>
      </c>
      <c r="F14" s="18">
        <f t="shared" si="3"/>
        <v>2.0999999999999996</v>
      </c>
      <c r="G14" s="18">
        <f t="shared" si="6"/>
        <v>9.9999999999999645E-2</v>
      </c>
    </row>
    <row r="15" spans="1:8" x14ac:dyDescent="0.25">
      <c r="A15" s="18">
        <f t="shared" si="4"/>
        <v>10</v>
      </c>
      <c r="B15" s="18">
        <f t="shared" si="0"/>
        <v>1.2</v>
      </c>
      <c r="C15" s="18">
        <f t="shared" si="5"/>
        <v>2.2000000000000002</v>
      </c>
      <c r="D15" s="18">
        <f t="shared" si="2"/>
        <v>17.5</v>
      </c>
      <c r="E15" s="18">
        <f t="shared" si="1"/>
        <v>17</v>
      </c>
      <c r="F15" s="18">
        <f t="shared" si="3"/>
        <v>2.1999999999999993</v>
      </c>
      <c r="G15" s="18">
        <f t="shared" si="6"/>
        <v>9.9999999999999645E-2</v>
      </c>
    </row>
    <row r="16" spans="1:8" x14ac:dyDescent="0.25">
      <c r="A16" s="18">
        <f t="shared" si="4"/>
        <v>11</v>
      </c>
      <c r="B16" s="18">
        <f t="shared" si="0"/>
        <v>1.3</v>
      </c>
      <c r="C16" s="18">
        <f t="shared" si="5"/>
        <v>2.2999999999999998</v>
      </c>
      <c r="D16" s="18">
        <f t="shared" si="2"/>
        <v>19.8</v>
      </c>
      <c r="E16" s="18">
        <f t="shared" si="1"/>
        <v>19.25</v>
      </c>
      <c r="F16" s="18">
        <f t="shared" si="3"/>
        <v>2.3000000000000007</v>
      </c>
      <c r="G16" s="18">
        <f t="shared" si="6"/>
        <v>0.10000000000000142</v>
      </c>
    </row>
    <row r="17" spans="1:7" x14ac:dyDescent="0.25">
      <c r="A17" s="18">
        <f t="shared" si="4"/>
        <v>12</v>
      </c>
      <c r="B17" s="18">
        <f t="shared" si="0"/>
        <v>1.4000000000000001</v>
      </c>
      <c r="C17" s="18">
        <f t="shared" si="5"/>
        <v>2.4000000000000004</v>
      </c>
      <c r="D17" s="18">
        <f t="shared" si="2"/>
        <v>22.2</v>
      </c>
      <c r="E17" s="18">
        <f t="shared" si="1"/>
        <v>21.6</v>
      </c>
      <c r="F17" s="18">
        <f t="shared" si="3"/>
        <v>2.3999999999999986</v>
      </c>
      <c r="G17" s="18">
        <f t="shared" si="6"/>
        <v>9.9999999999997868E-2</v>
      </c>
    </row>
    <row r="18" spans="1:7" x14ac:dyDescent="0.25">
      <c r="A18" s="18">
        <f t="shared" si="4"/>
        <v>13</v>
      </c>
      <c r="B18" s="18">
        <f t="shared" si="0"/>
        <v>1.5</v>
      </c>
      <c r="C18" s="18">
        <f t="shared" si="5"/>
        <v>2.5</v>
      </c>
      <c r="D18" s="18">
        <f t="shared" si="2"/>
        <v>24.7</v>
      </c>
      <c r="E18" s="18">
        <f t="shared" si="1"/>
        <v>24.05</v>
      </c>
      <c r="F18" s="18">
        <f t="shared" si="3"/>
        <v>2.5</v>
      </c>
      <c r="G18" s="18">
        <f t="shared" si="6"/>
        <v>0.10000000000000142</v>
      </c>
    </row>
    <row r="19" spans="1:7" x14ac:dyDescent="0.25">
      <c r="A19" s="18">
        <f t="shared" si="4"/>
        <v>14</v>
      </c>
      <c r="B19" s="18">
        <f t="shared" si="0"/>
        <v>1.6</v>
      </c>
      <c r="C19" s="18">
        <f t="shared" si="5"/>
        <v>2.6</v>
      </c>
      <c r="D19" s="18">
        <f t="shared" si="2"/>
        <v>27.3</v>
      </c>
      <c r="E19" s="18">
        <f t="shared" si="1"/>
        <v>26.6</v>
      </c>
      <c r="F19" s="18">
        <f t="shared" si="3"/>
        <v>2.6000000000000014</v>
      </c>
      <c r="G19" s="18">
        <f t="shared" si="6"/>
        <v>0.10000000000000142</v>
      </c>
    </row>
    <row r="20" spans="1:7" x14ac:dyDescent="0.25">
      <c r="A20" s="18">
        <f t="shared" si="4"/>
        <v>15</v>
      </c>
      <c r="B20" s="18">
        <f t="shared" si="0"/>
        <v>1.7</v>
      </c>
      <c r="C20" s="18">
        <f t="shared" si="5"/>
        <v>2.7</v>
      </c>
      <c r="D20" s="18">
        <f t="shared" si="2"/>
        <v>30</v>
      </c>
      <c r="E20" s="18">
        <f t="shared" si="1"/>
        <v>29.25</v>
      </c>
      <c r="F20" s="18">
        <f t="shared" si="3"/>
        <v>2.6999999999999993</v>
      </c>
      <c r="G20" s="18">
        <f t="shared" si="6"/>
        <v>9.9999999999997868E-2</v>
      </c>
    </row>
    <row r="21" spans="1:7" x14ac:dyDescent="0.25">
      <c r="A21" s="18">
        <f t="shared" si="4"/>
        <v>16</v>
      </c>
      <c r="B21" s="18">
        <f t="shared" si="0"/>
        <v>1.8</v>
      </c>
      <c r="C21" s="18">
        <f t="shared" si="5"/>
        <v>2.8</v>
      </c>
      <c r="D21" s="18">
        <f t="shared" si="2"/>
        <v>32.799999999999997</v>
      </c>
      <c r="E21" s="18">
        <f t="shared" si="1"/>
        <v>32</v>
      </c>
      <c r="F21" s="18">
        <f t="shared" si="3"/>
        <v>2.7999999999999972</v>
      </c>
      <c r="G21" s="18">
        <f t="shared" si="6"/>
        <v>9.9999999999997868E-2</v>
      </c>
    </row>
    <row r="22" spans="1:7" x14ac:dyDescent="0.25">
      <c r="A22" s="18">
        <f t="shared" si="4"/>
        <v>17</v>
      </c>
      <c r="B22" s="18">
        <f t="shared" si="0"/>
        <v>1.9000000000000001</v>
      </c>
      <c r="C22" s="18">
        <f t="shared" si="5"/>
        <v>2.9000000000000004</v>
      </c>
      <c r="D22" s="18">
        <f t="shared" si="2"/>
        <v>35.699999999999996</v>
      </c>
      <c r="E22" s="18">
        <f t="shared" si="1"/>
        <v>34.85</v>
      </c>
      <c r="F22" s="18">
        <f t="shared" si="3"/>
        <v>2.8999999999999986</v>
      </c>
      <c r="G22" s="18">
        <f t="shared" si="6"/>
        <v>0.10000000000000142</v>
      </c>
    </row>
    <row r="23" spans="1:7" x14ac:dyDescent="0.25">
      <c r="A23" s="18">
        <f t="shared" si="4"/>
        <v>18</v>
      </c>
      <c r="B23" s="18">
        <f t="shared" si="0"/>
        <v>2</v>
      </c>
      <c r="C23" s="18">
        <f t="shared" si="5"/>
        <v>3</v>
      </c>
      <c r="D23" s="18">
        <f t="shared" si="2"/>
        <v>38.699999999999996</v>
      </c>
      <c r="E23" s="18">
        <f t="shared" si="1"/>
        <v>37.799999999999997</v>
      </c>
      <c r="F23" s="18">
        <f t="shared" si="3"/>
        <v>3</v>
      </c>
      <c r="G23" s="18">
        <f t="shared" si="6"/>
        <v>0.10000000000000142</v>
      </c>
    </row>
    <row r="24" spans="1:7" x14ac:dyDescent="0.25">
      <c r="A24" s="18">
        <f t="shared" si="4"/>
        <v>19</v>
      </c>
      <c r="B24" s="18">
        <f t="shared" si="0"/>
        <v>2.1</v>
      </c>
      <c r="C24" s="18">
        <f t="shared" si="5"/>
        <v>3.1</v>
      </c>
      <c r="D24" s="18">
        <f t="shared" si="2"/>
        <v>41.8</v>
      </c>
      <c r="E24" s="18">
        <f t="shared" si="1"/>
        <v>40.85</v>
      </c>
      <c r="F24" s="18">
        <f t="shared" si="3"/>
        <v>3.1000000000000014</v>
      </c>
      <c r="G24" s="18">
        <f t="shared" si="6"/>
        <v>0.10000000000000142</v>
      </c>
    </row>
    <row r="25" spans="1:7" x14ac:dyDescent="0.25">
      <c r="A25" s="18">
        <f t="shared" si="4"/>
        <v>20</v>
      </c>
      <c r="B25" s="18">
        <f t="shared" si="0"/>
        <v>2.2000000000000002</v>
      </c>
      <c r="C25" s="18">
        <f t="shared" si="5"/>
        <v>3.2</v>
      </c>
      <c r="D25" s="18">
        <f t="shared" si="2"/>
        <v>45</v>
      </c>
      <c r="E25" s="18">
        <f t="shared" si="1"/>
        <v>44</v>
      </c>
      <c r="F25" s="18">
        <f t="shared" si="3"/>
        <v>3.2000000000000028</v>
      </c>
      <c r="G25" s="18">
        <f t="shared" si="6"/>
        <v>0.10000000000000142</v>
      </c>
    </row>
    <row r="26" spans="1:7" x14ac:dyDescent="0.25">
      <c r="A26" s="18">
        <f t="shared" si="4"/>
        <v>21</v>
      </c>
      <c r="B26" s="18">
        <f t="shared" si="0"/>
        <v>2.3000000000000003</v>
      </c>
      <c r="C26" s="18">
        <f t="shared" si="5"/>
        <v>3.3000000000000003</v>
      </c>
      <c r="D26" s="18">
        <f t="shared" si="2"/>
        <v>48.3</v>
      </c>
      <c r="E26" s="18">
        <f t="shared" si="1"/>
        <v>47.25</v>
      </c>
      <c r="F26" s="18">
        <f t="shared" si="3"/>
        <v>3.2999999999999972</v>
      </c>
      <c r="G26" s="18">
        <f t="shared" si="6"/>
        <v>9.9999999999994316E-2</v>
      </c>
    </row>
    <row r="27" spans="1:7" x14ac:dyDescent="0.25">
      <c r="A27" s="18">
        <f t="shared" si="4"/>
        <v>22</v>
      </c>
      <c r="B27" s="18">
        <f t="shared" si="0"/>
        <v>2.4000000000000004</v>
      </c>
      <c r="C27" s="18">
        <f t="shared" si="5"/>
        <v>3.4000000000000004</v>
      </c>
      <c r="D27" s="18">
        <f t="shared" si="2"/>
        <v>51.699999999999996</v>
      </c>
      <c r="E27" s="18">
        <f t="shared" si="1"/>
        <v>50.6</v>
      </c>
      <c r="F27" s="18">
        <f t="shared" si="3"/>
        <v>3.3999999999999986</v>
      </c>
      <c r="G27" s="18">
        <f t="shared" si="6"/>
        <v>0.10000000000000142</v>
      </c>
    </row>
    <row r="28" spans="1:7" x14ac:dyDescent="0.25">
      <c r="A28" s="18">
        <f t="shared" si="4"/>
        <v>23</v>
      </c>
      <c r="B28" s="18">
        <f t="shared" si="0"/>
        <v>2.5000000000000004</v>
      </c>
      <c r="C28" s="18">
        <f t="shared" si="5"/>
        <v>3.5000000000000004</v>
      </c>
      <c r="D28" s="18">
        <f t="shared" si="2"/>
        <v>55.199999999999996</v>
      </c>
      <c r="E28" s="18">
        <f t="shared" si="1"/>
        <v>54.050000000000004</v>
      </c>
      <c r="F28" s="18">
        <f t="shared" si="3"/>
        <v>3.5</v>
      </c>
      <c r="G28" s="18">
        <f t="shared" si="6"/>
        <v>0.10000000000000142</v>
      </c>
    </row>
    <row r="29" spans="1:7" x14ac:dyDescent="0.25">
      <c r="A29" s="18">
        <f t="shared" si="4"/>
        <v>24</v>
      </c>
      <c r="B29" s="18">
        <f t="shared" si="0"/>
        <v>2.6000000000000005</v>
      </c>
      <c r="C29" s="18">
        <f t="shared" si="5"/>
        <v>3.6000000000000005</v>
      </c>
      <c r="D29" s="18">
        <f t="shared" si="2"/>
        <v>58.8</v>
      </c>
      <c r="E29" s="18">
        <f t="shared" si="1"/>
        <v>57.6</v>
      </c>
      <c r="F29" s="18">
        <f t="shared" si="3"/>
        <v>3.6000000000000014</v>
      </c>
      <c r="G29" s="18">
        <f t="shared" si="6"/>
        <v>0.10000000000000142</v>
      </c>
    </row>
    <row r="30" spans="1:7" x14ac:dyDescent="0.25">
      <c r="A30" s="18">
        <f t="shared" si="4"/>
        <v>25</v>
      </c>
      <c r="B30" s="18">
        <f t="shared" si="0"/>
        <v>2.7</v>
      </c>
      <c r="C30" s="18">
        <f t="shared" si="5"/>
        <v>3.7</v>
      </c>
      <c r="D30" s="18">
        <f t="shared" si="2"/>
        <v>62.5</v>
      </c>
      <c r="E30" s="18">
        <f t="shared" si="1"/>
        <v>61.25</v>
      </c>
      <c r="F30" s="18">
        <f t="shared" si="3"/>
        <v>3.7000000000000028</v>
      </c>
      <c r="G30" s="18">
        <f t="shared" si="6"/>
        <v>0.10000000000000142</v>
      </c>
    </row>
    <row r="31" spans="1:7" x14ac:dyDescent="0.25">
      <c r="A31" s="18">
        <f t="shared" si="4"/>
        <v>26</v>
      </c>
      <c r="B31" s="18">
        <f t="shared" si="0"/>
        <v>2.8000000000000003</v>
      </c>
      <c r="C31" s="18">
        <f t="shared" si="5"/>
        <v>3.8000000000000003</v>
      </c>
      <c r="D31" s="18">
        <f t="shared" si="2"/>
        <v>66.3</v>
      </c>
      <c r="E31" s="18">
        <f t="shared" si="1"/>
        <v>65</v>
      </c>
      <c r="F31" s="18">
        <f t="shared" si="3"/>
        <v>3.7999999999999972</v>
      </c>
      <c r="G31" s="18">
        <f t="shared" si="6"/>
        <v>9.9999999999994316E-2</v>
      </c>
    </row>
    <row r="32" spans="1:7" x14ac:dyDescent="0.25">
      <c r="A32" s="18">
        <f t="shared" si="4"/>
        <v>27</v>
      </c>
      <c r="B32" s="18">
        <f t="shared" si="0"/>
        <v>2.9000000000000004</v>
      </c>
      <c r="C32" s="18">
        <f t="shared" si="5"/>
        <v>3.9000000000000004</v>
      </c>
      <c r="D32" s="18">
        <f t="shared" si="2"/>
        <v>70.2</v>
      </c>
      <c r="E32" s="18">
        <f t="shared" si="1"/>
        <v>68.849999999999994</v>
      </c>
      <c r="F32" s="18">
        <f t="shared" si="3"/>
        <v>3.9000000000000057</v>
      </c>
      <c r="G32" s="18">
        <f t="shared" si="6"/>
        <v>0.10000000000000853</v>
      </c>
    </row>
    <row r="33" spans="1:7" x14ac:dyDescent="0.25">
      <c r="A33" s="18">
        <f t="shared" si="4"/>
        <v>28</v>
      </c>
      <c r="B33" s="18">
        <f t="shared" si="0"/>
        <v>3.0000000000000004</v>
      </c>
      <c r="C33" s="18">
        <f t="shared" si="5"/>
        <v>4</v>
      </c>
      <c r="D33" s="18">
        <f t="shared" si="2"/>
        <v>74.2</v>
      </c>
      <c r="E33" s="18">
        <f t="shared" si="1"/>
        <v>72.800000000000011</v>
      </c>
      <c r="F33" s="18">
        <f t="shared" si="3"/>
        <v>4</v>
      </c>
      <c r="G33" s="18">
        <f t="shared" si="6"/>
        <v>9.9999999999994316E-2</v>
      </c>
    </row>
    <row r="34" spans="1:7" x14ac:dyDescent="0.25">
      <c r="A34" s="18">
        <f t="shared" si="4"/>
        <v>29</v>
      </c>
      <c r="B34" s="18">
        <f t="shared" si="0"/>
        <v>3.1000000000000005</v>
      </c>
      <c r="C34" s="18">
        <f t="shared" si="5"/>
        <v>4.1000000000000005</v>
      </c>
      <c r="D34" s="18">
        <f t="shared" si="2"/>
        <v>78.3</v>
      </c>
      <c r="E34" s="18">
        <f t="shared" si="1"/>
        <v>76.849999999999994</v>
      </c>
      <c r="F34" s="18">
        <f t="shared" si="3"/>
        <v>4.0999999999999943</v>
      </c>
      <c r="G34" s="18">
        <f t="shared" si="6"/>
        <v>9.9999999999994316E-2</v>
      </c>
    </row>
    <row r="35" spans="1:7" x14ac:dyDescent="0.25">
      <c r="A35" s="18">
        <f t="shared" si="4"/>
        <v>30</v>
      </c>
      <c r="B35" s="18">
        <f t="shared" si="0"/>
        <v>3.2</v>
      </c>
      <c r="C35" s="18">
        <f t="shared" si="5"/>
        <v>4.2</v>
      </c>
      <c r="D35" s="18">
        <f t="shared" si="2"/>
        <v>82.5</v>
      </c>
      <c r="E35" s="18">
        <f t="shared" si="1"/>
        <v>81</v>
      </c>
      <c r="F35" s="18">
        <f t="shared" si="3"/>
        <v>4.2000000000000028</v>
      </c>
      <c r="G35" s="18">
        <f t="shared" si="6"/>
        <v>0.10000000000000853</v>
      </c>
    </row>
    <row r="36" spans="1:7" x14ac:dyDescent="0.25">
      <c r="A36" s="18">
        <f t="shared" si="4"/>
        <v>31</v>
      </c>
      <c r="B36" s="18">
        <f t="shared" si="0"/>
        <v>3.3000000000000003</v>
      </c>
      <c r="C36" s="18">
        <f t="shared" si="5"/>
        <v>4.3000000000000007</v>
      </c>
      <c r="D36" s="18">
        <f t="shared" si="2"/>
        <v>86.8</v>
      </c>
      <c r="E36" s="18">
        <f t="shared" si="1"/>
        <v>85.25</v>
      </c>
      <c r="F36" s="18">
        <f t="shared" si="3"/>
        <v>4.2999999999999972</v>
      </c>
      <c r="G36" s="18">
        <f t="shared" si="6"/>
        <v>9.9999999999994316E-2</v>
      </c>
    </row>
    <row r="37" spans="1:7" x14ac:dyDescent="0.25">
      <c r="A37" s="18">
        <f t="shared" si="4"/>
        <v>32</v>
      </c>
      <c r="B37" s="18">
        <f t="shared" ref="B37:B68" si="7">(_xlfn.SINGLE(veloc)+accel*_xlfn.SINGLE(time))</f>
        <v>3.4000000000000004</v>
      </c>
      <c r="C37" s="18">
        <f t="shared" si="5"/>
        <v>4.4000000000000004</v>
      </c>
      <c r="D37" s="18">
        <f t="shared" si="2"/>
        <v>91.2</v>
      </c>
      <c r="E37" s="18">
        <f t="shared" ref="E37:E68" si="8">time+time*veloc+accel/2*time^2</f>
        <v>89.6</v>
      </c>
      <c r="F37" s="18">
        <f t="shared" si="3"/>
        <v>4.4000000000000057</v>
      </c>
      <c r="G37" s="18">
        <f t="shared" si="6"/>
        <v>0.10000000000000853</v>
      </c>
    </row>
    <row r="38" spans="1:7" x14ac:dyDescent="0.25">
      <c r="A38" s="18">
        <f t="shared" si="4"/>
        <v>33</v>
      </c>
      <c r="B38" s="18">
        <f t="shared" si="7"/>
        <v>3.5000000000000004</v>
      </c>
      <c r="C38" s="18">
        <f t="shared" si="5"/>
        <v>4.5</v>
      </c>
      <c r="D38" s="18">
        <f t="shared" ref="D38:D69" si="9">D37+(A38-A37)+(_xlfn.SINGLE(veloc)+accel*_xlfn.SINGLE(time))</f>
        <v>95.7</v>
      </c>
      <c r="E38" s="18">
        <f t="shared" si="8"/>
        <v>94.050000000000011</v>
      </c>
      <c r="F38" s="18">
        <f t="shared" ref="F38:F69" si="10">(D38-D37)/(A38-A37)</f>
        <v>4.5</v>
      </c>
      <c r="G38" s="18">
        <f t="shared" si="6"/>
        <v>9.9999999999994316E-2</v>
      </c>
    </row>
    <row r="39" spans="1:7" x14ac:dyDescent="0.25">
      <c r="A39" s="18">
        <f t="shared" si="4"/>
        <v>34</v>
      </c>
      <c r="B39" s="18">
        <f t="shared" si="7"/>
        <v>3.6000000000000005</v>
      </c>
      <c r="C39" s="18">
        <f t="shared" si="5"/>
        <v>4.6000000000000005</v>
      </c>
      <c r="D39" s="18">
        <f t="shared" si="9"/>
        <v>100.3</v>
      </c>
      <c r="E39" s="18">
        <f t="shared" si="8"/>
        <v>98.6</v>
      </c>
      <c r="F39" s="18">
        <f t="shared" si="10"/>
        <v>4.5999999999999943</v>
      </c>
      <c r="G39" s="18">
        <f t="shared" ref="G39:G70" si="11">(F39-F38)/(A39-A38)</f>
        <v>9.9999999999994316E-2</v>
      </c>
    </row>
    <row r="40" spans="1:7" x14ac:dyDescent="0.25">
      <c r="A40" s="18">
        <f t="shared" si="4"/>
        <v>35</v>
      </c>
      <c r="B40" s="18">
        <f t="shared" si="7"/>
        <v>3.7</v>
      </c>
      <c r="C40" s="18">
        <f t="shared" si="5"/>
        <v>4.7</v>
      </c>
      <c r="D40" s="18">
        <f t="shared" si="9"/>
        <v>105</v>
      </c>
      <c r="E40" s="18">
        <f t="shared" si="8"/>
        <v>103.25</v>
      </c>
      <c r="F40" s="18">
        <f t="shared" si="10"/>
        <v>4.7000000000000028</v>
      </c>
      <c r="G40" s="18">
        <f t="shared" si="11"/>
        <v>0.10000000000000853</v>
      </c>
    </row>
    <row r="41" spans="1:7" x14ac:dyDescent="0.25">
      <c r="A41" s="18">
        <f t="shared" si="4"/>
        <v>36</v>
      </c>
      <c r="B41" s="18">
        <f t="shared" si="7"/>
        <v>3.8000000000000003</v>
      </c>
      <c r="C41" s="18">
        <f t="shared" si="5"/>
        <v>4.8000000000000007</v>
      </c>
      <c r="D41" s="18">
        <f t="shared" si="9"/>
        <v>109.8</v>
      </c>
      <c r="E41" s="18">
        <f t="shared" si="8"/>
        <v>108</v>
      </c>
      <c r="F41" s="18">
        <f t="shared" si="10"/>
        <v>4.7999999999999972</v>
      </c>
      <c r="G41" s="18">
        <f t="shared" si="11"/>
        <v>9.9999999999994316E-2</v>
      </c>
    </row>
    <row r="42" spans="1:7" x14ac:dyDescent="0.25">
      <c r="A42" s="18">
        <f t="shared" si="4"/>
        <v>37</v>
      </c>
      <c r="B42" s="18">
        <f t="shared" si="7"/>
        <v>3.9000000000000004</v>
      </c>
      <c r="C42" s="18">
        <f t="shared" si="5"/>
        <v>4.9000000000000004</v>
      </c>
      <c r="D42" s="18">
        <f t="shared" si="9"/>
        <v>114.7</v>
      </c>
      <c r="E42" s="18">
        <f t="shared" si="8"/>
        <v>112.85</v>
      </c>
      <c r="F42" s="18">
        <f t="shared" si="10"/>
        <v>4.9000000000000057</v>
      </c>
      <c r="G42" s="18">
        <f t="shared" si="11"/>
        <v>0.10000000000000853</v>
      </c>
    </row>
    <row r="43" spans="1:7" x14ac:dyDescent="0.25">
      <c r="A43" s="18">
        <f t="shared" si="4"/>
        <v>38</v>
      </c>
      <c r="B43" s="18">
        <f t="shared" si="7"/>
        <v>4</v>
      </c>
      <c r="C43" s="18">
        <f t="shared" si="5"/>
        <v>5</v>
      </c>
      <c r="D43" s="18">
        <f t="shared" si="9"/>
        <v>119.7</v>
      </c>
      <c r="E43" s="18">
        <f t="shared" si="8"/>
        <v>117.80000000000001</v>
      </c>
      <c r="F43" s="18">
        <f t="shared" si="10"/>
        <v>5</v>
      </c>
      <c r="G43" s="18">
        <f t="shared" si="11"/>
        <v>9.9999999999994316E-2</v>
      </c>
    </row>
    <row r="44" spans="1:7" x14ac:dyDescent="0.25">
      <c r="A44" s="18">
        <f t="shared" si="4"/>
        <v>39</v>
      </c>
      <c r="B44" s="18">
        <f t="shared" si="7"/>
        <v>4.1000000000000005</v>
      </c>
      <c r="C44" s="18">
        <f t="shared" si="5"/>
        <v>5.1000000000000005</v>
      </c>
      <c r="D44" s="18">
        <f t="shared" si="9"/>
        <v>124.8</v>
      </c>
      <c r="E44" s="18">
        <f t="shared" si="8"/>
        <v>122.85</v>
      </c>
      <c r="F44" s="18">
        <f t="shared" si="10"/>
        <v>5.0999999999999943</v>
      </c>
      <c r="G44" s="18">
        <f t="shared" si="11"/>
        <v>9.9999999999994316E-2</v>
      </c>
    </row>
    <row r="45" spans="1:7" x14ac:dyDescent="0.25">
      <c r="A45" s="18">
        <f t="shared" si="4"/>
        <v>40</v>
      </c>
      <c r="B45" s="18">
        <f t="shared" si="7"/>
        <v>4.2</v>
      </c>
      <c r="C45" s="18">
        <f t="shared" si="5"/>
        <v>5.2</v>
      </c>
      <c r="D45" s="18">
        <f t="shared" si="9"/>
        <v>130</v>
      </c>
      <c r="E45" s="18">
        <f t="shared" si="8"/>
        <v>128</v>
      </c>
      <c r="F45" s="18">
        <f t="shared" si="10"/>
        <v>5.2000000000000028</v>
      </c>
      <c r="G45" s="18">
        <f t="shared" si="11"/>
        <v>0.10000000000000853</v>
      </c>
    </row>
    <row r="46" spans="1:7" x14ac:dyDescent="0.25">
      <c r="A46" s="18">
        <f t="shared" si="4"/>
        <v>41</v>
      </c>
      <c r="B46" s="18">
        <f t="shared" si="7"/>
        <v>4.3000000000000007</v>
      </c>
      <c r="C46" s="18">
        <f t="shared" si="5"/>
        <v>5.3000000000000007</v>
      </c>
      <c r="D46" s="18">
        <f t="shared" si="9"/>
        <v>135.30000000000001</v>
      </c>
      <c r="E46" s="18">
        <f t="shared" si="8"/>
        <v>133.25</v>
      </c>
      <c r="F46" s="18">
        <f t="shared" si="10"/>
        <v>5.3000000000000114</v>
      </c>
      <c r="G46" s="18">
        <f t="shared" si="11"/>
        <v>0.10000000000000853</v>
      </c>
    </row>
    <row r="47" spans="1:7" x14ac:dyDescent="0.25">
      <c r="A47" s="18">
        <f t="shared" si="4"/>
        <v>42</v>
      </c>
      <c r="B47" s="18">
        <f t="shared" si="7"/>
        <v>4.4000000000000004</v>
      </c>
      <c r="C47" s="18">
        <f t="shared" si="5"/>
        <v>5.4</v>
      </c>
      <c r="D47" s="18">
        <f t="shared" si="9"/>
        <v>140.70000000000002</v>
      </c>
      <c r="E47" s="18">
        <f t="shared" si="8"/>
        <v>138.6</v>
      </c>
      <c r="F47" s="18">
        <f t="shared" si="10"/>
        <v>5.4000000000000057</v>
      </c>
      <c r="G47" s="18">
        <f t="shared" si="11"/>
        <v>9.9999999999994316E-2</v>
      </c>
    </row>
    <row r="48" spans="1:7" x14ac:dyDescent="0.25">
      <c r="A48" s="18">
        <f t="shared" si="4"/>
        <v>43</v>
      </c>
      <c r="B48" s="18">
        <f t="shared" si="7"/>
        <v>4.5</v>
      </c>
      <c r="C48" s="18">
        <f t="shared" si="5"/>
        <v>5.5</v>
      </c>
      <c r="D48" s="18">
        <f t="shared" si="9"/>
        <v>146.20000000000002</v>
      </c>
      <c r="E48" s="18">
        <f t="shared" si="8"/>
        <v>144.05000000000001</v>
      </c>
      <c r="F48" s="18">
        <f t="shared" si="10"/>
        <v>5.5</v>
      </c>
      <c r="G48" s="18">
        <f t="shared" si="11"/>
        <v>9.9999999999994316E-2</v>
      </c>
    </row>
    <row r="49" spans="1:7" x14ac:dyDescent="0.25">
      <c r="A49" s="18">
        <f t="shared" si="4"/>
        <v>44</v>
      </c>
      <c r="B49" s="18">
        <f t="shared" si="7"/>
        <v>4.6000000000000005</v>
      </c>
      <c r="C49" s="18">
        <f t="shared" si="5"/>
        <v>5.6000000000000005</v>
      </c>
      <c r="D49" s="18">
        <f t="shared" si="9"/>
        <v>151.80000000000001</v>
      </c>
      <c r="E49" s="18">
        <f t="shared" si="8"/>
        <v>149.60000000000002</v>
      </c>
      <c r="F49" s="18">
        <f t="shared" si="10"/>
        <v>5.5999999999999943</v>
      </c>
      <c r="G49" s="18">
        <f t="shared" si="11"/>
        <v>9.9999999999994316E-2</v>
      </c>
    </row>
    <row r="50" spans="1:7" x14ac:dyDescent="0.25">
      <c r="A50" s="18">
        <f t="shared" si="4"/>
        <v>45</v>
      </c>
      <c r="B50" s="18">
        <f t="shared" si="7"/>
        <v>4.7</v>
      </c>
      <c r="C50" s="18">
        <f t="shared" si="5"/>
        <v>5.7</v>
      </c>
      <c r="D50" s="18">
        <f t="shared" si="9"/>
        <v>157.5</v>
      </c>
      <c r="E50" s="18">
        <f t="shared" si="8"/>
        <v>155.25</v>
      </c>
      <c r="F50" s="18">
        <f t="shared" si="10"/>
        <v>5.6999999999999886</v>
      </c>
      <c r="G50" s="18">
        <f t="shared" si="11"/>
        <v>9.9999999999994316E-2</v>
      </c>
    </row>
    <row r="51" spans="1:7" x14ac:dyDescent="0.25">
      <c r="A51" s="18">
        <f t="shared" si="4"/>
        <v>46</v>
      </c>
      <c r="B51" s="18">
        <f t="shared" si="7"/>
        <v>4.8000000000000007</v>
      </c>
      <c r="C51" s="18">
        <f t="shared" si="5"/>
        <v>5.8000000000000007</v>
      </c>
      <c r="D51" s="18">
        <f t="shared" si="9"/>
        <v>163.30000000000001</v>
      </c>
      <c r="E51" s="18">
        <f t="shared" si="8"/>
        <v>161</v>
      </c>
      <c r="F51" s="18">
        <f t="shared" si="10"/>
        <v>5.8000000000000114</v>
      </c>
      <c r="G51" s="18">
        <f t="shared" si="11"/>
        <v>0.10000000000002274</v>
      </c>
    </row>
    <row r="52" spans="1:7" x14ac:dyDescent="0.25">
      <c r="A52" s="18">
        <f t="shared" si="4"/>
        <v>47</v>
      </c>
      <c r="B52" s="18">
        <f t="shared" si="7"/>
        <v>4.9000000000000004</v>
      </c>
      <c r="C52" s="18">
        <f t="shared" si="5"/>
        <v>5.9</v>
      </c>
      <c r="D52" s="18">
        <f t="shared" si="9"/>
        <v>169.20000000000002</v>
      </c>
      <c r="E52" s="18">
        <f t="shared" si="8"/>
        <v>166.85</v>
      </c>
      <c r="F52" s="18">
        <f t="shared" si="10"/>
        <v>5.9000000000000057</v>
      </c>
      <c r="G52" s="18">
        <f t="shared" si="11"/>
        <v>9.9999999999994316E-2</v>
      </c>
    </row>
    <row r="53" spans="1:7" x14ac:dyDescent="0.25">
      <c r="A53" s="18">
        <f t="shared" si="4"/>
        <v>48</v>
      </c>
      <c r="B53" s="18">
        <f t="shared" si="7"/>
        <v>5.0000000000000009</v>
      </c>
      <c r="C53" s="18">
        <f t="shared" si="5"/>
        <v>6.0000000000000009</v>
      </c>
      <c r="D53" s="18">
        <f t="shared" si="9"/>
        <v>175.20000000000002</v>
      </c>
      <c r="E53" s="18">
        <f t="shared" si="8"/>
        <v>172.8</v>
      </c>
      <c r="F53" s="18">
        <f t="shared" si="10"/>
        <v>6</v>
      </c>
      <c r="G53" s="18">
        <f t="shared" si="11"/>
        <v>9.9999999999994316E-2</v>
      </c>
    </row>
    <row r="54" spans="1:7" x14ac:dyDescent="0.25">
      <c r="A54" s="18">
        <f t="shared" si="4"/>
        <v>49</v>
      </c>
      <c r="B54" s="18">
        <f t="shared" si="7"/>
        <v>5.1000000000000005</v>
      </c>
      <c r="C54" s="18">
        <f t="shared" si="5"/>
        <v>6.1000000000000005</v>
      </c>
      <c r="D54" s="18">
        <f t="shared" si="9"/>
        <v>181.3</v>
      </c>
      <c r="E54" s="18">
        <f t="shared" si="8"/>
        <v>178.85000000000002</v>
      </c>
      <c r="F54" s="18">
        <f t="shared" si="10"/>
        <v>6.0999999999999943</v>
      </c>
      <c r="G54" s="18">
        <f t="shared" si="11"/>
        <v>9.9999999999994316E-2</v>
      </c>
    </row>
    <row r="55" spans="1:7" x14ac:dyDescent="0.25">
      <c r="A55" s="18">
        <f t="shared" si="4"/>
        <v>50</v>
      </c>
      <c r="B55" s="18">
        <f t="shared" si="7"/>
        <v>5.2</v>
      </c>
      <c r="C55" s="18">
        <f t="shared" si="5"/>
        <v>6.2</v>
      </c>
      <c r="D55" s="18">
        <f t="shared" si="9"/>
        <v>187.5</v>
      </c>
      <c r="E55" s="18">
        <f t="shared" si="8"/>
        <v>185</v>
      </c>
      <c r="F55" s="18">
        <f t="shared" si="10"/>
        <v>6.1999999999999886</v>
      </c>
      <c r="G55" s="18">
        <f t="shared" si="11"/>
        <v>9.9999999999994316E-2</v>
      </c>
    </row>
    <row r="56" spans="1:7" x14ac:dyDescent="0.25">
      <c r="A56" s="18">
        <f t="shared" si="4"/>
        <v>51</v>
      </c>
      <c r="B56" s="18">
        <f t="shared" si="7"/>
        <v>5.3000000000000007</v>
      </c>
      <c r="C56" s="18">
        <f t="shared" si="5"/>
        <v>6.3000000000000007</v>
      </c>
      <c r="D56" s="18">
        <f t="shared" si="9"/>
        <v>193.8</v>
      </c>
      <c r="E56" s="18">
        <f t="shared" si="8"/>
        <v>191.25</v>
      </c>
      <c r="F56" s="18">
        <f t="shared" si="10"/>
        <v>6.3000000000000114</v>
      </c>
      <c r="G56" s="18">
        <f t="shared" si="11"/>
        <v>0.10000000000002274</v>
      </c>
    </row>
    <row r="57" spans="1:7" x14ac:dyDescent="0.25">
      <c r="A57" s="18">
        <f t="shared" si="4"/>
        <v>52</v>
      </c>
      <c r="B57" s="18">
        <f t="shared" si="7"/>
        <v>5.4</v>
      </c>
      <c r="C57" s="18">
        <f t="shared" si="5"/>
        <v>6.4</v>
      </c>
      <c r="D57" s="18">
        <f t="shared" si="9"/>
        <v>200.20000000000002</v>
      </c>
      <c r="E57" s="18">
        <f t="shared" si="8"/>
        <v>197.60000000000002</v>
      </c>
      <c r="F57" s="18">
        <f t="shared" si="10"/>
        <v>6.4000000000000057</v>
      </c>
      <c r="G57" s="18">
        <f t="shared" si="11"/>
        <v>9.9999999999994316E-2</v>
      </c>
    </row>
    <row r="58" spans="1:7" x14ac:dyDescent="0.25">
      <c r="A58" s="18">
        <f t="shared" si="4"/>
        <v>53</v>
      </c>
      <c r="B58" s="18">
        <f t="shared" si="7"/>
        <v>5.5000000000000009</v>
      </c>
      <c r="C58" s="18">
        <f t="shared" si="5"/>
        <v>6.5000000000000009</v>
      </c>
      <c r="D58" s="18">
        <f t="shared" si="9"/>
        <v>206.70000000000002</v>
      </c>
      <c r="E58" s="18">
        <f t="shared" si="8"/>
        <v>204.05</v>
      </c>
      <c r="F58" s="18">
        <f t="shared" si="10"/>
        <v>6.5</v>
      </c>
      <c r="G58" s="18">
        <f t="shared" si="11"/>
        <v>9.9999999999994316E-2</v>
      </c>
    </row>
    <row r="59" spans="1:7" x14ac:dyDescent="0.25">
      <c r="A59" s="18">
        <f t="shared" si="4"/>
        <v>54</v>
      </c>
      <c r="B59" s="18">
        <f t="shared" si="7"/>
        <v>5.6000000000000005</v>
      </c>
      <c r="C59" s="18">
        <f t="shared" si="5"/>
        <v>6.6000000000000005</v>
      </c>
      <c r="D59" s="18">
        <f t="shared" si="9"/>
        <v>213.3</v>
      </c>
      <c r="E59" s="18">
        <f t="shared" si="8"/>
        <v>210.60000000000002</v>
      </c>
      <c r="F59" s="18">
        <f t="shared" si="10"/>
        <v>6.5999999999999943</v>
      </c>
      <c r="G59" s="18">
        <f t="shared" si="11"/>
        <v>9.9999999999994316E-2</v>
      </c>
    </row>
    <row r="60" spans="1:7" x14ac:dyDescent="0.25">
      <c r="A60" s="18">
        <f t="shared" si="4"/>
        <v>55</v>
      </c>
      <c r="B60" s="18">
        <f t="shared" si="7"/>
        <v>5.7</v>
      </c>
      <c r="C60" s="18">
        <f t="shared" si="5"/>
        <v>6.7</v>
      </c>
      <c r="D60" s="18">
        <f t="shared" si="9"/>
        <v>220</v>
      </c>
      <c r="E60" s="18">
        <f t="shared" si="8"/>
        <v>217.25</v>
      </c>
      <c r="F60" s="18">
        <f t="shared" si="10"/>
        <v>6.6999999999999886</v>
      </c>
      <c r="G60" s="18">
        <f t="shared" si="11"/>
        <v>9.9999999999994316E-2</v>
      </c>
    </row>
    <row r="61" spans="1:7" x14ac:dyDescent="0.25">
      <c r="A61" s="18">
        <f t="shared" si="4"/>
        <v>56</v>
      </c>
      <c r="B61" s="18">
        <f t="shared" si="7"/>
        <v>5.8000000000000007</v>
      </c>
      <c r="C61" s="18">
        <f t="shared" si="5"/>
        <v>6.8000000000000007</v>
      </c>
      <c r="D61" s="18">
        <f t="shared" si="9"/>
        <v>226.8</v>
      </c>
      <c r="E61" s="18">
        <f t="shared" si="8"/>
        <v>224</v>
      </c>
      <c r="F61" s="18">
        <f t="shared" si="10"/>
        <v>6.8000000000000114</v>
      </c>
      <c r="G61" s="18">
        <f t="shared" si="11"/>
        <v>0.10000000000002274</v>
      </c>
    </row>
    <row r="62" spans="1:7" x14ac:dyDescent="0.25">
      <c r="A62" s="18">
        <f t="shared" si="4"/>
        <v>57</v>
      </c>
      <c r="B62" s="18">
        <f t="shared" si="7"/>
        <v>5.9</v>
      </c>
      <c r="C62" s="18">
        <f t="shared" si="5"/>
        <v>6.9</v>
      </c>
      <c r="D62" s="18">
        <f t="shared" si="9"/>
        <v>233.70000000000002</v>
      </c>
      <c r="E62" s="18">
        <f t="shared" si="8"/>
        <v>230.85000000000002</v>
      </c>
      <c r="F62" s="18">
        <f t="shared" si="10"/>
        <v>6.9000000000000057</v>
      </c>
      <c r="G62" s="18">
        <f t="shared" si="11"/>
        <v>9.9999999999994316E-2</v>
      </c>
    </row>
    <row r="63" spans="1:7" x14ac:dyDescent="0.25">
      <c r="A63" s="18">
        <f t="shared" si="4"/>
        <v>58</v>
      </c>
      <c r="B63" s="18">
        <f t="shared" si="7"/>
        <v>6.0000000000000009</v>
      </c>
      <c r="C63" s="18">
        <f t="shared" si="5"/>
        <v>7.0000000000000009</v>
      </c>
      <c r="D63" s="18">
        <f t="shared" si="9"/>
        <v>240.70000000000002</v>
      </c>
      <c r="E63" s="18">
        <f t="shared" si="8"/>
        <v>237.8</v>
      </c>
      <c r="F63" s="18">
        <f t="shared" si="10"/>
        <v>7</v>
      </c>
      <c r="G63" s="18">
        <f t="shared" si="11"/>
        <v>9.9999999999994316E-2</v>
      </c>
    </row>
    <row r="64" spans="1:7" x14ac:dyDescent="0.25">
      <c r="A64" s="18">
        <f t="shared" si="4"/>
        <v>59</v>
      </c>
      <c r="B64" s="18">
        <f t="shared" si="7"/>
        <v>6.1000000000000005</v>
      </c>
      <c r="C64" s="18">
        <f t="shared" si="5"/>
        <v>7.1000000000000005</v>
      </c>
      <c r="D64" s="18">
        <f t="shared" si="9"/>
        <v>247.8</v>
      </c>
      <c r="E64" s="18">
        <f t="shared" si="8"/>
        <v>244.85000000000002</v>
      </c>
      <c r="F64" s="18">
        <f t="shared" si="10"/>
        <v>7.0999999999999943</v>
      </c>
      <c r="G64" s="18">
        <f t="shared" si="11"/>
        <v>9.9999999999994316E-2</v>
      </c>
    </row>
    <row r="65" spans="1:7" x14ac:dyDescent="0.25">
      <c r="A65" s="18">
        <f t="shared" si="4"/>
        <v>60</v>
      </c>
      <c r="B65" s="18">
        <f t="shared" si="7"/>
        <v>6.2</v>
      </c>
      <c r="C65" s="18">
        <f t="shared" si="5"/>
        <v>7.2</v>
      </c>
      <c r="D65" s="18">
        <f t="shared" si="9"/>
        <v>255</v>
      </c>
      <c r="E65" s="18">
        <f t="shared" si="8"/>
        <v>252</v>
      </c>
      <c r="F65" s="18">
        <f t="shared" si="10"/>
        <v>7.1999999999999886</v>
      </c>
      <c r="G65" s="18">
        <f t="shared" si="11"/>
        <v>9.9999999999994316E-2</v>
      </c>
    </row>
    <row r="66" spans="1:7" x14ac:dyDescent="0.25">
      <c r="A66" s="18">
        <f t="shared" si="4"/>
        <v>61</v>
      </c>
      <c r="B66" s="18">
        <f t="shared" si="7"/>
        <v>6.3000000000000007</v>
      </c>
      <c r="C66" s="18">
        <f t="shared" si="5"/>
        <v>7.3000000000000007</v>
      </c>
      <c r="D66" s="18">
        <f t="shared" si="9"/>
        <v>262.3</v>
      </c>
      <c r="E66" s="18">
        <f t="shared" si="8"/>
        <v>259.25</v>
      </c>
      <c r="F66" s="18">
        <f t="shared" si="10"/>
        <v>7.3000000000000114</v>
      </c>
      <c r="G66" s="18">
        <f t="shared" si="11"/>
        <v>0.10000000000002274</v>
      </c>
    </row>
    <row r="67" spans="1:7" x14ac:dyDescent="0.25">
      <c r="A67" s="18">
        <f t="shared" si="4"/>
        <v>62</v>
      </c>
      <c r="B67" s="18">
        <f t="shared" si="7"/>
        <v>6.4</v>
      </c>
      <c r="C67" s="18">
        <f t="shared" si="5"/>
        <v>7.4</v>
      </c>
      <c r="D67" s="18">
        <f t="shared" si="9"/>
        <v>269.7</v>
      </c>
      <c r="E67" s="18">
        <f t="shared" si="8"/>
        <v>266.60000000000002</v>
      </c>
      <c r="F67" s="18">
        <f t="shared" si="10"/>
        <v>7.3999999999999773</v>
      </c>
      <c r="G67" s="18">
        <f t="shared" si="11"/>
        <v>9.9999999999965894E-2</v>
      </c>
    </row>
    <row r="68" spans="1:7" x14ac:dyDescent="0.25">
      <c r="A68" s="18">
        <f t="shared" si="4"/>
        <v>63</v>
      </c>
      <c r="B68" s="18">
        <f t="shared" si="7"/>
        <v>6.5000000000000009</v>
      </c>
      <c r="C68" s="18">
        <f t="shared" si="5"/>
        <v>7.5000000000000009</v>
      </c>
      <c r="D68" s="18">
        <f t="shared" si="9"/>
        <v>277.2</v>
      </c>
      <c r="E68" s="18">
        <f t="shared" si="8"/>
        <v>274.05</v>
      </c>
      <c r="F68" s="18">
        <f t="shared" si="10"/>
        <v>7.5</v>
      </c>
      <c r="G68" s="18">
        <f t="shared" si="11"/>
        <v>0.10000000000002274</v>
      </c>
    </row>
    <row r="69" spans="1:7" x14ac:dyDescent="0.25">
      <c r="A69" s="18">
        <f t="shared" si="4"/>
        <v>64</v>
      </c>
      <c r="B69" s="18">
        <f t="shared" ref="B69:B101" si="12">(_xlfn.SINGLE(veloc)+accel*_xlfn.SINGLE(time))</f>
        <v>6.6000000000000005</v>
      </c>
      <c r="C69" s="18">
        <f t="shared" si="5"/>
        <v>7.6000000000000005</v>
      </c>
      <c r="D69" s="18">
        <f t="shared" si="9"/>
        <v>284.8</v>
      </c>
      <c r="E69" s="18">
        <f t="shared" ref="E69:E101" si="13">time+time*veloc+accel/2*time^2</f>
        <v>281.60000000000002</v>
      </c>
      <c r="F69" s="18">
        <f t="shared" si="10"/>
        <v>7.6000000000000227</v>
      </c>
      <c r="G69" s="18">
        <f t="shared" si="11"/>
        <v>0.10000000000002274</v>
      </c>
    </row>
    <row r="70" spans="1:7" x14ac:dyDescent="0.25">
      <c r="A70" s="18">
        <f t="shared" si="4"/>
        <v>65</v>
      </c>
      <c r="B70" s="18">
        <f t="shared" si="12"/>
        <v>6.7</v>
      </c>
      <c r="C70" s="18">
        <f t="shared" si="5"/>
        <v>7.7</v>
      </c>
      <c r="D70" s="18">
        <f t="shared" ref="D70:D101" si="14">D69+(A70-A69)+(_xlfn.SINGLE(veloc)+accel*_xlfn.SINGLE(time))</f>
        <v>292.5</v>
      </c>
      <c r="E70" s="18">
        <f t="shared" si="13"/>
        <v>289.25</v>
      </c>
      <c r="F70" s="18">
        <f t="shared" ref="F70:F101" si="15">(D70-D69)/(A70-A69)</f>
        <v>7.6999999999999886</v>
      </c>
      <c r="G70" s="18">
        <f t="shared" si="11"/>
        <v>9.9999999999965894E-2</v>
      </c>
    </row>
    <row r="71" spans="1:7" x14ac:dyDescent="0.25">
      <c r="A71" s="18">
        <f t="shared" ref="A71:A101" si="16">A70+1</f>
        <v>66</v>
      </c>
      <c r="B71" s="18">
        <f t="shared" si="12"/>
        <v>6.8000000000000007</v>
      </c>
      <c r="C71" s="18">
        <f t="shared" ref="C71:C101" si="17">(A71-A70)+B71</f>
        <v>7.8000000000000007</v>
      </c>
      <c r="D71" s="18">
        <f t="shared" si="14"/>
        <v>300.3</v>
      </c>
      <c r="E71" s="18">
        <f t="shared" si="13"/>
        <v>297</v>
      </c>
      <c r="F71" s="18">
        <f t="shared" si="15"/>
        <v>7.8000000000000114</v>
      </c>
      <c r="G71" s="18">
        <f t="shared" ref="G71:G101" si="18">(F71-F70)/(A71-A70)</f>
        <v>0.10000000000002274</v>
      </c>
    </row>
    <row r="72" spans="1:7" x14ac:dyDescent="0.25">
      <c r="A72" s="18">
        <f t="shared" si="16"/>
        <v>67</v>
      </c>
      <c r="B72" s="18">
        <f t="shared" si="12"/>
        <v>6.9</v>
      </c>
      <c r="C72" s="18">
        <f t="shared" si="17"/>
        <v>7.9</v>
      </c>
      <c r="D72" s="18">
        <f t="shared" si="14"/>
        <v>308.2</v>
      </c>
      <c r="E72" s="18">
        <f t="shared" si="13"/>
        <v>304.85000000000002</v>
      </c>
      <c r="F72" s="18">
        <f t="shared" si="15"/>
        <v>7.8999999999999773</v>
      </c>
      <c r="G72" s="18">
        <f t="shared" si="18"/>
        <v>9.9999999999965894E-2</v>
      </c>
    </row>
    <row r="73" spans="1:7" x14ac:dyDescent="0.25">
      <c r="A73" s="18">
        <f t="shared" si="16"/>
        <v>68</v>
      </c>
      <c r="B73" s="18">
        <f t="shared" si="12"/>
        <v>7.0000000000000009</v>
      </c>
      <c r="C73" s="18">
        <f t="shared" si="17"/>
        <v>8</v>
      </c>
      <c r="D73" s="18">
        <f t="shared" si="14"/>
        <v>316.2</v>
      </c>
      <c r="E73" s="18">
        <f t="shared" si="13"/>
        <v>312.8</v>
      </c>
      <c r="F73" s="18">
        <f t="shared" si="15"/>
        <v>8</v>
      </c>
      <c r="G73" s="18">
        <f t="shared" si="18"/>
        <v>0.10000000000002274</v>
      </c>
    </row>
    <row r="74" spans="1:7" x14ac:dyDescent="0.25">
      <c r="A74" s="18">
        <f t="shared" si="16"/>
        <v>69</v>
      </c>
      <c r="B74" s="18">
        <f t="shared" si="12"/>
        <v>7.1000000000000005</v>
      </c>
      <c r="C74" s="18">
        <f t="shared" si="17"/>
        <v>8.1000000000000014</v>
      </c>
      <c r="D74" s="18">
        <f t="shared" si="14"/>
        <v>324.3</v>
      </c>
      <c r="E74" s="18">
        <f t="shared" si="13"/>
        <v>320.85000000000002</v>
      </c>
      <c r="F74" s="18">
        <f t="shared" si="15"/>
        <v>8.1000000000000227</v>
      </c>
      <c r="G74" s="18">
        <f t="shared" si="18"/>
        <v>0.10000000000002274</v>
      </c>
    </row>
    <row r="75" spans="1:7" x14ac:dyDescent="0.25">
      <c r="A75" s="18">
        <f t="shared" si="16"/>
        <v>70</v>
      </c>
      <c r="B75" s="18">
        <f t="shared" si="12"/>
        <v>7.2</v>
      </c>
      <c r="C75" s="18">
        <f t="shared" si="17"/>
        <v>8.1999999999999993</v>
      </c>
      <c r="D75" s="18">
        <f t="shared" si="14"/>
        <v>332.5</v>
      </c>
      <c r="E75" s="18">
        <f t="shared" si="13"/>
        <v>329</v>
      </c>
      <c r="F75" s="18">
        <f t="shared" si="15"/>
        <v>8.1999999999999886</v>
      </c>
      <c r="G75" s="18">
        <f t="shared" si="18"/>
        <v>9.9999999999965894E-2</v>
      </c>
    </row>
    <row r="76" spans="1:7" x14ac:dyDescent="0.25">
      <c r="A76" s="18">
        <f t="shared" si="16"/>
        <v>71</v>
      </c>
      <c r="B76" s="18">
        <f t="shared" si="12"/>
        <v>7.3000000000000007</v>
      </c>
      <c r="C76" s="18">
        <f t="shared" si="17"/>
        <v>8.3000000000000007</v>
      </c>
      <c r="D76" s="18">
        <f t="shared" si="14"/>
        <v>340.8</v>
      </c>
      <c r="E76" s="18">
        <f t="shared" si="13"/>
        <v>337.25</v>
      </c>
      <c r="F76" s="18">
        <f t="shared" si="15"/>
        <v>8.3000000000000114</v>
      </c>
      <c r="G76" s="18">
        <f t="shared" si="18"/>
        <v>0.10000000000002274</v>
      </c>
    </row>
    <row r="77" spans="1:7" x14ac:dyDescent="0.25">
      <c r="A77" s="18">
        <f t="shared" si="16"/>
        <v>72</v>
      </c>
      <c r="B77" s="18">
        <f t="shared" si="12"/>
        <v>7.4</v>
      </c>
      <c r="C77" s="18">
        <f t="shared" si="17"/>
        <v>8.4</v>
      </c>
      <c r="D77" s="18">
        <f t="shared" si="14"/>
        <v>349.2</v>
      </c>
      <c r="E77" s="18">
        <f t="shared" si="13"/>
        <v>345.6</v>
      </c>
      <c r="F77" s="18">
        <f t="shared" si="15"/>
        <v>8.3999999999999773</v>
      </c>
      <c r="G77" s="18">
        <f t="shared" si="18"/>
        <v>9.9999999999965894E-2</v>
      </c>
    </row>
    <row r="78" spans="1:7" x14ac:dyDescent="0.25">
      <c r="A78" s="18">
        <f t="shared" si="16"/>
        <v>73</v>
      </c>
      <c r="B78" s="18">
        <f t="shared" si="12"/>
        <v>7.5000000000000009</v>
      </c>
      <c r="C78" s="18">
        <f t="shared" si="17"/>
        <v>8.5</v>
      </c>
      <c r="D78" s="18">
        <f t="shared" si="14"/>
        <v>357.7</v>
      </c>
      <c r="E78" s="18">
        <f t="shared" si="13"/>
        <v>354.04999999999995</v>
      </c>
      <c r="F78" s="18">
        <f t="shared" si="15"/>
        <v>8.5</v>
      </c>
      <c r="G78" s="18">
        <f t="shared" si="18"/>
        <v>0.10000000000002274</v>
      </c>
    </row>
    <row r="79" spans="1:7" x14ac:dyDescent="0.25">
      <c r="A79" s="18">
        <f t="shared" si="16"/>
        <v>74</v>
      </c>
      <c r="B79" s="18">
        <f t="shared" si="12"/>
        <v>7.6000000000000005</v>
      </c>
      <c r="C79" s="18">
        <f t="shared" si="17"/>
        <v>8.6000000000000014</v>
      </c>
      <c r="D79" s="18">
        <f t="shared" si="14"/>
        <v>366.3</v>
      </c>
      <c r="E79" s="18">
        <f t="shared" si="13"/>
        <v>362.6</v>
      </c>
      <c r="F79" s="18">
        <f t="shared" si="15"/>
        <v>8.6000000000000227</v>
      </c>
      <c r="G79" s="18">
        <f t="shared" si="18"/>
        <v>0.10000000000002274</v>
      </c>
    </row>
    <row r="80" spans="1:7" x14ac:dyDescent="0.25">
      <c r="A80" s="18">
        <f t="shared" si="16"/>
        <v>75</v>
      </c>
      <c r="B80" s="18">
        <f t="shared" si="12"/>
        <v>7.7</v>
      </c>
      <c r="C80" s="18">
        <f t="shared" si="17"/>
        <v>8.6999999999999993</v>
      </c>
      <c r="D80" s="18">
        <f t="shared" si="14"/>
        <v>375</v>
      </c>
      <c r="E80" s="18">
        <f t="shared" si="13"/>
        <v>371.25</v>
      </c>
      <c r="F80" s="18">
        <f t="shared" si="15"/>
        <v>8.6999999999999886</v>
      </c>
      <c r="G80" s="18">
        <f t="shared" si="18"/>
        <v>9.9999999999965894E-2</v>
      </c>
    </row>
    <row r="81" spans="1:7" x14ac:dyDescent="0.25">
      <c r="A81" s="18">
        <f t="shared" si="16"/>
        <v>76</v>
      </c>
      <c r="B81" s="18">
        <f t="shared" si="12"/>
        <v>7.8000000000000007</v>
      </c>
      <c r="C81" s="18">
        <f t="shared" si="17"/>
        <v>8.8000000000000007</v>
      </c>
      <c r="D81" s="18">
        <f t="shared" si="14"/>
        <v>383.8</v>
      </c>
      <c r="E81" s="18">
        <f t="shared" si="13"/>
        <v>380</v>
      </c>
      <c r="F81" s="18">
        <f t="shared" si="15"/>
        <v>8.8000000000000114</v>
      </c>
      <c r="G81" s="18">
        <f t="shared" si="18"/>
        <v>0.10000000000002274</v>
      </c>
    </row>
    <row r="82" spans="1:7" x14ac:dyDescent="0.25">
      <c r="A82" s="18">
        <f t="shared" si="16"/>
        <v>77</v>
      </c>
      <c r="B82" s="18">
        <f t="shared" si="12"/>
        <v>7.9</v>
      </c>
      <c r="C82" s="18">
        <f t="shared" si="17"/>
        <v>8.9</v>
      </c>
      <c r="D82" s="18">
        <f t="shared" si="14"/>
        <v>392.7</v>
      </c>
      <c r="E82" s="18">
        <f t="shared" si="13"/>
        <v>388.85</v>
      </c>
      <c r="F82" s="18">
        <f t="shared" si="15"/>
        <v>8.8999999999999773</v>
      </c>
      <c r="G82" s="18">
        <f t="shared" si="18"/>
        <v>9.9999999999965894E-2</v>
      </c>
    </row>
    <row r="83" spans="1:7" x14ac:dyDescent="0.25">
      <c r="A83" s="18">
        <f t="shared" si="16"/>
        <v>78</v>
      </c>
      <c r="B83" s="18">
        <f t="shared" si="12"/>
        <v>8</v>
      </c>
      <c r="C83" s="18">
        <f t="shared" si="17"/>
        <v>9</v>
      </c>
      <c r="D83" s="18">
        <f t="shared" si="14"/>
        <v>401.7</v>
      </c>
      <c r="E83" s="18">
        <f t="shared" si="13"/>
        <v>397.79999999999995</v>
      </c>
      <c r="F83" s="18">
        <f t="shared" si="15"/>
        <v>9</v>
      </c>
      <c r="G83" s="18">
        <f t="shared" si="18"/>
        <v>0.10000000000002274</v>
      </c>
    </row>
    <row r="84" spans="1:7" x14ac:dyDescent="0.25">
      <c r="A84" s="18">
        <f t="shared" si="16"/>
        <v>79</v>
      </c>
      <c r="B84" s="18">
        <f t="shared" si="12"/>
        <v>8.1</v>
      </c>
      <c r="C84" s="18">
        <f t="shared" si="17"/>
        <v>9.1</v>
      </c>
      <c r="D84" s="18">
        <f t="shared" si="14"/>
        <v>410.8</v>
      </c>
      <c r="E84" s="18">
        <f t="shared" si="13"/>
        <v>406.85</v>
      </c>
      <c r="F84" s="18">
        <f t="shared" si="15"/>
        <v>9.1000000000000227</v>
      </c>
      <c r="G84" s="18">
        <f t="shared" si="18"/>
        <v>0.10000000000002274</v>
      </c>
    </row>
    <row r="85" spans="1:7" x14ac:dyDescent="0.25">
      <c r="A85" s="18">
        <f t="shared" si="16"/>
        <v>80</v>
      </c>
      <c r="B85" s="18">
        <f t="shared" si="12"/>
        <v>8.1999999999999993</v>
      </c>
      <c r="C85" s="18">
        <f t="shared" si="17"/>
        <v>9.1999999999999993</v>
      </c>
      <c r="D85" s="18">
        <f t="shared" si="14"/>
        <v>420</v>
      </c>
      <c r="E85" s="18">
        <f t="shared" si="13"/>
        <v>416</v>
      </c>
      <c r="F85" s="18">
        <f t="shared" si="15"/>
        <v>9.1999999999999886</v>
      </c>
      <c r="G85" s="18">
        <f t="shared" si="18"/>
        <v>9.9999999999965894E-2</v>
      </c>
    </row>
    <row r="86" spans="1:7" x14ac:dyDescent="0.25">
      <c r="A86" s="18">
        <f t="shared" si="16"/>
        <v>81</v>
      </c>
      <c r="B86" s="18">
        <f t="shared" si="12"/>
        <v>8.2999999999999989</v>
      </c>
      <c r="C86" s="18">
        <f t="shared" si="17"/>
        <v>9.2999999999999989</v>
      </c>
      <c r="D86" s="18">
        <f t="shared" si="14"/>
        <v>429.3</v>
      </c>
      <c r="E86" s="18">
        <f t="shared" si="13"/>
        <v>425.25</v>
      </c>
      <c r="F86" s="18">
        <f t="shared" si="15"/>
        <v>9.3000000000000114</v>
      </c>
      <c r="G86" s="18">
        <f t="shared" si="18"/>
        <v>0.10000000000002274</v>
      </c>
    </row>
    <row r="87" spans="1:7" x14ac:dyDescent="0.25">
      <c r="A87" s="18">
        <f t="shared" si="16"/>
        <v>82</v>
      </c>
      <c r="B87" s="18">
        <f t="shared" si="12"/>
        <v>8.4</v>
      </c>
      <c r="C87" s="18">
        <f t="shared" si="17"/>
        <v>9.4</v>
      </c>
      <c r="D87" s="18">
        <f t="shared" si="14"/>
        <v>438.7</v>
      </c>
      <c r="E87" s="18">
        <f t="shared" si="13"/>
        <v>434.6</v>
      </c>
      <c r="F87" s="18">
        <f t="shared" si="15"/>
        <v>9.3999999999999773</v>
      </c>
      <c r="G87" s="18">
        <f t="shared" si="18"/>
        <v>9.9999999999965894E-2</v>
      </c>
    </row>
    <row r="88" spans="1:7" x14ac:dyDescent="0.25">
      <c r="A88" s="18">
        <f t="shared" si="16"/>
        <v>83</v>
      </c>
      <c r="B88" s="18">
        <f t="shared" si="12"/>
        <v>8.5</v>
      </c>
      <c r="C88" s="18">
        <f t="shared" si="17"/>
        <v>9.5</v>
      </c>
      <c r="D88" s="18">
        <f t="shared" si="14"/>
        <v>448.2</v>
      </c>
      <c r="E88" s="18">
        <f t="shared" si="13"/>
        <v>444.05000000000007</v>
      </c>
      <c r="F88" s="18">
        <f t="shared" si="15"/>
        <v>9.5</v>
      </c>
      <c r="G88" s="18">
        <f t="shared" si="18"/>
        <v>0.10000000000002274</v>
      </c>
    </row>
    <row r="89" spans="1:7" x14ac:dyDescent="0.25">
      <c r="A89" s="18">
        <f t="shared" si="16"/>
        <v>84</v>
      </c>
      <c r="B89" s="18">
        <f t="shared" si="12"/>
        <v>8.6</v>
      </c>
      <c r="C89" s="18">
        <f t="shared" si="17"/>
        <v>9.6</v>
      </c>
      <c r="D89" s="18">
        <f t="shared" si="14"/>
        <v>457.8</v>
      </c>
      <c r="E89" s="18">
        <f t="shared" si="13"/>
        <v>453.6</v>
      </c>
      <c r="F89" s="18">
        <f t="shared" si="15"/>
        <v>9.6000000000000227</v>
      </c>
      <c r="G89" s="18">
        <f t="shared" si="18"/>
        <v>0.10000000000002274</v>
      </c>
    </row>
    <row r="90" spans="1:7" x14ac:dyDescent="0.25">
      <c r="A90" s="18">
        <f t="shared" si="16"/>
        <v>85</v>
      </c>
      <c r="B90" s="18">
        <f t="shared" si="12"/>
        <v>8.6999999999999993</v>
      </c>
      <c r="C90" s="18">
        <f t="shared" si="17"/>
        <v>9.6999999999999993</v>
      </c>
      <c r="D90" s="18">
        <f t="shared" si="14"/>
        <v>467.5</v>
      </c>
      <c r="E90" s="18">
        <f t="shared" si="13"/>
        <v>463.25</v>
      </c>
      <c r="F90" s="18">
        <f t="shared" si="15"/>
        <v>9.6999999999999886</v>
      </c>
      <c r="G90" s="18">
        <f t="shared" si="18"/>
        <v>9.9999999999965894E-2</v>
      </c>
    </row>
    <row r="91" spans="1:7" x14ac:dyDescent="0.25">
      <c r="A91" s="18">
        <f t="shared" si="16"/>
        <v>86</v>
      </c>
      <c r="B91" s="18">
        <f t="shared" si="12"/>
        <v>8.7999999999999989</v>
      </c>
      <c r="C91" s="18">
        <f t="shared" si="17"/>
        <v>9.7999999999999989</v>
      </c>
      <c r="D91" s="18">
        <f t="shared" si="14"/>
        <v>477.3</v>
      </c>
      <c r="E91" s="18">
        <f t="shared" si="13"/>
        <v>473</v>
      </c>
      <c r="F91" s="18">
        <f t="shared" si="15"/>
        <v>9.8000000000000114</v>
      </c>
      <c r="G91" s="18">
        <f t="shared" si="18"/>
        <v>0.10000000000002274</v>
      </c>
    </row>
    <row r="92" spans="1:7" x14ac:dyDescent="0.25">
      <c r="A92" s="18">
        <f t="shared" si="16"/>
        <v>87</v>
      </c>
      <c r="B92" s="18">
        <f t="shared" si="12"/>
        <v>8.9</v>
      </c>
      <c r="C92" s="18">
        <f t="shared" si="17"/>
        <v>9.9</v>
      </c>
      <c r="D92" s="18">
        <f t="shared" si="14"/>
        <v>487.2</v>
      </c>
      <c r="E92" s="18">
        <f t="shared" si="13"/>
        <v>482.85</v>
      </c>
      <c r="F92" s="18">
        <f t="shared" si="15"/>
        <v>9.8999999999999773</v>
      </c>
      <c r="G92" s="18">
        <f t="shared" si="18"/>
        <v>9.9999999999965894E-2</v>
      </c>
    </row>
    <row r="93" spans="1:7" x14ac:dyDescent="0.25">
      <c r="A93" s="18">
        <f t="shared" si="16"/>
        <v>88</v>
      </c>
      <c r="B93" s="18">
        <f t="shared" si="12"/>
        <v>9</v>
      </c>
      <c r="C93" s="18">
        <f t="shared" si="17"/>
        <v>10</v>
      </c>
      <c r="D93" s="18">
        <f t="shared" si="14"/>
        <v>497.2</v>
      </c>
      <c r="E93" s="18">
        <f t="shared" si="13"/>
        <v>492.80000000000007</v>
      </c>
      <c r="F93" s="18">
        <f t="shared" si="15"/>
        <v>10</v>
      </c>
      <c r="G93" s="18">
        <f t="shared" si="18"/>
        <v>0.10000000000002274</v>
      </c>
    </row>
    <row r="94" spans="1:7" x14ac:dyDescent="0.25">
      <c r="A94" s="18">
        <f t="shared" si="16"/>
        <v>89</v>
      </c>
      <c r="B94" s="18">
        <f t="shared" si="12"/>
        <v>9.1</v>
      </c>
      <c r="C94" s="18">
        <f t="shared" si="17"/>
        <v>10.1</v>
      </c>
      <c r="D94" s="18">
        <f t="shared" si="14"/>
        <v>507.3</v>
      </c>
      <c r="E94" s="18">
        <f t="shared" si="13"/>
        <v>502.85</v>
      </c>
      <c r="F94" s="18">
        <f t="shared" si="15"/>
        <v>10.100000000000023</v>
      </c>
      <c r="G94" s="18">
        <f t="shared" si="18"/>
        <v>0.10000000000002274</v>
      </c>
    </row>
    <row r="95" spans="1:7" x14ac:dyDescent="0.25">
      <c r="A95" s="18">
        <f t="shared" si="16"/>
        <v>90</v>
      </c>
      <c r="B95" s="18">
        <f t="shared" si="12"/>
        <v>9.1999999999999993</v>
      </c>
      <c r="C95" s="18">
        <f t="shared" si="17"/>
        <v>10.199999999999999</v>
      </c>
      <c r="D95" s="18">
        <f t="shared" si="14"/>
        <v>517.5</v>
      </c>
      <c r="E95" s="18">
        <f t="shared" si="13"/>
        <v>513</v>
      </c>
      <c r="F95" s="18">
        <f t="shared" si="15"/>
        <v>10.199999999999989</v>
      </c>
      <c r="G95" s="18">
        <f t="shared" si="18"/>
        <v>9.9999999999965894E-2</v>
      </c>
    </row>
    <row r="96" spans="1:7" x14ac:dyDescent="0.25">
      <c r="A96" s="18">
        <f t="shared" si="16"/>
        <v>91</v>
      </c>
      <c r="B96" s="18">
        <f t="shared" si="12"/>
        <v>9.2999999999999989</v>
      </c>
      <c r="C96" s="18">
        <f t="shared" si="17"/>
        <v>10.299999999999999</v>
      </c>
      <c r="D96" s="18">
        <f t="shared" si="14"/>
        <v>527.79999999999995</v>
      </c>
      <c r="E96" s="18">
        <f t="shared" si="13"/>
        <v>523.25</v>
      </c>
      <c r="F96" s="18">
        <f t="shared" si="15"/>
        <v>10.299999999999955</v>
      </c>
      <c r="G96" s="18">
        <f t="shared" si="18"/>
        <v>9.9999999999965894E-2</v>
      </c>
    </row>
    <row r="97" spans="1:8" x14ac:dyDescent="0.25">
      <c r="A97" s="18">
        <f t="shared" si="16"/>
        <v>92</v>
      </c>
      <c r="B97" s="18">
        <f t="shared" si="12"/>
        <v>9.4</v>
      </c>
      <c r="C97" s="18">
        <f t="shared" si="17"/>
        <v>10.4</v>
      </c>
      <c r="D97" s="18">
        <f t="shared" si="14"/>
        <v>538.19999999999993</v>
      </c>
      <c r="E97" s="18">
        <f t="shared" si="13"/>
        <v>533.6</v>
      </c>
      <c r="F97" s="18">
        <f t="shared" si="15"/>
        <v>10.399999999999977</v>
      </c>
      <c r="G97" s="18">
        <f t="shared" si="18"/>
        <v>0.10000000000002274</v>
      </c>
    </row>
    <row r="98" spans="1:8" x14ac:dyDescent="0.25">
      <c r="A98" s="18">
        <f t="shared" si="16"/>
        <v>93</v>
      </c>
      <c r="B98" s="18">
        <f t="shared" si="12"/>
        <v>9.5</v>
      </c>
      <c r="C98" s="18">
        <f t="shared" si="17"/>
        <v>10.5</v>
      </c>
      <c r="D98" s="18">
        <f t="shared" si="14"/>
        <v>548.69999999999993</v>
      </c>
      <c r="E98" s="18">
        <f t="shared" si="13"/>
        <v>544.05000000000007</v>
      </c>
      <c r="F98" s="18">
        <f t="shared" si="15"/>
        <v>10.5</v>
      </c>
      <c r="G98" s="18">
        <f t="shared" si="18"/>
        <v>0.10000000000002274</v>
      </c>
    </row>
    <row r="99" spans="1:8" x14ac:dyDescent="0.25">
      <c r="A99" s="18">
        <f t="shared" si="16"/>
        <v>94</v>
      </c>
      <c r="B99" s="18">
        <f t="shared" si="12"/>
        <v>9.6</v>
      </c>
      <c r="C99" s="18">
        <f t="shared" si="17"/>
        <v>10.6</v>
      </c>
      <c r="D99" s="18">
        <f t="shared" si="14"/>
        <v>559.29999999999995</v>
      </c>
      <c r="E99" s="18">
        <f t="shared" si="13"/>
        <v>554.6</v>
      </c>
      <c r="F99" s="18">
        <f t="shared" si="15"/>
        <v>10.600000000000023</v>
      </c>
      <c r="G99" s="18">
        <f t="shared" si="18"/>
        <v>0.10000000000002274</v>
      </c>
    </row>
    <row r="100" spans="1:8" x14ac:dyDescent="0.25">
      <c r="A100" s="18">
        <f t="shared" si="16"/>
        <v>95</v>
      </c>
      <c r="B100" s="18">
        <f t="shared" si="12"/>
        <v>9.6999999999999993</v>
      </c>
      <c r="C100" s="18">
        <f t="shared" si="17"/>
        <v>10.7</v>
      </c>
      <c r="D100" s="18">
        <f t="shared" si="14"/>
        <v>570</v>
      </c>
      <c r="E100" s="18">
        <f t="shared" si="13"/>
        <v>565.25</v>
      </c>
      <c r="F100" s="18">
        <f t="shared" si="15"/>
        <v>10.700000000000045</v>
      </c>
      <c r="G100" s="18">
        <f t="shared" si="18"/>
        <v>0.10000000000002274</v>
      </c>
    </row>
    <row r="101" spans="1:8" x14ac:dyDescent="0.25">
      <c r="A101" s="18">
        <f t="shared" si="16"/>
        <v>96</v>
      </c>
      <c r="B101" s="18">
        <f t="shared" si="12"/>
        <v>9.8000000000000007</v>
      </c>
      <c r="C101" s="18">
        <f t="shared" si="17"/>
        <v>10.8</v>
      </c>
      <c r="D101" s="18">
        <f t="shared" si="14"/>
        <v>580.79999999999995</v>
      </c>
      <c r="E101" s="18">
        <f t="shared" si="13"/>
        <v>576</v>
      </c>
      <c r="F101" s="18">
        <f t="shared" si="15"/>
        <v>10.799999999999955</v>
      </c>
      <c r="G101" s="18">
        <f t="shared" si="18"/>
        <v>9.9999999999909051E-2</v>
      </c>
    </row>
    <row r="102" spans="1:8" x14ac:dyDescent="0.25">
      <c r="H102" s="16">
        <f>SUM(H6:H101)</f>
        <v>0</v>
      </c>
    </row>
    <row r="103" spans="1:8" x14ac:dyDescent="0.25">
      <c r="H103" s="16">
        <f>H102-1</f>
        <v>-1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zoomScaleNormal="100" workbookViewId="0"/>
  </sheetViews>
  <sheetFormatPr defaultColWidth="9.140625" defaultRowHeight="15" x14ac:dyDescent="0.25"/>
  <cols>
    <col min="1" max="1" width="38.7109375" style="34" customWidth="1"/>
    <col min="2" max="2" width="16.140625" style="34" customWidth="1"/>
    <col min="3" max="4" width="10.7109375" style="34" customWidth="1"/>
    <col min="5" max="5" width="37.85546875" style="34" customWidth="1"/>
    <col min="6" max="7" width="10.7109375" style="62" customWidth="1"/>
    <col min="8" max="8" width="29.140625" style="16" bestFit="1" customWidth="1"/>
    <col min="9" max="9" width="12" style="15" bestFit="1" customWidth="1"/>
    <col min="10" max="16" width="9.140625" style="34"/>
    <col min="17" max="17" width="12" style="34" bestFit="1" customWidth="1"/>
    <col min="18" max="16384" width="9.140625" style="34"/>
  </cols>
  <sheetData>
    <row r="1" spans="1:17" ht="18.75" x14ac:dyDescent="0.3">
      <c r="A1" s="20" t="s">
        <v>560</v>
      </c>
      <c r="E1" s="16"/>
      <c r="F1" s="66"/>
    </row>
    <row r="2" spans="1:17" ht="15" customHeight="1" x14ac:dyDescent="0.3">
      <c r="A2" s="20"/>
      <c r="F2" s="68" t="s">
        <v>564</v>
      </c>
      <c r="G2" s="63"/>
    </row>
    <row r="3" spans="1:17" ht="18" x14ac:dyDescent="0.35">
      <c r="A3" s="21" t="s">
        <v>550</v>
      </c>
      <c r="B3" s="23">
        <v>1069</v>
      </c>
      <c r="D3" s="42"/>
      <c r="E3" s="42" t="s">
        <v>595</v>
      </c>
      <c r="F3" s="53">
        <f>Age*(2*InitialTangentVelocity-UniverseAcceleration*Age)/Gpc</f>
        <v>9.9065577062356258</v>
      </c>
      <c r="G3" s="64"/>
    </row>
    <row r="4" spans="1:17" ht="18.75" x14ac:dyDescent="0.35">
      <c r="A4" s="16" t="s">
        <v>598</v>
      </c>
      <c r="B4" s="15">
        <v>0</v>
      </c>
      <c r="C4" s="16"/>
      <c r="D4" s="42"/>
      <c r="E4" s="15" t="s">
        <v>615</v>
      </c>
      <c r="F4" s="53">
        <f>DistanceSurfaceLastScattering/Gpc</f>
        <v>9.8880580653276215</v>
      </c>
      <c r="G4" s="64"/>
    </row>
    <row r="5" spans="1:17" ht="18" x14ac:dyDescent="0.35">
      <c r="A5" s="42" t="s">
        <v>601</v>
      </c>
      <c r="B5" s="15">
        <v>1.9192237255189301E-27</v>
      </c>
      <c r="C5" s="3"/>
      <c r="D5" s="15"/>
      <c r="E5" s="34" t="s">
        <v>617</v>
      </c>
      <c r="F5" s="66">
        <f>DistanceSurfaceLastScattering/(QESRedShift+1)/Mpc</f>
        <v>9.2411757619884316</v>
      </c>
      <c r="G5" s="9"/>
      <c r="J5" s="16"/>
      <c r="K5" s="16"/>
    </row>
    <row r="6" spans="1:17" s="42" customFormat="1" ht="18" x14ac:dyDescent="0.35">
      <c r="A6" s="16" t="s">
        <v>604</v>
      </c>
      <c r="B6" s="15">
        <v>3.1799999999999998E+24</v>
      </c>
      <c r="C6" s="18">
        <f>SoundHorizon/Mpc</f>
        <v>103.05678145414014</v>
      </c>
      <c r="E6" s="34" t="s">
        <v>618</v>
      </c>
      <c r="F6" s="53">
        <f>AgeOfCMB*(2*InitialTangentVelocity-UniverseAcceleration*AgeOfCMB)/Mpc</f>
        <v>9.2584651460309288</v>
      </c>
      <c r="G6" s="62"/>
      <c r="H6" s="19"/>
      <c r="I6" s="16"/>
      <c r="J6" s="16"/>
      <c r="K6" s="16"/>
    </row>
    <row r="7" spans="1:17" s="42" customFormat="1" ht="18" x14ac:dyDescent="0.35">
      <c r="A7" s="21" t="s">
        <v>616</v>
      </c>
      <c r="B7" s="29">
        <f>QESRedShift*Age*(2*InitialTangentVelocity-UniverseAcceleration*Age)/(2+QESRedShift)</f>
        <v>3.0511359081919616E+26</v>
      </c>
      <c r="C7" s="53">
        <f>DistanceSurfaceLastScattering/Gpc</f>
        <v>9.8880580653276215</v>
      </c>
      <c r="E7" s="34"/>
      <c r="F7" s="53"/>
      <c r="G7" s="62"/>
      <c r="H7" s="16"/>
      <c r="I7" s="15"/>
      <c r="J7" s="16"/>
      <c r="K7" s="16"/>
    </row>
    <row r="8" spans="1:17" x14ac:dyDescent="0.25">
      <c r="A8" s="16" t="s">
        <v>597</v>
      </c>
      <c r="B8" s="15">
        <f>(InitialTangentVelocity+InitialTangentVelocity*QESRedShift-SQRT((1+QESRedShift)*(InitialTangentVelocity^2+InitialTangentVelocity^2*QESRedShift-2*UniverseAcceleration*InitialTangentVelocity*Age+UniverseAcceleration^2*Age^2)))/(UniverseAcceleration+UniverseAcceleration*QESRedShift)</f>
        <v>449429268579705.75</v>
      </c>
      <c r="C8" s="19">
        <f>AgeOfCMB/Myr</f>
        <v>14.241870037288383</v>
      </c>
      <c r="D8" s="42"/>
      <c r="E8" s="42"/>
      <c r="F8" s="53"/>
      <c r="J8" s="16"/>
      <c r="K8" s="16"/>
    </row>
    <row r="9" spans="1:17" s="42" customFormat="1" x14ac:dyDescent="0.25">
      <c r="A9" s="16" t="s">
        <v>565</v>
      </c>
      <c r="B9" s="9">
        <f>IF(Curvature&gt;0,SQRT(Curvature)*_xlfn.CSC(DistanceSurfaceLastScattering*SQRT(Curvature))*SoundHorizon,IF(Curvature&lt;0,SoundHorizon*SQRT(ABS(Curvature))*_xlfn.CSCH(DistanceSurfaceLastScattering*SQRT(ABS(Curvature))),SoundHorizon/DistanceSurfaceLastScattering))</f>
        <v>1.042234792446332E-2</v>
      </c>
      <c r="C9" s="9">
        <f>AngularScale*100</f>
        <v>1.042234792446332</v>
      </c>
      <c r="D9" s="34"/>
      <c r="F9" s="62"/>
      <c r="G9" s="62"/>
      <c r="H9" s="16"/>
      <c r="I9" s="15"/>
      <c r="J9" s="16"/>
      <c r="K9" s="16"/>
    </row>
    <row r="10" spans="1:17" s="3" customFormat="1" x14ac:dyDescent="0.25">
      <c r="A10" s="16" t="s">
        <v>596</v>
      </c>
      <c r="B10" s="56" t="str">
        <f>IF(Curvature=0,"Flat",1/SQRT(ABS(Curvature)))</f>
        <v>Flat</v>
      </c>
      <c r="C10" s="57" t="str">
        <f>IF(B10="Flat","Flat",B10/Gpc)</f>
        <v>Flat</v>
      </c>
      <c r="D10" s="29"/>
      <c r="E10" s="34"/>
      <c r="F10" s="19"/>
      <c r="G10" s="62"/>
      <c r="H10" s="7"/>
      <c r="I10" s="4"/>
      <c r="J10" s="7"/>
      <c r="K10" s="7"/>
    </row>
    <row r="11" spans="1:17" x14ac:dyDescent="0.25">
      <c r="A11" s="16"/>
      <c r="B11" s="15"/>
      <c r="C11" s="16"/>
      <c r="D11" s="16"/>
      <c r="F11" s="67"/>
      <c r="G11" s="19"/>
    </row>
    <row r="12" spans="1:17" x14ac:dyDescent="0.25">
      <c r="F12" s="19"/>
      <c r="G12" s="19"/>
      <c r="Q12" s="42"/>
    </row>
    <row r="13" spans="1:17" x14ac:dyDescent="0.25">
      <c r="F13" s="19"/>
      <c r="G13" s="19"/>
    </row>
    <row r="14" spans="1:17" x14ac:dyDescent="0.25">
      <c r="F14" s="67"/>
      <c r="G14" s="19"/>
    </row>
    <row r="15" spans="1:17" x14ac:dyDescent="0.25">
      <c r="F15" s="19"/>
      <c r="G15" s="19"/>
    </row>
    <row r="16" spans="1:17" x14ac:dyDescent="0.25">
      <c r="F16" s="67"/>
      <c r="G16" s="19"/>
    </row>
    <row r="17" spans="6:7" x14ac:dyDescent="0.25">
      <c r="F17" s="19"/>
      <c r="G17" s="19"/>
    </row>
    <row r="18" spans="6:7" x14ac:dyDescent="0.25">
      <c r="F18" s="19"/>
      <c r="G18" s="19"/>
    </row>
    <row r="19" spans="6:7" x14ac:dyDescent="0.25">
      <c r="F19" s="19"/>
      <c r="G19" s="19"/>
    </row>
    <row r="20" spans="6:7" x14ac:dyDescent="0.25">
      <c r="F20" s="19"/>
      <c r="G20" s="19"/>
    </row>
    <row r="21" spans="6:7" x14ac:dyDescent="0.25">
      <c r="F21" s="19"/>
      <c r="G21" s="19"/>
    </row>
    <row r="22" spans="6:7" x14ac:dyDescent="0.25">
      <c r="F22" s="19"/>
      <c r="G22" s="19"/>
    </row>
    <row r="23" spans="6:7" x14ac:dyDescent="0.25">
      <c r="F23" s="19"/>
      <c r="G23" s="19"/>
    </row>
    <row r="24" spans="6:7" x14ac:dyDescent="0.25">
      <c r="F24" s="19"/>
      <c r="G24" s="19"/>
    </row>
    <row r="25" spans="6:7" x14ac:dyDescent="0.25">
      <c r="F25" s="65"/>
      <c r="G2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677"/>
  <sheetViews>
    <sheetView tabSelected="1" zoomScaleNormal="100" workbookViewId="0"/>
  </sheetViews>
  <sheetFormatPr defaultColWidth="8.85546875" defaultRowHeight="15" x14ac:dyDescent="0.25"/>
  <cols>
    <col min="1" max="1" width="17.140625" style="17" customWidth="1"/>
    <col min="2" max="3" width="10.7109375" style="15" customWidth="1"/>
    <col min="4" max="5" width="10.7109375" style="17" customWidth="1"/>
    <col min="6" max="6" width="10.7109375" style="16" customWidth="1"/>
    <col min="7" max="7" width="10.7109375" style="18" customWidth="1"/>
    <col min="8" max="8" width="10.7109375" style="42" customWidth="1"/>
    <col min="9" max="9" width="10.42578125" style="17" customWidth="1"/>
    <col min="10" max="10" width="8.85546875" style="42"/>
    <col min="11" max="11" width="16.7109375" style="42" customWidth="1"/>
    <col min="12" max="17" width="8.85546875" style="42"/>
    <col min="18" max="19" width="8.85546875" style="16"/>
    <col min="20" max="16384" width="8.85546875" style="42"/>
  </cols>
  <sheetData>
    <row r="1" spans="1:19" ht="18.75" x14ac:dyDescent="0.3">
      <c r="A1" s="79" t="s">
        <v>661</v>
      </c>
    </row>
    <row r="2" spans="1:19" s="44" customFormat="1" ht="20.100000000000001" customHeight="1" x14ac:dyDescent="0.25">
      <c r="A2" s="48" t="s">
        <v>655</v>
      </c>
      <c r="B2" s="77">
        <v>4</v>
      </c>
      <c r="C2" s="46">
        <f>CoreRadius*kpc</f>
        <v>1.234271032E+20</v>
      </c>
      <c r="D2" s="48"/>
      <c r="E2" s="48"/>
      <c r="F2" s="45"/>
      <c r="H2" s="51"/>
      <c r="I2" s="48"/>
      <c r="R2" s="45"/>
      <c r="S2" s="45"/>
    </row>
    <row r="3" spans="1:19" s="44" customFormat="1" ht="20.100000000000001" customHeight="1" x14ac:dyDescent="0.25">
      <c r="A3" s="48" t="s">
        <v>656</v>
      </c>
      <c r="B3" s="46">
        <v>100000000000</v>
      </c>
      <c r="C3" s="46">
        <f>CoreMass*SolarMass</f>
        <v>1.9890999999999998E+41</v>
      </c>
      <c r="D3" s="48"/>
      <c r="E3" s="48"/>
      <c r="F3" s="45"/>
      <c r="H3" s="49"/>
      <c r="I3" s="48"/>
      <c r="R3" s="45"/>
      <c r="S3" s="45"/>
    </row>
    <row r="4" spans="1:19" s="44" customFormat="1" ht="20.100000000000001" customHeight="1" x14ac:dyDescent="0.25">
      <c r="A4" s="48" t="s">
        <v>658</v>
      </c>
      <c r="B4" s="46">
        <f>(CoreMass*SolarMass)/(4/3*PI()*(CoreRadius*kpc)^3)</f>
        <v>2.5254361863135805E-20</v>
      </c>
      <c r="C4" s="48"/>
      <c r="D4" s="48"/>
      <c r="E4" s="48"/>
      <c r="F4" s="45"/>
      <c r="G4" s="52"/>
      <c r="H4" s="45"/>
      <c r="I4" s="48"/>
      <c r="R4" s="45"/>
      <c r="S4" s="45"/>
    </row>
    <row r="5" spans="1:19" s="44" customFormat="1" ht="20.100000000000001" customHeight="1" x14ac:dyDescent="0.25">
      <c r="A5" s="48"/>
      <c r="B5" s="50"/>
      <c r="D5" s="48"/>
      <c r="E5" s="48"/>
      <c r="F5" s="45"/>
      <c r="G5" s="52"/>
      <c r="H5" s="45"/>
      <c r="I5" s="48"/>
      <c r="R5" s="45"/>
      <c r="S5" s="45"/>
    </row>
    <row r="6" spans="1:19" s="44" customFormat="1" ht="20.100000000000001" customHeight="1" x14ac:dyDescent="0.25">
      <c r="A6" s="48"/>
      <c r="D6" s="48"/>
      <c r="E6" s="48"/>
      <c r="F6" s="45"/>
      <c r="G6" s="47"/>
      <c r="I6" s="48"/>
      <c r="R6" s="45"/>
      <c r="S6" s="45"/>
    </row>
    <row r="7" spans="1:19" s="3" customFormat="1" ht="47.25" x14ac:dyDescent="0.25">
      <c r="A7" s="5" t="s">
        <v>19</v>
      </c>
      <c r="B7" s="4" t="s">
        <v>587</v>
      </c>
      <c r="C7" s="4" t="s">
        <v>657</v>
      </c>
      <c r="D7" s="5" t="s">
        <v>660</v>
      </c>
      <c r="E7" s="5" t="s">
        <v>659</v>
      </c>
      <c r="F7" s="7"/>
      <c r="G7" s="24"/>
      <c r="I7" s="5"/>
      <c r="R7" s="7"/>
      <c r="S7" s="7"/>
    </row>
    <row r="8" spans="1:19" x14ac:dyDescent="0.25">
      <c r="A8" s="17">
        <v>0.1</v>
      </c>
      <c r="B8" s="15">
        <f>RadiusKpc*kpc</f>
        <v>3.08567758E+18</v>
      </c>
      <c r="C8" s="15">
        <f>IF(RadiusKpc&lt;CoreRadius,Density*4/3*PI()*RadiusKm^3,CoreMass*SolarMass)</f>
        <v>3.1079687499999997E+36</v>
      </c>
      <c r="D8" s="17">
        <f>SQRT(BulgeMass*GravitationalConstant/RadiusKm)/1000</f>
        <v>8.1989597282565327</v>
      </c>
      <c r="E8" s="17">
        <f>SQRT(BulgeMass*GravitationalConstant/RadiusKm+UniverseAcceleration*RadiusKm)/1000</f>
        <v>13.406929442915786</v>
      </c>
      <c r="H8" s="16"/>
    </row>
    <row r="9" spans="1:19" x14ac:dyDescent="0.25">
      <c r="A9" s="17">
        <f>A8+0.4</f>
        <v>0.5</v>
      </c>
      <c r="B9" s="15">
        <f t="shared" ref="B9:B71" si="0">RadiusKpc*kpc</f>
        <v>1.54283879E+19</v>
      </c>
      <c r="C9" s="15">
        <f>IF(RadiusKpc&lt;CoreRadius,Density*4/3*PI()*RadiusKm^3,CoreMass*SolarMass)</f>
        <v>3.8849609374999997E+38</v>
      </c>
      <c r="D9" s="17">
        <f>SQRT(BulgeMass*GravitationalConstant/RadiusKm)/1000</f>
        <v>40.994798641282657</v>
      </c>
      <c r="E9" s="17">
        <f>SQRT(BulgeMass*GravitationalConstant/RadiusKm+UniverseAcceleration*RadiusKm)/1000</f>
        <v>47.362301442688143</v>
      </c>
      <c r="H9" s="16"/>
    </row>
    <row r="10" spans="1:19" x14ac:dyDescent="0.25">
      <c r="A10" s="17">
        <f t="shared" ref="A10:A73" si="1">A9+0.4</f>
        <v>0.9</v>
      </c>
      <c r="B10" s="15">
        <f t="shared" si="0"/>
        <v>2.7771098220000002E+19</v>
      </c>
      <c r="C10" s="15">
        <f>IF(RadiusKpc&lt;CoreRadius,Density*4/3*PI()*RadiusKm^3,CoreMass*SolarMass)</f>
        <v>2.2657092187500003E+39</v>
      </c>
      <c r="D10" s="17">
        <f>SQRT(BulgeMass*GravitationalConstant/RadiusKm)/1000</f>
        <v>73.790637554308788</v>
      </c>
      <c r="E10" s="17">
        <f>SQRT(BulgeMass*GravitationalConstant/RadiusKm+UniverseAcceleration*RadiusKm)/1000</f>
        <v>80.360211167138644</v>
      </c>
      <c r="H10" s="16"/>
    </row>
    <row r="11" spans="1:19" x14ac:dyDescent="0.25">
      <c r="A11" s="17">
        <f t="shared" si="1"/>
        <v>1.3</v>
      </c>
      <c r="B11" s="15">
        <f t="shared" si="0"/>
        <v>4.0113808540000002E+19</v>
      </c>
      <c r="C11" s="15">
        <f>IF(RadiusKpc&lt;CoreRadius,Density*4/3*PI()*RadiusKm^3,CoreMass*SolarMass)</f>
        <v>6.82820734375E+39</v>
      </c>
      <c r="D11" s="17">
        <f>SQRT(BulgeMass*GravitationalConstant/RadiusKm)/1000</f>
        <v>106.58647646733492</v>
      </c>
      <c r="E11" s="17">
        <f>SQRT(BulgeMass*GravitationalConstant/RadiusKm+UniverseAcceleration*RadiusKm)/1000</f>
        <v>113.24077701837129</v>
      </c>
      <c r="H11" s="16"/>
    </row>
    <row r="12" spans="1:19" x14ac:dyDescent="0.25">
      <c r="A12" s="17">
        <f t="shared" si="1"/>
        <v>1.7000000000000002</v>
      </c>
      <c r="B12" s="15">
        <f t="shared" si="0"/>
        <v>5.2456518860000002E+19</v>
      </c>
      <c r="C12" s="15">
        <f>IF(RadiusKpc&lt;CoreRadius,Density*4/3*PI()*RadiusKm^3,CoreMass*SolarMass)</f>
        <v>1.5269450468749997E+40</v>
      </c>
      <c r="D12" s="17">
        <f>SQRT(BulgeMass*GravitationalConstant/RadiusKm)/1000</f>
        <v>139.38231538036104</v>
      </c>
      <c r="E12" s="17">
        <f>SQRT(BulgeMass*GravitationalConstant/RadiusKm+UniverseAcceleration*RadiusKm)/1000</f>
        <v>146.08325612690928</v>
      </c>
      <c r="H12" s="16"/>
    </row>
    <row r="13" spans="1:19" x14ac:dyDescent="0.25">
      <c r="A13" s="17">
        <f t="shared" si="1"/>
        <v>2.1</v>
      </c>
      <c r="B13" s="15">
        <f t="shared" si="0"/>
        <v>6.4799229180000002E+19</v>
      </c>
      <c r="C13" s="15">
        <f>IF(RadiusKpc&lt;CoreRadius,Density*4/3*PI()*RadiusKm^3,CoreMass*SolarMass)</f>
        <v>2.878289859375E+40</v>
      </c>
      <c r="D13" s="17">
        <f>SQRT(BulgeMass*GravitationalConstant/RadiusKm)/1000</f>
        <v>172.17815429338717</v>
      </c>
      <c r="E13" s="17">
        <f>SQRT(BulgeMass*GravitationalConstant/RadiusKm+UniverseAcceleration*RadiusKm)/1000</f>
        <v>178.90862461484127</v>
      </c>
      <c r="H13" s="16"/>
    </row>
    <row r="14" spans="1:19" x14ac:dyDescent="0.25">
      <c r="A14" s="17">
        <f t="shared" si="1"/>
        <v>2.5</v>
      </c>
      <c r="B14" s="15">
        <f t="shared" si="0"/>
        <v>7.7141939500000002E+19</v>
      </c>
      <c r="C14" s="15">
        <f>IF(RadiusKpc&lt;CoreRadius,Density*4/3*PI()*RadiusKm^3,CoreMass*SolarMass)</f>
        <v>4.8562011718750003E+40</v>
      </c>
      <c r="D14" s="17">
        <f>SQRT(BulgeMass*GravitationalConstant/RadiusKm)/1000</f>
        <v>204.97399320641333</v>
      </c>
      <c r="E14" s="17">
        <f>SQRT(BulgeMass*GravitationalConstant/RadiusKm+UniverseAcceleration*RadiusKm)/1000</f>
        <v>211.72484101429035</v>
      </c>
      <c r="H14" s="16"/>
    </row>
    <row r="15" spans="1:19" x14ac:dyDescent="0.25">
      <c r="A15" s="17">
        <f t="shared" si="1"/>
        <v>2.9</v>
      </c>
      <c r="B15" s="15">
        <f t="shared" si="0"/>
        <v>8.9484649819999994E+19</v>
      </c>
      <c r="C15" s="15">
        <f>IF(RadiusKpc&lt;CoreRadius,Density*4/3*PI()*RadiusKm^3,CoreMass*SolarMass)</f>
        <v>7.5800249843749969E+40</v>
      </c>
      <c r="D15" s="17">
        <f>SQRT(BulgeMass*GravitationalConstant/RadiusKm)/1000</f>
        <v>237.76983211943937</v>
      </c>
      <c r="E15" s="17">
        <f>SQRT(BulgeMass*GravitationalConstant/RadiusKm+UniverseAcceleration*RadiusKm)/1000</f>
        <v>244.53558993221648</v>
      </c>
      <c r="H15" s="16"/>
    </row>
    <row r="16" spans="1:19" x14ac:dyDescent="0.25">
      <c r="A16" s="17">
        <f t="shared" si="1"/>
        <v>3.3</v>
      </c>
      <c r="B16" s="15">
        <f t="shared" si="0"/>
        <v>1.0182736014E+20</v>
      </c>
      <c r="C16" s="15">
        <f>IF(RadiusKpc&lt;CoreRadius,Density*4/3*PI()*RadiusKm^3,CoreMass*SolarMass)</f>
        <v>1.1169107296874998E+41</v>
      </c>
      <c r="D16" s="17">
        <f>SQRT(BulgeMass*GravitationalConstant/RadiusKm)/1000</f>
        <v>270.5656710324655</v>
      </c>
      <c r="E16" s="17">
        <f>SQRT(BulgeMass*GravitationalConstant/RadiusKm+UniverseAcceleration*RadiusKm)/1000</f>
        <v>277.34281184931785</v>
      </c>
      <c r="H16" s="16"/>
    </row>
    <row r="17" spans="1:8" x14ac:dyDescent="0.25">
      <c r="A17" s="17">
        <f t="shared" si="1"/>
        <v>3.6999999999999997</v>
      </c>
      <c r="B17" s="15">
        <f t="shared" si="0"/>
        <v>1.1417007045999999E+20</v>
      </c>
      <c r="C17" s="15">
        <f>IF(RadiusKpc&lt;CoreRadius,Density*4/3*PI()*RadiusKm^3,CoreMass*SolarMass)</f>
        <v>1.5742794109374996E+41</v>
      </c>
      <c r="D17" s="17">
        <f>SQRT(BulgeMass*GravitationalConstant/RadiusKm)/1000</f>
        <v>303.36150994549166</v>
      </c>
      <c r="E17" s="17">
        <f>SQRT(BulgeMass*GravitationalConstant/RadiusKm+UniverseAcceleration*RadiusKm)/1000</f>
        <v>310.14762601943835</v>
      </c>
      <c r="H17" s="16"/>
    </row>
    <row r="18" spans="1:8" x14ac:dyDescent="0.25">
      <c r="A18" s="17">
        <f t="shared" si="1"/>
        <v>4.0999999999999996</v>
      </c>
      <c r="B18" s="15">
        <f t="shared" si="0"/>
        <v>1.2651278077999999E+20</v>
      </c>
      <c r="C18" s="15">
        <f>IF(RadiusKpc&lt;CoreRadius,Density*4/3*PI()*RadiusKm^3,CoreMass*SolarMass)</f>
        <v>1.9890999999999998E+41</v>
      </c>
      <c r="D18" s="17">
        <f>SQRT(BulgeMass*GravitationalConstant/RadiusKm)/1000</f>
        <v>323.93420741348211</v>
      </c>
      <c r="E18" s="17">
        <f>SQRT(BulgeMass*GravitationalConstant/RadiusKm+UniverseAcceleration*RadiusKm)/1000</f>
        <v>330.97855853141391</v>
      </c>
      <c r="H18" s="16"/>
    </row>
    <row r="19" spans="1:8" x14ac:dyDescent="0.25">
      <c r="A19" s="17">
        <f t="shared" si="1"/>
        <v>4.5</v>
      </c>
      <c r="B19" s="15">
        <f t="shared" si="0"/>
        <v>1.3885549109999999E+20</v>
      </c>
      <c r="C19" s="15">
        <f>IF(RadiusKpc&lt;CoreRadius,Density*4/3*PI()*RadiusKm^3,CoreMass*SolarMass)</f>
        <v>1.9890999999999998E+41</v>
      </c>
      <c r="D19" s="17">
        <f>SQRT(BulgeMass*GravitationalConstant/RadiusKm)/1000</f>
        <v>309.20213453469904</v>
      </c>
      <c r="E19" s="17">
        <f>SQRT(BulgeMass*GravitationalConstant/RadiusKm+UniverseAcceleration*RadiusKm)/1000</f>
        <v>317.2845516907384</v>
      </c>
      <c r="H19" s="16"/>
    </row>
    <row r="20" spans="1:8" x14ac:dyDescent="0.25">
      <c r="A20" s="17">
        <f t="shared" si="1"/>
        <v>4.9000000000000004</v>
      </c>
      <c r="B20" s="15">
        <f t="shared" si="0"/>
        <v>1.5119820142E+20</v>
      </c>
      <c r="C20" s="15">
        <f>IF(RadiusKpc&lt;CoreRadius,Density*4/3*PI()*RadiusKm^3,CoreMass*SolarMass)</f>
        <v>1.9890999999999998E+41</v>
      </c>
      <c r="D20" s="17">
        <f>SQRT(BulgeMass*GravitationalConstant/RadiusKm)/1000</f>
        <v>296.31299640326665</v>
      </c>
      <c r="E20" s="17">
        <f>SQRT(BulgeMass*GravitationalConstant/RadiusKm+UniverseAcceleration*RadiusKm)/1000</f>
        <v>305.4750560096652</v>
      </c>
      <c r="H20" s="16"/>
    </row>
    <row r="21" spans="1:8" x14ac:dyDescent="0.25">
      <c r="A21" s="17">
        <f t="shared" si="1"/>
        <v>5.3000000000000007</v>
      </c>
      <c r="B21" s="15">
        <f t="shared" si="0"/>
        <v>1.6354091174000001E+20</v>
      </c>
      <c r="C21" s="15">
        <f>IF(RadiusKpc&lt;CoreRadius,Density*4/3*PI()*RadiusKm^3,CoreMass*SolarMass)</f>
        <v>1.9890999999999998E+41</v>
      </c>
      <c r="D21" s="17">
        <f>SQRT(BulgeMass*GravitationalConstant/RadiusKm)/1000</f>
        <v>284.91204203895001</v>
      </c>
      <c r="E21" s="17">
        <f>SQRT(BulgeMass*GravitationalConstant/RadiusKm+UniverseAcceleration*RadiusKm)/1000</f>
        <v>295.19244734795836</v>
      </c>
      <c r="H21" s="16"/>
    </row>
    <row r="22" spans="1:8" x14ac:dyDescent="0.25">
      <c r="A22" s="17">
        <f t="shared" si="1"/>
        <v>5.7000000000000011</v>
      </c>
      <c r="B22" s="15">
        <f t="shared" si="0"/>
        <v>1.7588362206000002E+20</v>
      </c>
      <c r="C22" s="15">
        <f>IF(RadiusKpc&lt;CoreRadius,Density*4/3*PI()*RadiusKm^3,CoreMass*SolarMass)</f>
        <v>1.9890999999999998E+41</v>
      </c>
      <c r="D22" s="17">
        <f>SQRT(BulgeMass*GravitationalConstant/RadiusKm)/1000</f>
        <v>274.73330608851722</v>
      </c>
      <c r="E22" s="17">
        <f>SQRT(BulgeMass*GravitationalConstant/RadiusKm+UniverseAcceleration*RadiusKm)/1000</f>
        <v>286.16811494757178</v>
      </c>
      <c r="H22" s="16"/>
    </row>
    <row r="23" spans="1:8" x14ac:dyDescent="0.25">
      <c r="A23" s="17">
        <f t="shared" si="1"/>
        <v>6.1000000000000014</v>
      </c>
      <c r="B23" s="15">
        <f t="shared" si="0"/>
        <v>1.8822633238000006E+20</v>
      </c>
      <c r="C23" s="15">
        <f>IF(RadiusKpc&lt;CoreRadius,Density*4/3*PI()*RadiusKm^3,CoreMass*SolarMass)</f>
        <v>1.9890999999999998E+41</v>
      </c>
      <c r="D23" s="17">
        <f>SQRT(BulgeMass*GravitationalConstant/RadiusKm)/1000</f>
        <v>265.57294080129185</v>
      </c>
      <c r="E23" s="17">
        <f>SQRT(BulgeMass*GravitationalConstant/RadiusKm+UniverseAcceleration*RadiusKm)/1000</f>
        <v>278.19575606039206</v>
      </c>
      <c r="H23" s="16"/>
    </row>
    <row r="24" spans="1:8" x14ac:dyDescent="0.25">
      <c r="A24" s="17">
        <f t="shared" si="1"/>
        <v>6.5000000000000018</v>
      </c>
      <c r="B24" s="15">
        <f t="shared" si="0"/>
        <v>2.0056904270000007E+20</v>
      </c>
      <c r="C24" s="15">
        <f>IF(RadiusKpc&lt;CoreRadius,Density*4/3*PI()*RadiusKm^3,CoreMass*SolarMass)</f>
        <v>1.9890999999999998E+41</v>
      </c>
      <c r="D24" s="17">
        <f>SQRT(BulgeMass*GravitationalConstant/RadiusKm)/1000</f>
        <v>257.27172704948583</v>
      </c>
      <c r="E24" s="17">
        <f>SQRT(BulgeMass*GravitationalConstant/RadiusKm+UniverseAcceleration*RadiusKm)/1000</f>
        <v>271.11385912387232</v>
      </c>
      <c r="H24" s="16"/>
    </row>
    <row r="25" spans="1:8" x14ac:dyDescent="0.25">
      <c r="A25" s="17">
        <f t="shared" si="1"/>
        <v>6.9000000000000021</v>
      </c>
      <c r="B25" s="15">
        <f t="shared" si="0"/>
        <v>2.1291175302000008E+20</v>
      </c>
      <c r="C25" s="15">
        <f>IF(RadiusKpc&lt;CoreRadius,Density*4/3*PI()*RadiusKm^3,CoreMass*SolarMass)</f>
        <v>1.9890999999999998E+41</v>
      </c>
      <c r="D25" s="17">
        <f>SQRT(BulgeMass*GravitationalConstant/RadiusKm)/1000</f>
        <v>249.70324996685403</v>
      </c>
      <c r="E25" s="17">
        <f>SQRT(BulgeMass*GravitationalConstant/RadiusKm+UniverseAcceleration*RadiusKm)/1000</f>
        <v>264.79385827445077</v>
      </c>
      <c r="H25" s="16"/>
    </row>
    <row r="26" spans="1:8" x14ac:dyDescent="0.25">
      <c r="A26" s="17">
        <f t="shared" si="1"/>
        <v>7.3000000000000025</v>
      </c>
      <c r="B26" s="15">
        <f t="shared" si="0"/>
        <v>2.2525446334000008E+20</v>
      </c>
      <c r="C26" s="15">
        <f>IF(RadiusKpc&lt;CoreRadius,Density*4/3*PI()*RadiusKm^3,CoreMass*SolarMass)</f>
        <v>1.9890999999999998E+41</v>
      </c>
      <c r="D26" s="17">
        <f>SQRT(BulgeMass*GravitationalConstant/RadiusKm)/1000</f>
        <v>242.76569119712866</v>
      </c>
      <c r="E26" s="17">
        <f>SQRT(BulgeMass*GravitationalConstant/RadiusKm+UniverseAcceleration*RadiusKm)/1000</f>
        <v>259.13190931285817</v>
      </c>
      <c r="H26" s="16"/>
    </row>
    <row r="27" spans="1:8" x14ac:dyDescent="0.25">
      <c r="A27" s="17">
        <f t="shared" si="1"/>
        <v>7.7000000000000028</v>
      </c>
      <c r="B27" s="15">
        <f t="shared" si="0"/>
        <v>2.3759717366000009E+20</v>
      </c>
      <c r="C27" s="15">
        <f>IF(RadiusKpc&lt;CoreRadius,Density*4/3*PI()*RadiusKm^3,CoreMass*SolarMass)</f>
        <v>1.9890999999999998E+41</v>
      </c>
      <c r="D27" s="17">
        <f>SQRT(BulgeMass*GravitationalConstant/RadiusKm)/1000</f>
        <v>236.37599917819225</v>
      </c>
      <c r="E27" s="17">
        <f>SQRT(BulgeMass*GravitationalConstant/RadiusKm+UniverseAcceleration*RadiusKm)/1000</f>
        <v>254.04304724798803</v>
      </c>
      <c r="H27" s="16"/>
    </row>
    <row r="28" spans="1:8" x14ac:dyDescent="0.25">
      <c r="A28" s="17">
        <f t="shared" si="1"/>
        <v>8.1000000000000032</v>
      </c>
      <c r="B28" s="15">
        <f t="shared" si="0"/>
        <v>2.499398839800001E+20</v>
      </c>
      <c r="C28" s="15">
        <f>IF(RadiusKpc&lt;CoreRadius,Density*4/3*PI()*RadiusKm^3,CoreMass*SolarMass)</f>
        <v>1.9890999999999998E+41</v>
      </c>
      <c r="D28" s="17">
        <f>SQRT(BulgeMass*GravitationalConstant/RadiusKm)/1000</f>
        <v>230.46566386920739</v>
      </c>
      <c r="E28" s="17">
        <f>SQRT(BulgeMass*GravitationalConstant/RadiusKm+UniverseAcceleration*RadiusKm)/1000</f>
        <v>249.45695090751875</v>
      </c>
      <c r="H28" s="16"/>
    </row>
    <row r="29" spans="1:8" x14ac:dyDescent="0.25">
      <c r="A29" s="17">
        <f t="shared" si="1"/>
        <v>8.5000000000000036</v>
      </c>
      <c r="B29" s="15">
        <f t="shared" si="0"/>
        <v>2.6228259430000011E+20</v>
      </c>
      <c r="C29" s="15">
        <f>IF(RadiusKpc&lt;CoreRadius,Density*4/3*PI()*RadiusKm^3,CoreMass*SolarMass)</f>
        <v>1.9890999999999998E+41</v>
      </c>
      <c r="D29" s="17">
        <f>SQRT(BulgeMass*GravitationalConstant/RadiusKm)/1000</f>
        <v>224.97759888582459</v>
      </c>
      <c r="E29" s="17">
        <f>SQRT(BulgeMass*GravitationalConstant/RadiusKm+UniverseAcceleration*RadiusKm)/1000</f>
        <v>245.3148169183421</v>
      </c>
      <c r="H29" s="16"/>
    </row>
    <row r="30" spans="1:8" x14ac:dyDescent="0.25">
      <c r="A30" s="17">
        <f t="shared" si="1"/>
        <v>8.9000000000000039</v>
      </c>
      <c r="B30" s="15">
        <f t="shared" si="0"/>
        <v>2.7462530462000012E+20</v>
      </c>
      <c r="C30" s="15">
        <f>IF(RadiusKpc&lt;CoreRadius,Density*4/3*PI()*RadiusKm^3,CoreMass*SolarMass)</f>
        <v>1.9890999999999998E+41</v>
      </c>
      <c r="D30" s="17">
        <f>SQRT(BulgeMass*GravitationalConstant/RadiusKm)/1000</f>
        <v>219.86380360405636</v>
      </c>
      <c r="E30" s="17">
        <f>SQRT(BulgeMass*GravitationalConstant/RadiusKm+UniverseAcceleration*RadiusKm)/1000</f>
        <v>241.56701513314849</v>
      </c>
      <c r="H30" s="16"/>
    </row>
    <row r="31" spans="1:8" x14ac:dyDescent="0.25">
      <c r="A31" s="17">
        <f t="shared" si="1"/>
        <v>9.3000000000000043</v>
      </c>
      <c r="B31" s="15">
        <f t="shared" si="0"/>
        <v>2.8696801494000012E+20</v>
      </c>
      <c r="C31" s="15">
        <f>IF(RadiusKpc&lt;CoreRadius,Density*4/3*PI()*RadiusKm^3,CoreMass*SolarMass)</f>
        <v>1.9890999999999998E+41</v>
      </c>
      <c r="D31" s="17">
        <f>SQRT(BulgeMass*GravitationalConstant/RadiusKm)/1000</f>
        <v>215.08358465371242</v>
      </c>
      <c r="E31" s="17">
        <f>SQRT(BulgeMass*GravitationalConstant/RadiusKm+UniverseAcceleration*RadiusKm)/1000</f>
        <v>238.17130456550262</v>
      </c>
      <c r="H31" s="16"/>
    </row>
    <row r="32" spans="1:8" x14ac:dyDescent="0.25">
      <c r="A32" s="17">
        <f t="shared" si="1"/>
        <v>9.7000000000000046</v>
      </c>
      <c r="B32" s="15">
        <f t="shared" si="0"/>
        <v>2.9931072526000017E+20</v>
      </c>
      <c r="C32" s="15">
        <f>IF(RadiusKpc&lt;CoreRadius,Density*4/3*PI()*RadiusKm^3,CoreMass*SolarMass)</f>
        <v>1.9890999999999998E+41</v>
      </c>
      <c r="D32" s="17">
        <f>SQRT(BulgeMass*GravitationalConstant/RadiusKm)/1000</f>
        <v>210.60218520411601</v>
      </c>
      <c r="E32" s="17">
        <f>SQRT(BulgeMass*GravitationalConstant/RadiusKm+UniverseAcceleration*RadiusKm)/1000</f>
        <v>235.09145796803955</v>
      </c>
      <c r="H32" s="16"/>
    </row>
    <row r="33" spans="1:8" x14ac:dyDescent="0.25">
      <c r="A33" s="17">
        <f t="shared" si="1"/>
        <v>10.100000000000005</v>
      </c>
      <c r="B33" s="15">
        <f t="shared" si="0"/>
        <v>3.1165343558000017E+20</v>
      </c>
      <c r="C33" s="15">
        <f>IF(RadiusKpc&lt;CoreRadius,Density*4/3*PI()*RadiusKm^3,CoreMass*SolarMass)</f>
        <v>1.9890999999999998E+41</v>
      </c>
      <c r="D33" s="17">
        <f>SQRT(BulgeMass*GravitationalConstant/RadiusKm)/1000</f>
        <v>206.38971595466631</v>
      </c>
      <c r="E33" s="17">
        <f>SQRT(BulgeMass*GravitationalConstant/RadiusKm+UniverseAcceleration*RadiusKm)/1000</f>
        <v>232.2961887644405</v>
      </c>
      <c r="H33" s="16"/>
    </row>
    <row r="34" spans="1:8" x14ac:dyDescent="0.25">
      <c r="A34" s="17">
        <f t="shared" si="1"/>
        <v>10.500000000000005</v>
      </c>
      <c r="B34" s="15">
        <f t="shared" si="0"/>
        <v>3.2399614590000018E+20</v>
      </c>
      <c r="C34" s="15">
        <f>IF(RadiusKpc&lt;CoreRadius,Density*4/3*PI()*RadiusKm^3,CoreMass*SolarMass)</f>
        <v>1.9890999999999998E+41</v>
      </c>
      <c r="D34" s="17">
        <f>SQRT(BulgeMass*GravitationalConstant/RadiusKm)/1000</f>
        <v>202.42031236388243</v>
      </c>
      <c r="E34" s="17">
        <f>SQRT(BulgeMass*GravitationalConstant/RadiusKm+UniverseAcceleration*RadiusKm)/1000</f>
        <v>229.75830471601122</v>
      </c>
      <c r="H34" s="16"/>
    </row>
    <row r="35" spans="1:8" x14ac:dyDescent="0.25">
      <c r="A35" s="17">
        <f t="shared" si="1"/>
        <v>10.900000000000006</v>
      </c>
      <c r="B35" s="15">
        <f t="shared" si="0"/>
        <v>3.3633885622000019E+20</v>
      </c>
      <c r="C35" s="15">
        <f>IF(RadiusKpc&lt;CoreRadius,Density*4/3*PI()*RadiusKm^3,CoreMass*SolarMass)</f>
        <v>1.9890999999999998E+41</v>
      </c>
      <c r="D35" s="17">
        <f>SQRT(BulgeMass*GravitationalConstant/RadiusKm)/1000</f>
        <v>198.6714636253825</v>
      </c>
      <c r="E35" s="17">
        <f>SQRT(BulgeMass*GravitationalConstant/RadiusKm+UniverseAcceleration*RadiusKm)/1000</f>
        <v>227.45403371534741</v>
      </c>
      <c r="H35" s="16"/>
    </row>
    <row r="36" spans="1:8" x14ac:dyDescent="0.25">
      <c r="A36" s="17">
        <f t="shared" si="1"/>
        <v>11.300000000000006</v>
      </c>
      <c r="B36" s="15">
        <f t="shared" si="0"/>
        <v>3.486815665400002E+20</v>
      </c>
      <c r="C36" s="15">
        <f>IF(RadiusKpc&lt;CoreRadius,Density*4/3*PI()*RadiusKm^3,CoreMass*SolarMass)</f>
        <v>1.9890999999999998E+41</v>
      </c>
      <c r="D36" s="17">
        <f>SQRT(BulgeMass*GravitationalConstant/RadiusKm)/1000</f>
        <v>195.12347350287871</v>
      </c>
      <c r="E36" s="17">
        <f>SQRT(BulgeMass*GravitationalConstant/RadiusKm+UniverseAcceleration*RadiusKm)/1000</f>
        <v>225.36248173111318</v>
      </c>
      <c r="H36" s="16"/>
    </row>
    <row r="37" spans="1:8" x14ac:dyDescent="0.25">
      <c r="A37" s="17">
        <f t="shared" si="1"/>
        <v>11.700000000000006</v>
      </c>
      <c r="B37" s="15">
        <f t="shared" si="0"/>
        <v>3.6102427686000021E+20</v>
      </c>
      <c r="C37" s="15">
        <f>IF(RadiusKpc&lt;CoreRadius,Density*4/3*PI()*RadiusKm^3,CoreMass*SolarMass)</f>
        <v>1.9890999999999998E+41</v>
      </c>
      <c r="D37" s="17">
        <f>SQRT(BulgeMass*GravitationalConstant/RadiusKm)/1000</f>
        <v>191.75902345714056</v>
      </c>
      <c r="E37" s="17">
        <f>SQRT(BulgeMass*GravitationalConstant/RadiusKm+UniverseAcceleration*RadiusKm)/1000</f>
        <v>223.46519327013971</v>
      </c>
      <c r="H37" s="16"/>
    </row>
    <row r="38" spans="1:8" x14ac:dyDescent="0.25">
      <c r="A38" s="17">
        <f t="shared" si="1"/>
        <v>12.100000000000007</v>
      </c>
      <c r="B38" s="15">
        <f t="shared" si="0"/>
        <v>3.7336698718000022E+20</v>
      </c>
      <c r="C38" s="15">
        <f>IF(RadiusKpc&lt;CoreRadius,Density*4/3*PI()*RadiusKm^3,CoreMass*SolarMass)</f>
        <v>1.9890999999999998E+41</v>
      </c>
      <c r="D38" s="17">
        <f>SQRT(BulgeMass*GravitationalConstant/RadiusKm)/1000</f>
        <v>188.56281589298786</v>
      </c>
      <c r="E38" s="17">
        <f>SQRT(BulgeMass*GravitationalConstant/RadiusKm+UniverseAcceleration*RadiusKm)/1000</f>
        <v>221.7457921345173</v>
      </c>
      <c r="H38" s="16"/>
    </row>
    <row r="39" spans="1:8" x14ac:dyDescent="0.25">
      <c r="A39" s="17">
        <f t="shared" si="1"/>
        <v>12.500000000000007</v>
      </c>
      <c r="B39" s="15">
        <f t="shared" si="0"/>
        <v>3.8570969750000022E+20</v>
      </c>
      <c r="C39" s="15">
        <f>IF(RadiusKpc&lt;CoreRadius,Density*4/3*PI()*RadiusKm^3,CoreMass*SolarMass)</f>
        <v>1.9890999999999998E+41</v>
      </c>
      <c r="D39" s="17">
        <f>SQRT(BulgeMass*GravitationalConstant/RadiusKm)/1000</f>
        <v>185.52128072081936</v>
      </c>
      <c r="E39" s="17">
        <f>SQRT(BulgeMass*GravitationalConstant/RadiusKm+UniverseAcceleration*RadiusKm)/1000</f>
        <v>220.18968563039411</v>
      </c>
      <c r="H39" s="16"/>
    </row>
    <row r="40" spans="1:8" x14ac:dyDescent="0.25">
      <c r="A40" s="17">
        <f t="shared" si="1"/>
        <v>12.900000000000007</v>
      </c>
      <c r="B40" s="15">
        <f t="shared" si="0"/>
        <v>3.9805240782000023E+20</v>
      </c>
      <c r="C40" s="15">
        <f>IF(RadiusKpc&lt;CoreRadius,Density*4/3*PI()*RadiusKm^3,CoreMass*SolarMass)</f>
        <v>1.9890999999999998E+41</v>
      </c>
      <c r="D40" s="17">
        <f>SQRT(BulgeMass*GravitationalConstant/RadiusKm)/1000</f>
        <v>182.62233236752218</v>
      </c>
      <c r="E40" s="17">
        <f>SQRT(BulgeMass*GravitationalConstant/RadiusKm+UniverseAcceleration*RadiusKm)/1000</f>
        <v>218.78381933525037</v>
      </c>
      <c r="H40" s="16"/>
    </row>
    <row r="41" spans="1:8" x14ac:dyDescent="0.25">
      <c r="A41" s="17">
        <f t="shared" si="1"/>
        <v>13.300000000000008</v>
      </c>
      <c r="B41" s="15">
        <f t="shared" si="0"/>
        <v>4.1039511814000024E+20</v>
      </c>
      <c r="C41" s="15">
        <f>IF(RadiusKpc&lt;CoreRadius,Density*4/3*PI()*RadiusKm^3,CoreMass*SolarMass)</f>
        <v>1.9890999999999998E+41</v>
      </c>
      <c r="D41" s="17">
        <f>SQRT(BulgeMass*GravitationalConstant/RadiusKm)/1000</f>
        <v>179.85516729658605</v>
      </c>
      <c r="E41" s="17">
        <f>SQRT(BulgeMass*GravitationalConstant/RadiusKm+UniverseAcceleration*RadiusKm)/1000</f>
        <v>217.51647246288195</v>
      </c>
      <c r="H41" s="16"/>
    </row>
    <row r="42" spans="1:8" x14ac:dyDescent="0.25">
      <c r="A42" s="17">
        <f t="shared" si="1"/>
        <v>13.700000000000008</v>
      </c>
      <c r="B42" s="15">
        <f t="shared" si="0"/>
        <v>4.2273782846000025E+20</v>
      </c>
      <c r="C42" s="15">
        <f>IF(RadiusKpc&lt;CoreRadius,Density*4/3*PI()*RadiusKm^3,CoreMass*SolarMass)</f>
        <v>1.9890999999999998E+41</v>
      </c>
      <c r="D42" s="17">
        <f>SQRT(BulgeMass*GravitationalConstant/RadiusKm)/1000</f>
        <v>177.2100942906909</v>
      </c>
      <c r="E42" s="17">
        <f>SQRT(BulgeMass*GravitationalConstant/RadiusKm+UniverseAcceleration*RadiusKm)/1000</f>
        <v>216.37708606452597</v>
      </c>
      <c r="H42" s="16"/>
    </row>
    <row r="43" spans="1:8" x14ac:dyDescent="0.25">
      <c r="A43" s="17">
        <f t="shared" si="1"/>
        <v>14.100000000000009</v>
      </c>
      <c r="B43" s="15">
        <f t="shared" si="0"/>
        <v>4.3508053878000026E+20</v>
      </c>
      <c r="C43" s="15">
        <f>IF(RadiusKpc&lt;CoreRadius,Density*4/3*PI()*RadiusKm^3,CoreMass*SolarMass)</f>
        <v>1.9890999999999998E+41</v>
      </c>
      <c r="D43" s="17">
        <f>SQRT(BulgeMass*GravitationalConstant/RadiusKm)/1000</f>
        <v>174.67839141059125</v>
      </c>
      <c r="E43" s="17">
        <f>SQRT(BulgeMass*GravitationalConstant/RadiusKm+UniverseAcceleration*RadiusKm)/1000</f>
        <v>215.35611796951216</v>
      </c>
      <c r="H43" s="16"/>
    </row>
    <row r="44" spans="1:8" x14ac:dyDescent="0.25">
      <c r="A44" s="17">
        <f t="shared" si="1"/>
        <v>14.500000000000009</v>
      </c>
      <c r="B44" s="15">
        <f t="shared" si="0"/>
        <v>4.4742324910000026E+20</v>
      </c>
      <c r="C44" s="15">
        <f>IF(RadiusKpc&lt;CoreRadius,Density*4/3*PI()*RadiusKm^3,CoreMass*SolarMass)</f>
        <v>1.9890999999999998E+41</v>
      </c>
      <c r="D44" s="17">
        <f>SQRT(BulgeMass*GravitationalConstant/RadiusKm)/1000</f>
        <v>172.25218481246162</v>
      </c>
      <c r="E44" s="17">
        <f>SQRT(BulgeMass*GravitationalConstant/RadiusKm+UniverseAcceleration*RadiusKm)/1000</f>
        <v>214.44491964049919</v>
      </c>
      <c r="H44" s="16"/>
    </row>
    <row r="45" spans="1:8" x14ac:dyDescent="0.25">
      <c r="A45" s="17">
        <f t="shared" si="1"/>
        <v>14.900000000000009</v>
      </c>
      <c r="B45" s="15">
        <f t="shared" si="0"/>
        <v>4.5976595942000027E+20</v>
      </c>
      <c r="C45" s="15">
        <f>IF(RadiusKpc&lt;CoreRadius,Density*4/3*PI()*RadiusKm^3,CoreMass*SolarMass)</f>
        <v>1.9890999999999998E+41</v>
      </c>
      <c r="D45" s="17">
        <f>SQRT(BulgeMass*GravitationalConstant/RadiusKm)/1000</f>
        <v>169.92434558273973</v>
      </c>
      <c r="E45" s="17">
        <f>SQRT(BulgeMass*GravitationalConstant/RadiusKm+UniverseAcceleration*RadiusKm)/1000</f>
        <v>213.63563109772463</v>
      </c>
      <c r="H45" s="16"/>
    </row>
    <row r="46" spans="1:8" x14ac:dyDescent="0.25">
      <c r="A46" s="17">
        <f t="shared" si="1"/>
        <v>15.30000000000001</v>
      </c>
      <c r="B46" s="15">
        <f t="shared" si="0"/>
        <v>4.7210866974000028E+20</v>
      </c>
      <c r="C46" s="15">
        <f>IF(RadiusKpc&lt;CoreRadius,Density*4/3*PI()*RadiusKm^3,CoreMass*SolarMass)</f>
        <v>1.9890999999999998E+41</v>
      </c>
      <c r="D46" s="17">
        <f>SQRT(BulgeMass*GravitationalConstant/RadiusKm)/1000</f>
        <v>167.68840150779488</v>
      </c>
      <c r="E46" s="17">
        <f>SQRT(BulgeMass*GravitationalConstant/RadiusKm+UniverseAcceleration*RadiusKm)/1000</f>
        <v>212.9210908268299</v>
      </c>
      <c r="H46" s="16"/>
    </row>
    <row r="47" spans="1:8" x14ac:dyDescent="0.25">
      <c r="A47" s="17">
        <f t="shared" si="1"/>
        <v>15.70000000000001</v>
      </c>
      <c r="B47" s="15">
        <f t="shared" si="0"/>
        <v>4.8445138006000029E+20</v>
      </c>
      <c r="C47" s="15">
        <f>IF(RadiusKpc&lt;CoreRadius,Density*4/3*PI()*RadiusKm^3,CoreMass*SolarMass)</f>
        <v>1.9890999999999998E+41</v>
      </c>
      <c r="D47" s="17">
        <f>SQRT(BulgeMass*GravitationalConstant/RadiusKm)/1000</f>
        <v>165.53846128872416</v>
      </c>
      <c r="E47" s="17">
        <f>SQRT(BulgeMass*GravitationalConstant/RadiusKm+UniverseAcceleration*RadiusKm)/1000</f>
        <v>212.29475817912495</v>
      </c>
      <c r="H47" s="16"/>
    </row>
    <row r="48" spans="1:8" x14ac:dyDescent="0.25">
      <c r="A48" s="17">
        <f t="shared" si="1"/>
        <v>16.100000000000009</v>
      </c>
      <c r="B48" s="15">
        <f t="shared" si="0"/>
        <v>4.9679409038000023E+20</v>
      </c>
      <c r="C48" s="15">
        <f>IF(RadiusKpc&lt;CoreRadius,Density*4/3*PI()*RadiusKm^3,CoreMass*SolarMass)</f>
        <v>1.9890999999999998E+41</v>
      </c>
      <c r="D48" s="17">
        <f>SQRT(BulgeMass*GravitationalConstant/RadiusKm)/1000</f>
        <v>163.46914917851254</v>
      </c>
      <c r="E48" s="17">
        <f>SQRT(BulgeMass*GravitationalConstant/RadiusKm+UniverseAcceleration*RadiusKm)/1000</f>
        <v>211.75064624101745</v>
      </c>
      <c r="H48" s="16"/>
    </row>
    <row r="49" spans="1:8" x14ac:dyDescent="0.25">
      <c r="A49" s="17">
        <f t="shared" si="1"/>
        <v>16.500000000000007</v>
      </c>
      <c r="B49" s="15">
        <f t="shared" si="0"/>
        <v>5.0913680070000024E+20</v>
      </c>
      <c r="C49" s="15">
        <f>IF(RadiusKpc&lt;CoreRadius,Density*4/3*PI()*RadiusKm^3,CoreMass*SolarMass)</f>
        <v>1.9890999999999998E+41</v>
      </c>
      <c r="D49" s="17">
        <f>SQRT(BulgeMass*GravitationalConstant/RadiusKm)/1000</f>
        <v>161.47554838889616</v>
      </c>
      <c r="E49" s="17">
        <f>SQRT(BulgeMass*GravitationalConstant/RadiusKm+UniverseAcceleration*RadiusKm)/1000</f>
        <v>211.28326352005135</v>
      </c>
      <c r="H49" s="16"/>
    </row>
    <row r="50" spans="1:8" x14ac:dyDescent="0.25">
      <c r="A50" s="17">
        <f t="shared" si="1"/>
        <v>16.900000000000006</v>
      </c>
      <c r="B50" s="15">
        <f t="shared" si="0"/>
        <v>5.2147951102000018E+20</v>
      </c>
      <c r="C50" s="15">
        <f>IF(RadiusKpc&lt;CoreRadius,Density*4/3*PI()*RadiusKm^3,CoreMass*SolarMass)</f>
        <v>1.9890999999999998E+41</v>
      </c>
      <c r="D50" s="17">
        <f>SQRT(BulgeMass*GravitationalConstant/RadiusKm)/1000</f>
        <v>159.55315190945126</v>
      </c>
      <c r="E50" s="17">
        <f>SQRT(BulgeMass*GravitationalConstant/RadiusKm+UniverseAcceleration*RadiusKm)/1000</f>
        <v>210.88756309056291</v>
      </c>
      <c r="H50" s="16"/>
    </row>
    <row r="51" spans="1:8" x14ac:dyDescent="0.25">
      <c r="A51" s="17">
        <f t="shared" si="1"/>
        <v>17.300000000000004</v>
      </c>
      <c r="B51" s="15">
        <f t="shared" si="0"/>
        <v>5.3382222134000012E+20</v>
      </c>
      <c r="C51" s="15">
        <f>IF(RadiusKpc&lt;CoreRadius,Density*4/3*PI()*RadiusKm^3,CoreMass*SolarMass)</f>
        <v>1.9890999999999998E+41</v>
      </c>
      <c r="D51" s="17">
        <f>SQRT(BulgeMass*GravitationalConstant/RadiusKm)/1000</f>
        <v>157.69781961825117</v>
      </c>
      <c r="E51" s="17">
        <f>SQRT(BulgeMass*GravitationalConstant/RadiusKm+UniverseAcceleration*RadiusKm)/1000</f>
        <v>210.55889807897739</v>
      </c>
      <c r="H51" s="16"/>
    </row>
    <row r="52" spans="1:8" x14ac:dyDescent="0.25">
      <c r="A52" s="17">
        <f t="shared" si="1"/>
        <v>17.700000000000003</v>
      </c>
      <c r="B52" s="15">
        <f t="shared" si="0"/>
        <v>5.4616493166000007E+20</v>
      </c>
      <c r="C52" s="15">
        <f>IF(RadiusKpc&lt;CoreRadius,Density*4/3*PI()*RadiusKm^3,CoreMass*SolarMass)</f>
        <v>1.9890999999999998E+41</v>
      </c>
      <c r="D52" s="17">
        <f>SQRT(BulgeMass*GravitationalConstant/RadiusKm)/1000</f>
        <v>155.90574075449234</v>
      </c>
      <c r="E52" s="17">
        <f>SQRT(BulgeMass*GravitationalConstant/RadiusKm+UniverseAcceleration*RadiusKm)/1000</f>
        <v>210.2929825598959</v>
      </c>
      <c r="H52" s="16"/>
    </row>
    <row r="53" spans="1:8" x14ac:dyDescent="0.25">
      <c r="A53" s="17">
        <f t="shared" si="1"/>
        <v>18.100000000000001</v>
      </c>
      <c r="B53" s="15">
        <f t="shared" si="0"/>
        <v>5.5850764198000008E+20</v>
      </c>
      <c r="C53" s="15">
        <f>IF(RadiusKpc&lt;CoreRadius,Density*4/3*PI()*RadiusKm^3,CoreMass*SolarMass)</f>
        <v>1.9890999999999998E+41</v>
      </c>
      <c r="D53" s="17">
        <f>SQRT(BulgeMass*GravitationalConstant/RadiusKm)/1000</f>
        <v>154.17340097845403</v>
      </c>
      <c r="E53" s="17">
        <f>SQRT(BulgeMass*GravitationalConstant/RadiusKm+UniverseAcceleration*RadiusKm)/1000</f>
        <v>210.08585708904792</v>
      </c>
      <c r="H53" s="16"/>
    </row>
    <row r="54" spans="1:8" x14ac:dyDescent="0.25">
      <c r="A54" s="17">
        <f t="shared" si="1"/>
        <v>18.5</v>
      </c>
      <c r="B54" s="15">
        <f t="shared" si="0"/>
        <v>5.7085035230000002E+20</v>
      </c>
      <c r="C54" s="15">
        <f>IF(RadiusKpc&lt;CoreRadius,Density*4/3*PI()*RadiusKm^3,CoreMass*SolarMass)</f>
        <v>1.9890999999999998E+41</v>
      </c>
      <c r="D54" s="17">
        <f>SQRT(BulgeMass*GravitationalConstant/RadiusKm)/1000</f>
        <v>152.49755337047807</v>
      </c>
      <c r="E54" s="17">
        <f>SQRT(BulgeMass*GravitationalConstant/RadiusKm+UniverseAcceleration*RadiusKm)/1000</f>
        <v>209.93385822540753</v>
      </c>
      <c r="H54" s="16"/>
    </row>
    <row r="55" spans="1:8" x14ac:dyDescent="0.25">
      <c r="A55" s="17">
        <f t="shared" si="1"/>
        <v>18.899999999999999</v>
      </c>
      <c r="B55" s="15">
        <f t="shared" si="0"/>
        <v>5.8319306261999996E+20</v>
      </c>
      <c r="C55" s="15">
        <f>IF(RadiusKpc&lt;CoreRadius,Density*4/3*PI()*RadiusKm^3,CoreMass*SolarMass)</f>
        <v>1.9890999999999998E+41</v>
      </c>
      <c r="D55" s="17">
        <f>SQRT(BulgeMass*GravitationalConstant/RadiusKm)/1000</f>
        <v>150.87519282412748</v>
      </c>
      <c r="E55" s="17">
        <f>SQRT(BulgeMass*GravitationalConstant/RadiusKm+UniverseAcceleration*RadiusKm)/1000</f>
        <v>209.83359149809246</v>
      </c>
      <c r="H55" s="16"/>
    </row>
    <row r="56" spans="1:8" x14ac:dyDescent="0.25">
      <c r="A56" s="17">
        <f t="shared" si="1"/>
        <v>19.299999999999997</v>
      </c>
      <c r="B56" s="15">
        <f t="shared" si="0"/>
        <v>5.955357729399999E+20</v>
      </c>
      <c r="C56" s="15">
        <f>IF(RadiusKpc&lt;CoreRadius,Density*4/3*PI()*RadiusKm^3,CoreMass*SolarMass)</f>
        <v>1.9890999999999998E+41</v>
      </c>
      <c r="D56" s="17">
        <f>SQRT(BulgeMass*GravitationalConstant/RadiusKm)/1000</f>
        <v>149.30353337382886</v>
      </c>
      <c r="E56" s="17">
        <f>SQRT(BulgeMass*GravitationalConstant/RadiusKm+UniverseAcceleration*RadiusKm)/1000</f>
        <v>209.78190735863694</v>
      </c>
      <c r="H56" s="16"/>
    </row>
    <row r="57" spans="1:8" x14ac:dyDescent="0.25">
      <c r="A57" s="17">
        <f t="shared" si="1"/>
        <v>19.699999999999996</v>
      </c>
      <c r="B57" s="15">
        <f t="shared" si="0"/>
        <v>6.0787848325999991E+20</v>
      </c>
      <c r="C57" s="15">
        <f>IF(RadiusKpc&lt;CoreRadius,Density*4/3*PI()*RadiusKm^3,CoreMass*SolarMass)</f>
        <v>1.9890999999999998E+41</v>
      </c>
      <c r="D57" s="17">
        <f>SQRT(BulgeMass*GravitationalConstant/RadiusKm)/1000</f>
        <v>147.77998806767584</v>
      </c>
      <c r="E57" s="17">
        <f>SQRT(BulgeMass*GravitationalConstant/RadiusKm+UniverseAcceleration*RadiusKm)/1000</f>
        <v>209.77587972940813</v>
      </c>
      <c r="H57" s="16"/>
    </row>
    <row r="58" spans="1:8" x14ac:dyDescent="0.25">
      <c r="A58" s="17">
        <f t="shared" si="1"/>
        <v>20.099999999999994</v>
      </c>
      <c r="B58" s="15">
        <f t="shared" si="0"/>
        <v>6.2022119357999979E+20</v>
      </c>
      <c r="C58" s="15">
        <f>IF(RadiusKpc&lt;CoreRadius,Density*4/3*PI()*RadiusKm^3,CoreMass*SolarMass)</f>
        <v>1.9890999999999998E+41</v>
      </c>
      <c r="D58" s="17">
        <f>SQRT(BulgeMass*GravitationalConstant/RadiusKm)/1000</f>
        <v>146.30215105447817</v>
      </c>
      <c r="E58" s="17">
        <f>SQRT(BulgeMass*GravitationalConstant/RadiusKm+UniverseAcceleration*RadiusKm)/1000</f>
        <v>209.81278681715048</v>
      </c>
      <c r="H58" s="16"/>
    </row>
    <row r="59" spans="1:8" x14ac:dyDescent="0.25">
      <c r="A59" s="17">
        <f t="shared" si="1"/>
        <v>20.499999999999993</v>
      </c>
      <c r="B59" s="15">
        <f t="shared" si="0"/>
        <v>6.325639038999998E+20</v>
      </c>
      <c r="C59" s="15">
        <f>IF(RadiusKpc&lt;CoreRadius,Density*4/3*PI()*RadiusKm^3,CoreMass*SolarMass)</f>
        <v>1.9890999999999998E+41</v>
      </c>
      <c r="D59" s="17">
        <f>SQRT(BulgeMass*GravitationalConstant/RadiusKm)/1000</f>
        <v>144.8677816028125</v>
      </c>
      <c r="E59" s="17">
        <f>SQRT(BulgeMass*GravitationalConstant/RadiusKm+UniverseAcceleration*RadiusKm)/1000</f>
        <v>209.89009390911917</v>
      </c>
      <c r="H59" s="16"/>
    </row>
    <row r="60" spans="1:8" x14ac:dyDescent="0.25">
      <c r="A60" s="17">
        <f t="shared" si="1"/>
        <v>20.899999999999991</v>
      </c>
      <c r="B60" s="15">
        <f t="shared" si="0"/>
        <v>6.4490661421999967E+20</v>
      </c>
      <c r="C60" s="15">
        <f>IF(RadiusKpc&lt;CoreRadius,Density*4/3*PI()*RadiusKm^3,CoreMass*SolarMass)</f>
        <v>1.9890999999999998E+41</v>
      </c>
      <c r="D60" s="17">
        <f>SQRT(BulgeMass*GravitationalConstant/RadiusKm)/1000</f>
        <v>143.47478981054505</v>
      </c>
      <c r="E60" s="17">
        <f>SQRT(BulgeMass*GravitationalConstant/RadiusKm+UniverseAcceleration*RadiusKm)/1000</f>
        <v>210.00543790979739</v>
      </c>
      <c r="H60" s="16"/>
    </row>
    <row r="61" spans="1:8" x14ac:dyDescent="0.25">
      <c r="A61" s="17">
        <f t="shared" si="1"/>
        <v>21.29999999999999</v>
      </c>
      <c r="B61" s="15">
        <f t="shared" si="0"/>
        <v>6.5724932453999968E+20</v>
      </c>
      <c r="C61" s="15">
        <f>IF(RadiusKpc&lt;CoreRadius,Density*4/3*PI()*RadiusKm^3,CoreMass*SolarMass)</f>
        <v>1.9890999999999998E+41</v>
      </c>
      <c r="D61" s="17">
        <f>SQRT(BulgeMass*GravitationalConstant/RadiusKm)/1000</f>
        <v>142.12122379747908</v>
      </c>
      <c r="E61" s="17">
        <f>SQRT(BulgeMass*GravitationalConstant/RadiusKm+UniverseAcceleration*RadiusKm)/1000</f>
        <v>210.15661341020368</v>
      </c>
      <c r="H61" s="16"/>
    </row>
    <row r="62" spans="1:8" x14ac:dyDescent="0.25">
      <c r="A62" s="17">
        <f t="shared" si="1"/>
        <v>21.699999999999989</v>
      </c>
      <c r="B62" s="15">
        <f t="shared" si="0"/>
        <v>6.6959203485999969E+20</v>
      </c>
      <c r="C62" s="15">
        <f>IF(RadiusKpc&lt;CoreRadius,Density*4/3*PI()*RadiusKm^3,CoreMass*SolarMass)</f>
        <v>1.9890999999999998E+41</v>
      </c>
      <c r="D62" s="17">
        <f>SQRT(BulgeMass*GravitationalConstant/RadiusKm)/1000</f>
        <v>140.80525820258282</v>
      </c>
      <c r="E62" s="17">
        <f>SQRT(BulgeMass*GravitationalConstant/RadiusKm+UniverseAcceleration*RadiusKm)/1000</f>
        <v>210.34156011044442</v>
      </c>
      <c r="H62" s="16"/>
    </row>
    <row r="63" spans="1:8" x14ac:dyDescent="0.25">
      <c r="A63" s="17">
        <f t="shared" si="1"/>
        <v>22.099999999999987</v>
      </c>
      <c r="B63" s="15">
        <f t="shared" si="0"/>
        <v>6.8193474517999957E+20</v>
      </c>
      <c r="C63" s="15">
        <f>IF(RadiusKpc&lt;CoreRadius,Density*4/3*PI()*RadiusKm^3,CoreMass*SolarMass)</f>
        <v>1.9890999999999998E+41</v>
      </c>
      <c r="D63" s="17">
        <f>SQRT(BulgeMass*GravitationalConstant/RadiusKm)/1000</f>
        <v>139.52518383160333</v>
      </c>
      <c r="E63" s="17">
        <f>SQRT(BulgeMass*GravitationalConstant/RadiusKm+UniverseAcceleration*RadiusKm)/1000</f>
        <v>210.55835144037718</v>
      </c>
      <c r="H63" s="16"/>
    </row>
    <row r="64" spans="1:8" x14ac:dyDescent="0.25">
      <c r="A64" s="17">
        <f t="shared" si="1"/>
        <v>22.499999999999986</v>
      </c>
      <c r="B64" s="15">
        <f t="shared" si="0"/>
        <v>6.9427745549999958E+20</v>
      </c>
      <c r="C64" s="15">
        <f>IF(RadiusKpc&lt;CoreRadius,Density*4/3*PI()*RadiusKm^3,CoreMass*SolarMass)</f>
        <v>1.9890999999999998E+41</v>
      </c>
      <c r="D64" s="17">
        <f>SQRT(BulgeMass*GravitationalConstant/RadiusKm)/1000</f>
        <v>138.2793983215245</v>
      </c>
      <c r="E64" s="17">
        <f>SQRT(BulgeMass*GravitationalConstant/RadiusKm+UniverseAcceleration*RadiusKm)/1000</f>
        <v>210.80518424378587</v>
      </c>
      <c r="H64" s="16"/>
    </row>
    <row r="65" spans="1:8" x14ac:dyDescent="0.25">
      <c r="A65" s="17">
        <f t="shared" si="1"/>
        <v>22.899999999999984</v>
      </c>
      <c r="B65" s="15">
        <f t="shared" si="0"/>
        <v>7.0662016581999945E+20</v>
      </c>
      <c r="C65" s="15">
        <f>IF(RadiusKpc&lt;CoreRadius,Density*4/3*PI()*RadiusKm^3,CoreMass*SolarMass)</f>
        <v>1.9890999999999998E+41</v>
      </c>
      <c r="D65" s="17">
        <f>SQRT(BulgeMass*GravitationalConstant/RadiusKm)/1000</f>
        <v>137.06639770590257</v>
      </c>
      <c r="E65" s="17">
        <f>SQRT(BulgeMass*GravitationalConstant/RadiusKm+UniverseAcceleration*RadiusKm)/1000</f>
        <v>211.08036940893706</v>
      </c>
      <c r="H65" s="16"/>
    </row>
    <row r="66" spans="1:8" x14ac:dyDescent="0.25">
      <c r="A66" s="17">
        <f t="shared" si="1"/>
        <v>23.299999999999983</v>
      </c>
      <c r="B66" s="15">
        <f t="shared" si="0"/>
        <v>7.1896287613999946E+20</v>
      </c>
      <c r="C66" s="15">
        <f>IF(RadiusKpc&lt;CoreRadius,Density*4/3*PI()*RadiusKm^3,CoreMass*SolarMass)</f>
        <v>1.9890999999999998E+41</v>
      </c>
      <c r="D66" s="17">
        <f>SQRT(BulgeMass*GravitationalConstant/RadiusKm)/1000</f>
        <v>135.88476878010772</v>
      </c>
      <c r="E66" s="17">
        <f>SQRT(BulgeMass*GravitationalConstant/RadiusKm+UniverseAcceleration*RadiusKm)/1000</f>
        <v>211.38232334329902</v>
      </c>
      <c r="H66" s="16"/>
    </row>
    <row r="67" spans="1:8" x14ac:dyDescent="0.25">
      <c r="A67" s="17">
        <f t="shared" si="1"/>
        <v>23.699999999999982</v>
      </c>
      <c r="B67" s="15">
        <f t="shared" si="0"/>
        <v>7.3130558645999947E+20</v>
      </c>
      <c r="C67" s="15">
        <f>IF(RadiusKpc&lt;CoreRadius,Density*4/3*PI()*RadiusKm^3,CoreMass*SolarMass)</f>
        <v>1.9890999999999998E+41</v>
      </c>
      <c r="D67" s="17">
        <f>SQRT(BulgeMass*GravitationalConstant/RadiusKm)/1000</f>
        <v>134.73318217833878</v>
      </c>
      <c r="E67" s="17">
        <f>SQRT(BulgeMass*GravitationalConstant/RadiusKm+UniverseAcceleration*RadiusKm)/1000</f>
        <v>211.70956020297263</v>
      </c>
      <c r="H67" s="16"/>
    </row>
    <row r="68" spans="1:8" x14ac:dyDescent="0.25">
      <c r="A68" s="17">
        <f t="shared" si="1"/>
        <v>24.09999999999998</v>
      </c>
      <c r="B68" s="15">
        <f t="shared" si="0"/>
        <v>7.4364829677999935E+20</v>
      </c>
      <c r="C68" s="15">
        <f>IF(RadiusKpc&lt;CoreRadius,Density*4/3*PI()*RadiusKm^3,CoreMass*SolarMass)</f>
        <v>1.9890999999999998E+41</v>
      </c>
      <c r="D68" s="17">
        <f>SQRT(BulgeMass*GravitationalConstant/RadiusKm)/1000</f>
        <v>133.61038608529492</v>
      </c>
      <c r="E68" s="17">
        <f>SQRT(BulgeMass*GravitationalConstant/RadiusKm+UniverseAcceleration*RadiusKm)/1000</f>
        <v>212.06068479834551</v>
      </c>
      <c r="H68" s="16"/>
    </row>
    <row r="69" spans="1:8" x14ac:dyDescent="0.25">
      <c r="A69" s="17">
        <f t="shared" si="1"/>
        <v>24.499999999999979</v>
      </c>
      <c r="B69" s="15">
        <f t="shared" si="0"/>
        <v>7.5599100709999935E+20</v>
      </c>
      <c r="C69" s="15">
        <f>IF(RadiusKpc&lt;CoreRadius,Density*4/3*PI()*RadiusKm^3,CoreMass*SolarMass)</f>
        <v>1.9890999999999998E+41</v>
      </c>
      <c r="D69" s="17">
        <f>SQRT(BulgeMass*GravitationalConstant/RadiusKm)/1000</f>
        <v>132.51520051487105</v>
      </c>
      <c r="E69" s="17">
        <f>SQRT(BulgeMass*GravitationalConstant/RadiusKm+UniverseAcceleration*RadiusKm)/1000</f>
        <v>212.43438610692277</v>
      </c>
      <c r="H69" s="16"/>
    </row>
    <row r="70" spans="1:8" x14ac:dyDescent="0.25">
      <c r="A70" s="17">
        <f t="shared" si="1"/>
        <v>24.899999999999977</v>
      </c>
      <c r="B70" s="15">
        <f t="shared" si="0"/>
        <v>7.6833371741999936E+20</v>
      </c>
      <c r="C70" s="15">
        <f>IF(RadiusKpc&lt;CoreRadius,Density*4/3*PI()*RadiusKm^3,CoreMass*SolarMass)</f>
        <v>1.9890999999999998E+41</v>
      </c>
      <c r="D70" s="17">
        <f>SQRT(BulgeMass*GravitationalConstant/RadiusKm)/1000</f>
        <v>131.44651209642581</v>
      </c>
      <c r="E70" s="17">
        <f>SQRT(BulgeMass*GravitationalConstant/RadiusKm+UniverseAcceleration*RadiusKm)/1000</f>
        <v>212.82943133244396</v>
      </c>
      <c r="H70" s="16"/>
    </row>
    <row r="71" spans="1:8" x14ac:dyDescent="0.25">
      <c r="A71" s="17">
        <f t="shared" si="1"/>
        <v>25.299999999999976</v>
      </c>
      <c r="B71" s="15">
        <f t="shared" si="0"/>
        <v>7.8067642773999924E+20</v>
      </c>
      <c r="C71" s="15">
        <f>IF(RadiusKpc&lt;CoreRadius,Density*4/3*PI()*RadiusKm^3,CoreMass*SolarMass)</f>
        <v>1.9890999999999998E+41</v>
      </c>
      <c r="D71" s="17">
        <f>SQRT(BulgeMass*GravitationalConstant/RadiusKm)/1000</f>
        <v>130.40326931624898</v>
      </c>
      <c r="E71" s="17">
        <f>SQRT(BulgeMass*GravitationalConstant/RadiusKm+UniverseAcceleration*RadiusKm)/1000</f>
        <v>213.24466045645508</v>
      </c>
      <c r="H71" s="16"/>
    </row>
    <row r="72" spans="1:8" x14ac:dyDescent="0.25">
      <c r="A72" s="17">
        <f t="shared" si="1"/>
        <v>25.699999999999974</v>
      </c>
      <c r="B72" s="15">
        <f t="shared" ref="B72:B105" si="2">RadiusKpc*kpc</f>
        <v>7.9301913805999925E+20</v>
      </c>
      <c r="C72" s="15">
        <f>IF(RadiusKpc&lt;CoreRadius,Density*4/3*PI()*RadiusKm^3,CoreMass*SolarMass)</f>
        <v>1.9890999999999998E+41</v>
      </c>
      <c r="D72" s="17">
        <f>SQRT(BulgeMass*GravitationalConstant/RadiusKm)/1000</f>
        <v>129.38447816799371</v>
      </c>
      <c r="E72" s="17">
        <f>SQRT(BulgeMass*GravitationalConstant/RadiusKm+UniverseAcceleration*RadiusKm)/1000</f>
        <v>213.67898123464013</v>
      </c>
      <c r="H72" s="16"/>
    </row>
    <row r="73" spans="1:8" x14ac:dyDescent="0.25">
      <c r="A73" s="17">
        <f t="shared" si="1"/>
        <v>26.099999999999973</v>
      </c>
      <c r="B73" s="15">
        <f t="shared" si="2"/>
        <v>8.0536184837999913E+20</v>
      </c>
      <c r="C73" s="15">
        <f>IF(RadiusKpc&lt;CoreRadius,Density*4/3*PI()*RadiusKm^3,CoreMass*SolarMass)</f>
        <v>1.9890999999999998E+41</v>
      </c>
      <c r="D73" s="17">
        <f>SQRT(BulgeMass*GravitationalConstant/RadiusKm)/1000</f>
        <v>128.3891981711738</v>
      </c>
      <c r="E73" s="17">
        <f>SQRT(BulgeMass*GravitationalConstant/RadiusKm+UniverseAcceleration*RadiusKm)/1000</f>
        <v>214.13136459555284</v>
      </c>
      <c r="H73" s="16"/>
    </row>
    <row r="74" spans="1:8" x14ac:dyDescent="0.25">
      <c r="A74" s="17">
        <f t="shared" ref="A74:A105" si="3">A73+0.4</f>
        <v>26.499999999999972</v>
      </c>
      <c r="B74" s="15">
        <f t="shared" si="2"/>
        <v>8.1770455869999913E+20</v>
      </c>
      <c r="C74" s="15">
        <f>IF(RadiusKpc&lt;CoreRadius,Density*4/3*PI()*RadiusKm^3,CoreMass*SolarMass)</f>
        <v>1.9890999999999998E+41</v>
      </c>
      <c r="D74" s="17">
        <f>SQRT(BulgeMass*GravitationalConstant/RadiusKm)/1000</f>
        <v>127.41653872147408</v>
      </c>
      <c r="E74" s="17">
        <f>SQRT(BulgeMass*GravitationalConstant/RadiusKm+UniverseAcceleration*RadiusKm)/1000</f>
        <v>214.60084040405002</v>
      </c>
      <c r="H74" s="16"/>
    </row>
    <row r="75" spans="1:8" x14ac:dyDescent="0.25">
      <c r="A75" s="17">
        <f t="shared" si="3"/>
        <v>26.89999999999997</v>
      </c>
      <c r="B75" s="15">
        <f t="shared" si="2"/>
        <v>8.3004726901999914E+20</v>
      </c>
      <c r="C75" s="15">
        <f>IF(RadiusKpc&lt;CoreRadius,Density*4/3*PI()*RadiusKm^3,CoreMass*SolarMass)</f>
        <v>1.9890999999999998E+41</v>
      </c>
      <c r="D75" s="17">
        <f>SQRT(BulgeMass*GravitationalConstant/RadiusKm)/1000</f>
        <v>126.4656557406816</v>
      </c>
      <c r="E75" s="17">
        <f>SQRT(BulgeMass*GravitationalConstant/RadiusKm+UniverseAcceleration*RadiusKm)/1000</f>
        <v>215.08649355580474</v>
      </c>
      <c r="H75" s="16"/>
    </row>
    <row r="76" spans="1:8" x14ac:dyDescent="0.25">
      <c r="A76" s="17">
        <f t="shared" si="3"/>
        <v>27.299999999999969</v>
      </c>
      <c r="B76" s="15">
        <f t="shared" si="2"/>
        <v>8.4238997933999902E+20</v>
      </c>
      <c r="C76" s="15">
        <f>IF(RadiusKpc&lt;CoreRadius,Density*4/3*PI()*RadiusKm^3,CoreMass*SolarMass)</f>
        <v>1.9890999999999998E+41</v>
      </c>
      <c r="D76" s="17">
        <f>SQRT(BulgeMass*GravitationalConstant/RadiusKm)/1000</f>
        <v>125.53574859759425</v>
      </c>
      <c r="E76" s="17">
        <f>SQRT(BulgeMass*GravitationalConstant/RadiusKm+UniverseAcceleration*RadiusKm)/1000</f>
        <v>215.58746037285198</v>
      </c>
      <c r="H76" s="16"/>
    </row>
    <row r="77" spans="1:8" x14ac:dyDescent="0.25">
      <c r="A77" s="17">
        <f t="shared" si="3"/>
        <v>27.699999999999967</v>
      </c>
      <c r="B77" s="15">
        <f t="shared" si="2"/>
        <v>8.5473268965999903E+20</v>
      </c>
      <c r="C77" s="15">
        <f>IF(RadiusKpc&lt;CoreRadius,Density*4/3*PI()*RadiusKm^3,CoreMass*SolarMass)</f>
        <v>1.9890999999999998E+41</v>
      </c>
      <c r="D77" s="17">
        <f>SQRT(BulgeMass*GravitationalConstant/RadiusKm)/1000</f>
        <v>124.62605727437911</v>
      </c>
      <c r="E77" s="17">
        <f>SQRT(BulgeMass*GravitationalConstant/RadiusKm+UniverseAcceleration*RadiusKm)/1000</f>
        <v>216.10292527326291</v>
      </c>
      <c r="H77" s="16"/>
    </row>
    <row r="78" spans="1:8" x14ac:dyDescent="0.25">
      <c r="A78" s="17">
        <f t="shared" si="3"/>
        <v>28.099999999999966</v>
      </c>
      <c r="B78" s="15">
        <f t="shared" si="2"/>
        <v>8.670753999799989E+20</v>
      </c>
      <c r="C78" s="15">
        <f>IF(RadiusKpc&lt;CoreRadius,Density*4/3*PI()*RadiusKm^3,CoreMass*SolarMass)</f>
        <v>1.9890999999999998E+41</v>
      </c>
      <c r="D78" s="17">
        <f>SQRT(BulgeMass*GravitationalConstant/RadiusKm)/1000</f>
        <v>123.73585975558676</v>
      </c>
      <c r="E78" s="17">
        <f>SQRT(BulgeMass*GravitationalConstant/RadiusKm+UniverseAcceleration*RadiusKm)/1000</f>
        <v>216.63211769081212</v>
      </c>
      <c r="H78" s="16"/>
    </row>
    <row r="79" spans="1:8" x14ac:dyDescent="0.25">
      <c r="A79" s="17">
        <f t="shared" si="3"/>
        <v>28.499999999999964</v>
      </c>
      <c r="B79" s="15">
        <f t="shared" si="2"/>
        <v>8.7941811029999891E+20</v>
      </c>
      <c r="C79" s="15">
        <f>IF(RadiusKpc&lt;CoreRadius,Density*4/3*PI()*RadiusKm^3,CoreMass*SolarMass)</f>
        <v>1.9890999999999998E+41</v>
      </c>
      <c r="D79" s="17">
        <f>SQRT(BulgeMass*GravitationalConstant/RadiusKm)/1000</f>
        <v>122.86446961943638</v>
      </c>
      <c r="E79" s="17">
        <f>SQRT(BulgeMass*GravitationalConstant/RadiusKm+UniverseAcceleration*RadiusKm)/1000</f>
        <v>217.17430922294665</v>
      </c>
      <c r="H79" s="16"/>
    </row>
    <row r="80" spans="1:8" x14ac:dyDescent="0.25">
      <c r="A80" s="17">
        <f t="shared" si="3"/>
        <v>28.899999999999963</v>
      </c>
      <c r="B80" s="15">
        <f t="shared" si="2"/>
        <v>8.9176082061999892E+20</v>
      </c>
      <c r="C80" s="15">
        <f>IF(RadiusKpc&lt;CoreRadius,Density*4/3*PI()*RadiusKm^3,CoreMass*SolarMass)</f>
        <v>1.9890999999999998E+41</v>
      </c>
      <c r="D80" s="17">
        <f>SQRT(BulgeMass*GravitationalConstant/RadiusKm)/1000</f>
        <v>122.0112338131099</v>
      </c>
      <c r="E80" s="17">
        <f>SQRT(BulgeMass*GravitationalConstant/RadiusKm+UniverseAcceleration*RadiusKm)/1000</f>
        <v>217.7288109875287</v>
      </c>
      <c r="H80" s="16"/>
    </row>
    <row r="81" spans="1:8" x14ac:dyDescent="0.25">
      <c r="A81" s="17">
        <f t="shared" si="3"/>
        <v>29.299999999999962</v>
      </c>
      <c r="B81" s="15">
        <f t="shared" si="2"/>
        <v>9.041035309399988E+20</v>
      </c>
      <c r="C81" s="15">
        <f>IF(RadiusKpc&lt;CoreRadius,Density*4/3*PI()*RadiusKm^3,CoreMass*SolarMass)</f>
        <v>1.9890999999999998E+41</v>
      </c>
      <c r="D81" s="17">
        <f>SQRT(BulgeMass*GravitationalConstant/RadiusKm)/1000</f>
        <v>121.17553059566984</v>
      </c>
      <c r="E81" s="17">
        <f>SQRT(BulgeMass*GravitationalConstant/RadiusKm+UniverseAcceleration*RadiusKm)/1000</f>
        <v>218.29497117074123</v>
      </c>
      <c r="H81" s="16"/>
    </row>
    <row r="82" spans="1:8" x14ac:dyDescent="0.25">
      <c r="A82" s="17">
        <f t="shared" si="3"/>
        <v>29.69999999999996</v>
      </c>
      <c r="B82" s="15">
        <f t="shared" si="2"/>
        <v>9.1644624125999881E+20</v>
      </c>
      <c r="C82" s="15">
        <f>IF(RadiusKpc&lt;CoreRadius,Density*4/3*PI()*RadiusKm^3,CoreMass*SolarMass)</f>
        <v>1.9890999999999998E+41</v>
      </c>
      <c r="D82" s="17">
        <f>SQRT(BulgeMass*GravitationalConstant/RadiusKm)/1000</f>
        <v>120.35676763387626</v>
      </c>
      <c r="E82" s="17">
        <f>SQRT(BulgeMass*GravitationalConstant/RadiusKm+UniverseAcceleration*RadiusKm)/1000</f>
        <v>218.87217275024824</v>
      </c>
      <c r="H82" s="16"/>
    </row>
    <row r="83" spans="1:8" x14ac:dyDescent="0.25">
      <c r="A83" s="17">
        <f t="shared" si="3"/>
        <v>30.099999999999959</v>
      </c>
      <c r="B83" s="15">
        <f t="shared" si="2"/>
        <v>9.2878895157999868E+20</v>
      </c>
      <c r="C83" s="15">
        <f>IF(RadiusKpc&lt;CoreRadius,Density*4/3*PI()*RadiusKm^3,CoreMass*SolarMass)</f>
        <v>1.9890999999999998E+41</v>
      </c>
      <c r="D83" s="17">
        <f>SQRT(BulgeMass*GravitationalConstant/RadiusKm)/1000</f>
        <v>119.55438023765073</v>
      </c>
      <c r="E83" s="17">
        <f>SQRT(BulgeMass*GravitationalConstant/RadiusKm+UniverseAcceleration*RadiusKm)/1000</f>
        <v>219.45983137921937</v>
      </c>
      <c r="H83" s="16"/>
    </row>
    <row r="84" spans="1:8" x14ac:dyDescent="0.25">
      <c r="A84" s="17">
        <f t="shared" si="3"/>
        <v>30.499999999999957</v>
      </c>
      <c r="B84" s="15">
        <f t="shared" si="2"/>
        <v>9.4113166189999869E+20</v>
      </c>
      <c r="C84" s="15">
        <f>IF(RadiusKpc&lt;CoreRadius,Density*4/3*PI()*RadiusKm^3,CoreMass*SolarMass)</f>
        <v>1.9890999999999998E+41</v>
      </c>
      <c r="D84" s="17">
        <f>SQRT(BulgeMass*GravitationalConstant/RadiusKm)/1000</f>
        <v>118.7678297232433</v>
      </c>
      <c r="E84" s="17">
        <f>SQRT(BulgeMass*GravitationalConstant/RadiusKm+UniverseAcceleration*RadiusKm)/1000</f>
        <v>220.05739341817838</v>
      </c>
      <c r="H84" s="16"/>
    </row>
    <row r="85" spans="1:8" x14ac:dyDescent="0.25">
      <c r="A85" s="17">
        <f t="shared" si="3"/>
        <v>30.899999999999956</v>
      </c>
      <c r="B85" s="15">
        <f t="shared" si="2"/>
        <v>9.534743722199987E+20</v>
      </c>
      <c r="C85" s="15">
        <f>IF(RadiusKpc&lt;CoreRadius,Density*4/3*PI()*RadiusKm^3,CoreMass*SolarMass)</f>
        <v>1.9890999999999998E+41</v>
      </c>
      <c r="D85" s="17">
        <f>SQRT(BulgeMass*GravitationalConstant/RadiusKm)/1000</f>
        <v>117.99660189332151</v>
      </c>
      <c r="E85" s="17">
        <f>SQRT(BulgeMass*GravitationalConstant/RadiusKm+UniverseAcceleration*RadiusKm)/1000</f>
        <v>220.66433410284412</v>
      </c>
      <c r="H85" s="16"/>
    </row>
    <row r="86" spans="1:8" x14ac:dyDescent="0.25">
      <c r="A86" s="17">
        <f t="shared" si="3"/>
        <v>31.299999999999955</v>
      </c>
      <c r="B86" s="15">
        <f t="shared" si="2"/>
        <v>9.6581708253999858E+20</v>
      </c>
      <c r="C86" s="15">
        <f>IF(RadiusKpc&lt;CoreRadius,Density*4/3*PI()*RadiusKm^3,CoreMass*SolarMass)</f>
        <v>1.9890999999999998E+41</v>
      </c>
      <c r="D86" s="17">
        <f>SQRT(BulgeMass*GravitationalConstant/RadiusKm)/1000</f>
        <v>117.24020562423776</v>
      </c>
      <c r="E86" s="17">
        <f>SQRT(BulgeMass*GravitationalConstant/RadiusKm+UniverseAcceleration*RadiusKm)/1000</f>
        <v>221.28015583721279</v>
      </c>
      <c r="H86" s="16"/>
    </row>
    <row r="87" spans="1:8" x14ac:dyDescent="0.25">
      <c r="A87" s="17">
        <f t="shared" si="3"/>
        <v>31.699999999999953</v>
      </c>
      <c r="B87" s="15">
        <f t="shared" si="2"/>
        <v>9.7815979285999858E+20</v>
      </c>
      <c r="C87" s="15">
        <f>IF(RadiusKpc&lt;CoreRadius,Density*4/3*PI()*RadiusKm^3,CoreMass*SolarMass)</f>
        <v>1.9890999999999998E+41</v>
      </c>
      <c r="D87" s="17">
        <f>SQRT(BulgeMass*GravitationalConstant/RadiusKm)/1000</f>
        <v>116.49817155165567</v>
      </c>
      <c r="E87" s="17">
        <f>SQRT(BulgeMass*GravitationalConstant/RadiusKm+UniverseAcceleration*RadiusKm)/1000</f>
        <v>221.90438660209853</v>
      </c>
      <c r="H87" s="16"/>
    </row>
    <row r="88" spans="1:8" x14ac:dyDescent="0.25">
      <c r="A88" s="17">
        <f t="shared" si="3"/>
        <v>32.099999999999952</v>
      </c>
      <c r="B88" s="15">
        <f t="shared" si="2"/>
        <v>9.9050250317999846E+20</v>
      </c>
      <c r="C88" s="15">
        <f>IF(RadiusKpc&lt;CoreRadius,Density*4/3*PI()*RadiusKm^3,CoreMass*SolarMass)</f>
        <v>1.9890999999999998E+41</v>
      </c>
      <c r="D88" s="17">
        <f>SQRT(BulgeMass*GravitationalConstant/RadiusKm)/1000</f>
        <v>115.77005084654384</v>
      </c>
      <c r="E88" s="17">
        <f>SQRT(BulgeMass*GravitationalConstant/RadiusKm+UniverseAcceleration*RadiusKm)/1000</f>
        <v>222.53657847022129</v>
      </c>
      <c r="H88" s="16"/>
    </row>
    <row r="89" spans="1:8" x14ac:dyDescent="0.25">
      <c r="A89" s="17">
        <f t="shared" si="3"/>
        <v>32.49999999999995</v>
      </c>
      <c r="B89" s="15">
        <f t="shared" si="2"/>
        <v>1.0028452134999985E+21</v>
      </c>
      <c r="C89" s="15">
        <f>IF(RadiusKpc&lt;CoreRadius,Density*4/3*PI()*RadiusKm^3,CoreMass*SolarMass)</f>
        <v>1.9890999999999998E+41</v>
      </c>
      <c r="D89" s="17">
        <f>SQRT(BulgeMass*GravitationalConstant/RadiusKm)/1000</f>
        <v>115.05541407428444</v>
      </c>
      <c r="E89" s="17">
        <f>SQRT(BulgeMass*GravitationalConstant/RadiusKm+UniverseAcceleration*RadiusKm)/1000</f>
        <v>223.17630621970974</v>
      </c>
      <c r="H89" s="16"/>
    </row>
    <row r="90" spans="1:8" x14ac:dyDescent="0.25">
      <c r="A90" s="17">
        <f t="shared" si="3"/>
        <v>32.899999999999949</v>
      </c>
      <c r="B90" s="15">
        <f t="shared" si="2"/>
        <v>1.0151879238199985E+21</v>
      </c>
      <c r="C90" s="15">
        <f>IF(RadiusKpc&lt;CoreRadius,Density*4/3*PI()*RadiusKm^3,CoreMass*SolarMass)</f>
        <v>1.9890999999999998E+41</v>
      </c>
      <c r="D90" s="17">
        <f>SQRT(BulgeMass*GravitationalConstant/RadiusKm)/1000</f>
        <v>114.35385013030846</v>
      </c>
      <c r="E90" s="17">
        <f>SQRT(BulgeMass*GravitationalConstant/RadiusKm+UniverseAcceleration*RadiusKm)/1000</f>
        <v>223.82316603859539</v>
      </c>
      <c r="H90" s="16"/>
    </row>
    <row r="91" spans="1:8" x14ac:dyDescent="0.25">
      <c r="A91" s="17">
        <f t="shared" si="3"/>
        <v>33.299999999999947</v>
      </c>
      <c r="B91" s="15">
        <f t="shared" si="2"/>
        <v>1.0275306341399984E+21</v>
      </c>
      <c r="C91" s="15">
        <f>IF(RadiusKpc&lt;CoreRadius,Density*4/3*PI()*RadiusKm^3,CoreMass*SolarMass)</f>
        <v>1.9890999999999998E+41</v>
      </c>
      <c r="D91" s="17">
        <f>SQRT(BulgeMass*GravitationalConstant/RadiusKm)/1000</f>
        <v>113.66496524626382</v>
      </c>
      <c r="E91" s="17">
        <f>SQRT(BulgeMass*GravitationalConstant/RadiusKm+UniverseAcceleration*RadiusKm)/1000</f>
        <v>224.47677431350655</v>
      </c>
      <c r="H91" s="16"/>
    </row>
    <row r="92" spans="1:8" x14ac:dyDescent="0.25">
      <c r="A92" s="17">
        <f t="shared" si="3"/>
        <v>33.699999999999946</v>
      </c>
      <c r="B92" s="15">
        <f t="shared" si="2"/>
        <v>1.0398733444599984E+21</v>
      </c>
      <c r="C92" s="15">
        <f>IF(RadiusKpc&lt;CoreRadius,Density*4/3*PI()*RadiusKm^3,CoreMass*SolarMass)</f>
        <v>1.9890999999999998E+41</v>
      </c>
      <c r="D92" s="17">
        <f>SQRT(BulgeMass*GravitationalConstant/RadiusKm)/1000</f>
        <v>112.98838206125838</v>
      </c>
      <c r="E92" s="17">
        <f>SQRT(BulgeMass*GravitationalConstant/RadiusKm+UniverseAcceleration*RadiusKm)/1000</f>
        <v>225.13676649634658</v>
      </c>
      <c r="H92" s="16"/>
    </row>
    <row r="93" spans="1:8" x14ac:dyDescent="0.25">
      <c r="A93" s="17">
        <f t="shared" si="3"/>
        <v>34.099999999999945</v>
      </c>
      <c r="B93" s="15">
        <f t="shared" si="2"/>
        <v>1.0522160547799982E+21</v>
      </c>
      <c r="C93" s="15">
        <f>IF(RadiusKpc&lt;CoreRadius,Density*4/3*PI()*RadiusKm^3,CoreMass*SolarMass)</f>
        <v>1.9890999999999998E+41</v>
      </c>
      <c r="D93" s="17">
        <f>SQRT(BulgeMass*GravitationalConstant/RadiusKm)/1000</f>
        <v>112.3237387532016</v>
      </c>
      <c r="E93" s="17">
        <f>SQRT(BulgeMass*GravitationalConstant/RadiusKm+UniverseAcceleration*RadiusKm)/1000</f>
        <v>225.80279604326003</v>
      </c>
      <c r="H93" s="16"/>
    </row>
    <row r="94" spans="1:8" x14ac:dyDescent="0.25">
      <c r="A94" s="17">
        <f t="shared" si="3"/>
        <v>34.499999999999943</v>
      </c>
      <c r="B94" s="15">
        <f t="shared" si="2"/>
        <v>1.0645587650999982E+21</v>
      </c>
      <c r="C94" s="15">
        <f>IF(RadiusKpc&lt;CoreRadius,Density*4/3*PI()*RadiusKm^3,CoreMass*SolarMass)</f>
        <v>1.9890999999999998E+41</v>
      </c>
      <c r="D94" s="17">
        <f>SQRT(BulgeMass*GravitationalConstant/RadiusKm)/1000</f>
        <v>111.67068822570165</v>
      </c>
      <c r="E94" s="17">
        <f>SQRT(BulgeMass*GravitationalConstant/RadiusKm+UniverseAcceleration*RadiusKm)/1000</f>
        <v>226.47453342065958</v>
      </c>
      <c r="H94" s="16"/>
    </row>
    <row r="95" spans="1:8" x14ac:dyDescent="0.25">
      <c r="A95" s="17">
        <f t="shared" si="3"/>
        <v>34.899999999999942</v>
      </c>
      <c r="B95" s="15">
        <f t="shared" si="2"/>
        <v>1.0769014754199983E+21</v>
      </c>
      <c r="C95" s="15">
        <f>IF(RadiusKpc&lt;CoreRadius,Density*4/3*PI()*RadiusKm^3,CoreMass*SolarMass)</f>
        <v>1.9890999999999998E+41</v>
      </c>
      <c r="D95" s="17">
        <f>SQRT(BulgeMass*GravitationalConstant/RadiusKm)/1000</f>
        <v>111.02889734636774</v>
      </c>
      <c r="E95" s="17">
        <f>SQRT(BulgeMass*GravitationalConstant/RadiusKm+UniverseAcceleration*RadiusKm)/1000</f>
        <v>227.15166517351543</v>
      </c>
      <c r="H95" s="16"/>
    </row>
    <row r="96" spans="1:8" x14ac:dyDescent="0.25">
      <c r="A96" s="17">
        <f t="shared" si="3"/>
        <v>35.29999999999994</v>
      </c>
      <c r="B96" s="15">
        <f t="shared" si="2"/>
        <v>1.0892441857399981E+21</v>
      </c>
      <c r="C96" s="15">
        <f>IF(RadiusKpc&lt;CoreRadius,Density*4/3*PI()*RadiusKm^3,CoreMass*SolarMass)</f>
        <v>1.9890999999999998E+41</v>
      </c>
      <c r="D96" s="17">
        <f>SQRT(BulgeMass*GravitationalConstant/RadiusKm)/1000</f>
        <v>110.39804623272016</v>
      </c>
      <c r="E96" s="17">
        <f>SQRT(BulgeMass*GravitationalConstant/RadiusKm+UniverseAcceleration*RadiusKm)/1000</f>
        <v>227.83389305149356</v>
      </c>
      <c r="H96" s="16"/>
    </row>
    <row r="97" spans="1:19" x14ac:dyDescent="0.25">
      <c r="A97" s="17">
        <f t="shared" si="3"/>
        <v>35.699999999999939</v>
      </c>
      <c r="B97" s="15">
        <f t="shared" si="2"/>
        <v>1.1015868960599981E+21</v>
      </c>
      <c r="C97" s="15">
        <f>IF(RadiusKpc&lt;CoreRadius,Density*4/3*PI()*RadiusKm^3,CoreMass*SolarMass)</f>
        <v>1.9890999999999998E+41</v>
      </c>
      <c r="D97" s="17">
        <f>SQRT(BulgeMass*GravitationalConstant/RadiusKm)/1000</f>
        <v>109.77782758223114</v>
      </c>
      <c r="E97" s="17">
        <f>SQRT(BulgeMass*GravitationalConstant/RadiusKm+UniverseAcceleration*RadiusKm)/1000</f>
        <v>228.52093318888461</v>
      </c>
      <c r="H97" s="16"/>
    </row>
    <row r="98" spans="1:19" x14ac:dyDescent="0.25">
      <c r="A98" s="17">
        <f t="shared" si="3"/>
        <v>36.099999999999937</v>
      </c>
      <c r="B98" s="15">
        <f t="shared" si="2"/>
        <v>1.113929606379998E+21</v>
      </c>
      <c r="C98" s="15">
        <f>IF(RadiusKpc&lt;CoreRadius,Density*4/3*PI()*RadiusKm^3,CoreMass*SolarMass)</f>
        <v>1.9890999999999998E+41</v>
      </c>
      <c r="D98" s="17">
        <f>SQRT(BulgeMass*GravitationalConstant/RadiusKm)/1000</f>
        <v>109.16794604330889</v>
      </c>
      <c r="E98" s="17">
        <f>SQRT(BulgeMass*GravitationalConstant/RadiusKm+UniverseAcceleration*RadiusKm)/1000</f>
        <v>229.21251533458286</v>
      </c>
      <c r="H98" s="16"/>
    </row>
    <row r="99" spans="1:19" x14ac:dyDescent="0.25">
      <c r="A99" s="17">
        <f t="shared" si="3"/>
        <v>36.499999999999936</v>
      </c>
      <c r="B99" s="15">
        <f t="shared" si="2"/>
        <v>1.126272316699998E+21</v>
      </c>
      <c r="C99" s="15">
        <f>IF(RadiusKpc&lt;CoreRadius,Density*4/3*PI()*RadiusKm^3,CoreMass*SolarMass)</f>
        <v>1.9890999999999998E+41</v>
      </c>
      <c r="D99" s="17">
        <f>SQRT(BulgeMass*GravitationalConstant/RadiusKm)/1000</f>
        <v>108.56811762430051</v>
      </c>
      <c r="E99" s="17">
        <f>SQRT(BulgeMass*GravitationalConstant/RadiusKm+UniverseAcceleration*RadiusKm)/1000</f>
        <v>229.90838212866996</v>
      </c>
      <c r="H99" s="16"/>
    </row>
    <row r="100" spans="1:19" x14ac:dyDescent="0.25">
      <c r="A100" s="17">
        <f t="shared" si="3"/>
        <v>36.899999999999935</v>
      </c>
      <c r="B100" s="15">
        <f t="shared" si="2"/>
        <v>1.138615027019998E+21</v>
      </c>
      <c r="C100" s="15">
        <f>IF(RadiusKpc&lt;CoreRadius,Density*4/3*PI()*RadiusKm^3,CoreMass*SolarMass)</f>
        <v>1.9890999999999998E+41</v>
      </c>
      <c r="D100" s="17">
        <f>SQRT(BulgeMass*GravitationalConstant/RadiusKm)/1000</f>
        <v>107.97806913782746</v>
      </c>
      <c r="E100" s="17">
        <f>SQRT(BulgeMass*GravitationalConstant/RadiusKm+UniverseAcceleration*RadiusKm)/1000</f>
        <v>230.60828842242213</v>
      </c>
      <c r="H100" s="16"/>
    </row>
    <row r="101" spans="1:19" x14ac:dyDescent="0.25">
      <c r="A101" s="17">
        <f t="shared" si="3"/>
        <v>37.299999999999933</v>
      </c>
      <c r="B101" s="15">
        <f t="shared" si="2"/>
        <v>1.1509577373399979E+21</v>
      </c>
      <c r="C101" s="15">
        <f>IF(RadiusKpc&lt;CoreRadius,Density*4/3*PI()*RadiusKm^3,CoreMass*SolarMass)</f>
        <v>1.9890999999999998E+41</v>
      </c>
      <c r="D101" s="17">
        <f>SQRT(BulgeMass*GravitationalConstant/RadiusKm)/1000</f>
        <v>107.39753767798379</v>
      </c>
      <c r="E101" s="17">
        <f>SQRT(BulgeMass*GravitationalConstant/RadiusKm+UniverseAcceleration*RadiusKm)/1000</f>
        <v>231.31200063880499</v>
      </c>
      <c r="H101" s="16"/>
    </row>
    <row r="102" spans="1:19" x14ac:dyDescent="0.25">
      <c r="A102" s="17">
        <f t="shared" si="3"/>
        <v>37.699999999999932</v>
      </c>
      <c r="B102" s="15">
        <f t="shared" si="2"/>
        <v>1.1633004476599979E+21</v>
      </c>
      <c r="C102" s="15">
        <f>IF(RadiusKpc&lt;CoreRadius,Density*4/3*PI()*RadiusKm^3,CoreMass*SolarMass)</f>
        <v>1.9890999999999998E+41</v>
      </c>
      <c r="D102" s="17">
        <f>SQRT(BulgeMass*GravitationalConstant/RadiusKm)/1000</f>
        <v>106.82627012812493</v>
      </c>
      <c r="E102" s="17">
        <f>SQRT(BulgeMass*GravitationalConstant/RadiusKm+UniverseAcceleration*RadiusKm)/1000</f>
        <v>232.01929617074242</v>
      </c>
      <c r="H102" s="16"/>
    </row>
    <row r="103" spans="1:19" x14ac:dyDescent="0.25">
      <c r="A103" s="17">
        <f t="shared" si="3"/>
        <v>38.09999999999993</v>
      </c>
      <c r="B103" s="15">
        <f t="shared" si="2"/>
        <v>1.1756431579799978E+21</v>
      </c>
      <c r="C103" s="15">
        <f>IF(RadiusKpc&lt;CoreRadius,Density*4/3*PI()*RadiusKm^3,CoreMass*SolarMass)</f>
        <v>1.9890999999999998E+41</v>
      </c>
      <c r="D103" s="17">
        <f>SQRT(BulgeMass*GravitationalConstant/RadiusKm)/1000</f>
        <v>106.26402269715379</v>
      </c>
      <c r="E103" s="17">
        <f>SQRT(BulgeMass*GravitationalConstant/RadiusKm+UniverseAcceleration*RadiusKm)/1000</f>
        <v>232.72996281464873</v>
      </c>
      <c r="H103" s="16"/>
    </row>
    <row r="104" spans="1:19" x14ac:dyDescent="0.25">
      <c r="A104" s="17">
        <f t="shared" si="3"/>
        <v>38.499999999999929</v>
      </c>
      <c r="B104" s="15">
        <f t="shared" si="2"/>
        <v>1.1879858682999978E+21</v>
      </c>
      <c r="C104" s="15">
        <f>IF(RadiusKpc&lt;CoreRadius,Density*4/3*PI()*RadiusKm^3,CoreMass*SolarMass)</f>
        <v>1.9890999999999998E+41</v>
      </c>
      <c r="D104" s="17">
        <f>SQRT(BulgeMass*GravitationalConstant/RadiusKm)/1000</f>
        <v>105.71056048237458</v>
      </c>
      <c r="E104" s="17">
        <f>SQRT(BulgeMass*GravitationalConstant/RadiusKm+UniverseAcceleration*RadiusKm)/1000</f>
        <v>233.44379823690184</v>
      </c>
      <c r="H104" s="16"/>
    </row>
    <row r="105" spans="1:19" x14ac:dyDescent="0.25">
      <c r="A105" s="17">
        <f t="shared" si="3"/>
        <v>38.899999999999928</v>
      </c>
      <c r="B105" s="15">
        <f t="shared" si="2"/>
        <v>1.2003285786199977E+21</v>
      </c>
      <c r="C105" s="15">
        <f>IF(RadiusKpc&lt;CoreRadius,Density*4/3*PI()*RadiusKm^3,CoreMass*SolarMass)</f>
        <v>1.9890999999999998E+41</v>
      </c>
      <c r="D105" s="17">
        <f>SQRT(BulgeMass*GravitationalConstant/RadiusKm)/1000</f>
        <v>105.16565705713401</v>
      </c>
      <c r="E105" s="17">
        <f>SQRT(BulgeMass*GravitationalConstant/RadiusKm+UniverseAcceleration*RadiusKm)/1000</f>
        <v>234.16060947110486</v>
      </c>
      <c r="H105" s="16"/>
    </row>
    <row r="106" spans="1:19" x14ac:dyDescent="0.25">
      <c r="H106" s="16"/>
      <c r="R106" s="42"/>
      <c r="S106" s="42"/>
    </row>
    <row r="107" spans="1:19" x14ac:dyDescent="0.25">
      <c r="H107" s="16"/>
      <c r="R107" s="42"/>
      <c r="S107" s="42"/>
    </row>
    <row r="108" spans="1:19" ht="21" x14ac:dyDescent="0.35">
      <c r="A108" s="78" t="s">
        <v>553</v>
      </c>
      <c r="H108" s="16"/>
      <c r="R108" s="42"/>
      <c r="S108" s="42"/>
    </row>
    <row r="109" spans="1:19" x14ac:dyDescent="0.25">
      <c r="A109" s="17" t="s">
        <v>22</v>
      </c>
      <c r="B109" s="16">
        <v>1.3</v>
      </c>
      <c r="C109" s="17">
        <f>$B$109*1000</f>
        <v>1300</v>
      </c>
      <c r="G109" s="15"/>
      <c r="H109" s="17"/>
      <c r="I109" s="42"/>
      <c r="R109" s="42"/>
      <c r="S109" s="42"/>
    </row>
    <row r="110" spans="1:19" x14ac:dyDescent="0.25">
      <c r="A110" s="17" t="s">
        <v>16</v>
      </c>
      <c r="B110" s="16">
        <v>3.36</v>
      </c>
      <c r="C110" s="15">
        <f>B110*10000000000*SolarMass</f>
        <v>6.6833759999999992E+40</v>
      </c>
      <c r="G110" s="15"/>
      <c r="H110" s="17"/>
      <c r="I110" s="42"/>
      <c r="R110" s="42"/>
      <c r="S110" s="42"/>
    </row>
    <row r="111" spans="1:19" x14ac:dyDescent="0.25">
      <c r="A111" s="17" t="s">
        <v>556</v>
      </c>
      <c r="B111" s="16">
        <v>4.3</v>
      </c>
      <c r="C111" s="15">
        <f>B111*1000</f>
        <v>4300</v>
      </c>
      <c r="G111" s="15"/>
      <c r="H111" s="17"/>
      <c r="I111" s="42"/>
    </row>
    <row r="112" spans="1:19" x14ac:dyDescent="0.25">
      <c r="A112" s="17" t="s">
        <v>17</v>
      </c>
      <c r="B112" s="16">
        <v>7.7</v>
      </c>
      <c r="G112" s="15"/>
      <c r="H112" s="17"/>
      <c r="I112" s="42"/>
    </row>
    <row r="113" spans="1:25" x14ac:dyDescent="0.25">
      <c r="A113" s="17" t="s">
        <v>557</v>
      </c>
      <c r="B113" s="16">
        <v>30.5</v>
      </c>
      <c r="C113" s="17">
        <f>B113*1000</f>
        <v>30500</v>
      </c>
      <c r="G113" s="15"/>
      <c r="H113" s="17"/>
      <c r="I113" s="42"/>
    </row>
    <row r="114" spans="1:25" x14ac:dyDescent="0.25">
      <c r="A114" s="17" t="s">
        <v>558</v>
      </c>
      <c r="B114" s="16">
        <v>27.9</v>
      </c>
      <c r="G114" s="15"/>
      <c r="H114" s="17"/>
      <c r="I114" s="42"/>
    </row>
    <row r="115" spans="1:25" x14ac:dyDescent="0.25">
      <c r="B115" s="12"/>
      <c r="G115" s="15"/>
      <c r="H115" s="17"/>
      <c r="I115" s="42"/>
    </row>
    <row r="116" spans="1:25" x14ac:dyDescent="0.25">
      <c r="A116" s="17" t="s">
        <v>555</v>
      </c>
      <c r="B116" s="17">
        <f>(B112*10000000000)/(2*PI()*DiskScaleLengthPc^2)</f>
        <v>662.78694527181938</v>
      </c>
      <c r="G116" s="15"/>
      <c r="H116" s="17"/>
      <c r="I116" s="42"/>
    </row>
    <row r="117" spans="1:25" x14ac:dyDescent="0.25">
      <c r="A117" s="17" t="s">
        <v>554</v>
      </c>
      <c r="B117" s="9">
        <f>(B114*10000000000)/(4*PI()*(LCDMHaloScaleLengthPc)^3*(LN(2)-1/2))</f>
        <v>4.0514123556774882E-3</v>
      </c>
      <c r="G117" s="15"/>
      <c r="H117" s="17"/>
      <c r="I117" s="42"/>
    </row>
    <row r="118" spans="1:25" x14ac:dyDescent="0.25">
      <c r="G118" s="15"/>
      <c r="H118" s="17"/>
      <c r="I118" s="42"/>
    </row>
    <row r="119" spans="1:25" ht="45" x14ac:dyDescent="0.25">
      <c r="A119" s="5" t="s">
        <v>19</v>
      </c>
      <c r="B119" s="4" t="s">
        <v>587</v>
      </c>
      <c r="C119" s="4" t="s">
        <v>20</v>
      </c>
      <c r="D119" s="5" t="s">
        <v>21</v>
      </c>
      <c r="E119" s="5" t="s">
        <v>586</v>
      </c>
      <c r="F119" s="7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7"/>
      <c r="S119" s="7"/>
      <c r="T119" s="3"/>
      <c r="U119" s="3"/>
      <c r="V119" s="3"/>
      <c r="W119" s="3"/>
      <c r="X119" s="3"/>
      <c r="Y119" s="3"/>
    </row>
    <row r="120" spans="1:25" x14ac:dyDescent="0.25">
      <c r="A120" s="17">
        <v>1.1399999999999999</v>
      </c>
      <c r="B120" s="15">
        <f>A120*kpc</f>
        <v>3.5176724411999998E+19</v>
      </c>
      <c r="C120" s="15" t="e">
        <f ca="1">FORECAST(#REF!, OFFSET(#REF!, MATCH(#REF!,#REF!, 1)-1,0,2), OFFSET(#REF!, MATCH(#REF!,#REF!, 1)-1,0,2))*LCDMTotalBulgeMass</f>
        <v>#REF!</v>
      </c>
      <c r="D120" s="17" t="e">
        <f t="shared" ref="D120:D183" ca="1" si="4">_xlfn.SINGLE(BulgeMass)+_xlfn.SINGLE(DiskMass)+_xlfn.SINGLE(HaloMass)</f>
        <v>#REF!</v>
      </c>
      <c r="E120" s="17">
        <v>336.2</v>
      </c>
      <c r="H120" s="16"/>
      <c r="I120" s="42"/>
    </row>
    <row r="121" spans="1:25" x14ac:dyDescent="0.25">
      <c r="A121" s="17">
        <v>1.52</v>
      </c>
      <c r="B121" s="15">
        <f t="shared" ref="B121:B184" si="5">A121*kpc</f>
        <v>4.6902299216E+19</v>
      </c>
      <c r="C121" s="15" t="e">
        <f ca="1">FORECAST(#REF!, OFFSET(#REF!, MATCH(#REF!,#REF!, 1)-1,0,2), OFFSET(#REF!, MATCH(#REF!,#REF!, 1)-1,0,2))*LCDMTotalBulgeMass</f>
        <v>#REF!</v>
      </c>
      <c r="D121" s="17" t="e">
        <f t="shared" ca="1" si="4"/>
        <v>#REF!</v>
      </c>
      <c r="E121" s="17">
        <v>324.60000000000002</v>
      </c>
      <c r="H121" s="16"/>
      <c r="I121" s="42"/>
    </row>
    <row r="122" spans="1:25" x14ac:dyDescent="0.25">
      <c r="A122" s="17">
        <v>1.9</v>
      </c>
      <c r="B122" s="15">
        <f t="shared" si="5"/>
        <v>5.8627874019999998E+19</v>
      </c>
      <c r="C122" s="15" t="e">
        <f ca="1">FORECAST(#REF!, OFFSET(#REF!, MATCH(#REF!,#REF!, 1)-1,0,2), OFFSET(#REF!, MATCH(#REF!,#REF!, 1)-1,0,2))*LCDMTotalBulgeMass</f>
        <v>#REF!</v>
      </c>
      <c r="D122" s="17" t="e">
        <f t="shared" ca="1" si="4"/>
        <v>#REF!</v>
      </c>
      <c r="E122" s="17">
        <v>339</v>
      </c>
      <c r="H122" s="16"/>
      <c r="I122" s="42"/>
    </row>
    <row r="123" spans="1:25" x14ac:dyDescent="0.25">
      <c r="A123" s="17">
        <v>2.2799999999999998</v>
      </c>
      <c r="B123" s="15">
        <f t="shared" si="5"/>
        <v>7.0353448823999996E+19</v>
      </c>
      <c r="C123" s="15" t="e">
        <f ca="1">FORECAST(#REF!, OFFSET(#REF!, MATCH(#REF!,#REF!, 1)-1,0,2), OFFSET(#REF!, MATCH(#REF!,#REF!, 1)-1,0,2))*LCDMTotalBulgeMass</f>
        <v>#REF!</v>
      </c>
      <c r="D123" s="17" t="e">
        <f t="shared" ca="1" si="4"/>
        <v>#REF!</v>
      </c>
      <c r="E123" s="17">
        <v>243.6</v>
      </c>
      <c r="H123" s="16"/>
      <c r="I123" s="42"/>
    </row>
    <row r="124" spans="1:25" x14ac:dyDescent="0.25">
      <c r="A124" s="17">
        <v>2.66</v>
      </c>
      <c r="B124" s="15">
        <f t="shared" si="5"/>
        <v>8.2079023628000002E+19</v>
      </c>
      <c r="C124" s="15" t="e">
        <f ca="1">FORECAST(#REF!, OFFSET(#REF!, MATCH(#REF!,#REF!, 1)-1,0,2), OFFSET(#REF!, MATCH(#REF!,#REF!, 1)-1,0,2))*LCDMTotalBulgeMass</f>
        <v>#REF!</v>
      </c>
      <c r="D124" s="17" t="e">
        <f t="shared" ca="1" si="4"/>
        <v>#REF!</v>
      </c>
      <c r="E124" s="17">
        <v>235.2</v>
      </c>
      <c r="H124" s="16"/>
      <c r="I124" s="42"/>
    </row>
    <row r="125" spans="1:25" x14ac:dyDescent="0.25">
      <c r="A125" s="17">
        <v>3.04</v>
      </c>
      <c r="B125" s="15">
        <f t="shared" si="5"/>
        <v>9.3804598432E+19</v>
      </c>
      <c r="C125" s="15" t="e">
        <f ca="1">FORECAST(#REF!, OFFSET(#REF!, MATCH(#REF!,#REF!, 1)-1,0,2), OFFSET(#REF!, MATCH(#REF!,#REF!, 1)-1,0,2))*LCDMTotalBulgeMass</f>
        <v>#REF!</v>
      </c>
      <c r="D125" s="17" t="e">
        <f t="shared" ca="1" si="4"/>
        <v>#REF!</v>
      </c>
      <c r="E125" s="17">
        <v>238.9</v>
      </c>
      <c r="H125" s="16"/>
      <c r="I125" s="42"/>
    </row>
    <row r="126" spans="1:25" x14ac:dyDescent="0.25">
      <c r="A126" s="17">
        <v>3.43</v>
      </c>
      <c r="B126" s="15">
        <f t="shared" si="5"/>
        <v>1.0583874099400001E+20</v>
      </c>
      <c r="C126" s="15" t="e">
        <f ca="1">FORECAST(#REF!, OFFSET(#REF!, MATCH(#REF!,#REF!, 1)-1,0,2), OFFSET(#REF!, MATCH(#REF!,#REF!, 1)-1,0,2))*LCDMTotalBulgeMass</f>
        <v>#REF!</v>
      </c>
      <c r="D126" s="17" t="e">
        <f t="shared" ca="1" si="4"/>
        <v>#REF!</v>
      </c>
      <c r="E126" s="17">
        <v>239.3</v>
      </c>
      <c r="H126" s="16"/>
      <c r="I126" s="42"/>
    </row>
    <row r="127" spans="1:25" x14ac:dyDescent="0.25">
      <c r="A127" s="17">
        <v>3.81</v>
      </c>
      <c r="B127" s="15">
        <f t="shared" si="5"/>
        <v>1.1756431579800001E+20</v>
      </c>
      <c r="C127" s="15" t="e">
        <f ca="1">FORECAST(#REF!, OFFSET(#REF!, MATCH(#REF!,#REF!, 1)-1,0,2), OFFSET(#REF!, MATCH(#REF!,#REF!, 1)-1,0,2))*LCDMTotalBulgeMass</f>
        <v>#REF!</v>
      </c>
      <c r="D127" s="17" t="e">
        <f t="shared" ca="1" si="4"/>
        <v>#REF!</v>
      </c>
      <c r="E127" s="17">
        <v>226.3</v>
      </c>
      <c r="H127" s="16"/>
      <c r="I127" s="42"/>
      <c r="R127" s="42"/>
      <c r="S127" s="42"/>
    </row>
    <row r="128" spans="1:25" x14ac:dyDescent="0.25">
      <c r="A128" s="17">
        <v>4.1900000000000004</v>
      </c>
      <c r="B128" s="15">
        <f t="shared" si="5"/>
        <v>1.2928989060200001E+20</v>
      </c>
      <c r="C128" s="15" t="e">
        <f ca="1">FORECAST(#REF!, OFFSET(#REF!, MATCH(#REF!,#REF!, 1)-1,0,2), OFFSET(#REF!, MATCH(#REF!,#REF!, 1)-1,0,2))*LCDMTotalBulgeMass</f>
        <v>#REF!</v>
      </c>
      <c r="D128" s="17" t="e">
        <f t="shared" ca="1" si="4"/>
        <v>#REF!</v>
      </c>
      <c r="E128" s="17">
        <v>202.6</v>
      </c>
      <c r="H128" s="16"/>
      <c r="I128" s="42"/>
      <c r="R128" s="42"/>
      <c r="S128" s="42"/>
    </row>
    <row r="129" spans="1:19" x14ac:dyDescent="0.25">
      <c r="A129" s="17">
        <v>4.57</v>
      </c>
      <c r="B129" s="15">
        <f t="shared" si="5"/>
        <v>1.4101546540600001E+20</v>
      </c>
      <c r="C129" s="15" t="e">
        <f ca="1">FORECAST(#REF!, OFFSET(#REF!, MATCH(#REF!,#REF!, 1)-1,0,2), OFFSET(#REF!, MATCH(#REF!,#REF!, 1)-1,0,2))*LCDMTotalBulgeMass</f>
        <v>#REF!</v>
      </c>
      <c r="D129" s="17" t="e">
        <f t="shared" ca="1" si="4"/>
        <v>#REF!</v>
      </c>
      <c r="E129" s="17">
        <v>207.3</v>
      </c>
      <c r="H129" s="16"/>
      <c r="I129" s="42"/>
      <c r="R129" s="42"/>
      <c r="S129" s="42"/>
    </row>
    <row r="130" spans="1:19" x14ac:dyDescent="0.25">
      <c r="A130" s="17">
        <v>4.95</v>
      </c>
      <c r="B130" s="15">
        <f t="shared" si="5"/>
        <v>1.5274104021000002E+20</v>
      </c>
      <c r="C130" s="15" t="e">
        <f ca="1">FORECAST(#REF!, OFFSET(#REF!, MATCH(#REF!,#REF!, 1)-1,0,2), OFFSET(#REF!, MATCH(#REF!,#REF!, 1)-1,0,2))*LCDMTotalBulgeMass</f>
        <v>#REF!</v>
      </c>
      <c r="D130" s="17" t="e">
        <f t="shared" ca="1" si="4"/>
        <v>#REF!</v>
      </c>
      <c r="E130" s="17">
        <v>202.5</v>
      </c>
      <c r="H130" s="16"/>
      <c r="I130" s="42"/>
      <c r="R130" s="42"/>
      <c r="S130" s="42"/>
    </row>
    <row r="131" spans="1:19" x14ac:dyDescent="0.25">
      <c r="A131" s="17">
        <v>5.33</v>
      </c>
      <c r="B131" s="15">
        <f t="shared" si="5"/>
        <v>1.64466615014E+20</v>
      </c>
      <c r="C131" s="15" t="e">
        <f ca="1">FORECAST(#REF!, OFFSET(#REF!, MATCH(#REF!,#REF!, 1)-1,0,2), OFFSET(#REF!, MATCH(#REF!,#REF!, 1)-1,0,2))*LCDMTotalBulgeMass</f>
        <v>#REF!</v>
      </c>
      <c r="D131" s="17" t="e">
        <f t="shared" ca="1" si="4"/>
        <v>#REF!</v>
      </c>
      <c r="E131" s="17">
        <v>208.9</v>
      </c>
      <c r="H131" s="16"/>
      <c r="I131" s="42"/>
      <c r="R131" s="42"/>
      <c r="S131" s="42"/>
    </row>
    <row r="132" spans="1:19" x14ac:dyDescent="0.25">
      <c r="A132" s="17">
        <v>5.71</v>
      </c>
      <c r="B132" s="15">
        <f t="shared" si="5"/>
        <v>1.7619218981799998E+20</v>
      </c>
      <c r="C132" s="15" t="e">
        <f ca="1">FORECAST(#REF!, OFFSET(#REF!, MATCH(#REF!,#REF!, 1)-1,0,2), OFFSET(#REF!, MATCH(#REF!,#REF!, 1)-1,0,2))*LCDMTotalBulgeMass</f>
        <v>#REF!</v>
      </c>
      <c r="D132" s="17" t="e">
        <f t="shared" ca="1" si="4"/>
        <v>#REF!</v>
      </c>
      <c r="E132" s="17">
        <v>221.6</v>
      </c>
      <c r="H132" s="16"/>
      <c r="I132" s="42"/>
      <c r="R132" s="42"/>
      <c r="S132" s="42"/>
    </row>
    <row r="133" spans="1:19" x14ac:dyDescent="0.25">
      <c r="A133" s="17">
        <v>6.09</v>
      </c>
      <c r="B133" s="15">
        <f t="shared" si="5"/>
        <v>1.87917764622E+20</v>
      </c>
      <c r="C133" s="15" t="e">
        <f ca="1">FORECAST(#REF!, OFFSET(#REF!, MATCH(#REF!,#REF!, 1)-1,0,2), OFFSET(#REF!, MATCH(#REF!,#REF!, 1)-1,0,2))*LCDMTotalBulgeMass</f>
        <v>#REF!</v>
      </c>
      <c r="D133" s="17" t="e">
        <f t="shared" ca="1" si="4"/>
        <v>#REF!</v>
      </c>
      <c r="E133" s="17">
        <v>232.2</v>
      </c>
      <c r="H133" s="16"/>
      <c r="I133" s="42"/>
      <c r="R133" s="42"/>
      <c r="S133" s="42"/>
    </row>
    <row r="134" spans="1:19" x14ac:dyDescent="0.25">
      <c r="A134" s="17">
        <v>6.47</v>
      </c>
      <c r="B134" s="15">
        <f t="shared" si="5"/>
        <v>1.9964333942599998E+20</v>
      </c>
      <c r="C134" s="15" t="e">
        <f ca="1">FORECAST(#REF!, OFFSET(#REF!, MATCH(#REF!,#REF!, 1)-1,0,2), OFFSET(#REF!, MATCH(#REF!,#REF!, 1)-1,0,2))*LCDMTotalBulgeMass</f>
        <v>#REF!</v>
      </c>
      <c r="D134" s="17" t="e">
        <f t="shared" ca="1" si="4"/>
        <v>#REF!</v>
      </c>
      <c r="E134" s="17">
        <v>237.6</v>
      </c>
      <c r="H134" s="16"/>
      <c r="I134" s="42"/>
      <c r="R134" s="42"/>
      <c r="S134" s="42"/>
    </row>
    <row r="135" spans="1:19" x14ac:dyDescent="0.25">
      <c r="A135" s="17">
        <v>6.85</v>
      </c>
      <c r="B135" s="15">
        <f t="shared" si="5"/>
        <v>2.1136891422999999E+20</v>
      </c>
      <c r="C135" s="15" t="e">
        <f ca="1">FORECAST(#REF!, OFFSET(#REF!, MATCH(#REF!,#REF!, 1)-1,0,2), OFFSET(#REF!, MATCH(#REF!,#REF!, 1)-1,0,2))*LCDMTotalBulgeMass</f>
        <v>#REF!</v>
      </c>
      <c r="D135" s="17" t="e">
        <f t="shared" ca="1" si="4"/>
        <v>#REF!</v>
      </c>
      <c r="E135" s="17">
        <v>239.8</v>
      </c>
      <c r="H135" s="16"/>
      <c r="I135" s="42"/>
      <c r="R135" s="42"/>
      <c r="S135" s="42"/>
    </row>
    <row r="136" spans="1:19" x14ac:dyDescent="0.25">
      <c r="A136" s="17">
        <v>7.23</v>
      </c>
      <c r="B136" s="15">
        <f t="shared" si="5"/>
        <v>2.2309448903400001E+20</v>
      </c>
      <c r="C136" s="15" t="e">
        <f ca="1">FORECAST(#REF!, OFFSET(#REF!, MATCH(#REF!,#REF!, 1)-1,0,2), OFFSET(#REF!, MATCH(#REF!,#REF!, 1)-1,0,2))*LCDMTotalBulgeMass</f>
        <v>#REF!</v>
      </c>
      <c r="D136" s="17" t="e">
        <f t="shared" ca="1" si="4"/>
        <v>#REF!</v>
      </c>
      <c r="E136" s="17">
        <v>235.6</v>
      </c>
      <c r="H136" s="16"/>
      <c r="I136" s="42"/>
      <c r="R136" s="42"/>
      <c r="S136" s="42"/>
    </row>
    <row r="137" spans="1:19" x14ac:dyDescent="0.25">
      <c r="A137" s="17">
        <v>7.61</v>
      </c>
      <c r="B137" s="15">
        <f t="shared" si="5"/>
        <v>2.3482006383800002E+20</v>
      </c>
      <c r="C137" s="15" t="e">
        <f ca="1">FORECAST(#REF!, OFFSET(#REF!, MATCH(#REF!,#REF!, 1)-1,0,2), OFFSET(#REF!, MATCH(#REF!,#REF!, 1)-1,0,2))*LCDMTotalBulgeMass</f>
        <v>#REF!</v>
      </c>
      <c r="D137" s="17" t="e">
        <f t="shared" ca="1" si="4"/>
        <v>#REF!</v>
      </c>
      <c r="E137" s="17">
        <v>241.7</v>
      </c>
      <c r="H137" s="16"/>
      <c r="I137" s="42"/>
      <c r="R137" s="42"/>
      <c r="S137" s="42"/>
    </row>
    <row r="138" spans="1:19" x14ac:dyDescent="0.25">
      <c r="A138" s="17">
        <v>7.99</v>
      </c>
      <c r="B138" s="15">
        <f t="shared" si="5"/>
        <v>2.46545638642E+20</v>
      </c>
      <c r="C138" s="15" t="e">
        <f ca="1">FORECAST(#REF!, OFFSET(#REF!, MATCH(#REF!,#REF!, 1)-1,0,2), OFFSET(#REF!, MATCH(#REF!,#REF!, 1)-1,0,2))*LCDMTotalBulgeMass</f>
        <v>#REF!</v>
      </c>
      <c r="D138" s="17" t="e">
        <f t="shared" ca="1" si="4"/>
        <v>#REF!</v>
      </c>
      <c r="E138" s="17">
        <v>244.3</v>
      </c>
      <c r="H138" s="16"/>
      <c r="I138" s="42"/>
      <c r="R138" s="42"/>
      <c r="S138" s="42"/>
    </row>
    <row r="139" spans="1:19" x14ac:dyDescent="0.25">
      <c r="A139" s="17">
        <v>8.3699999999999992</v>
      </c>
      <c r="B139" s="15">
        <f t="shared" si="5"/>
        <v>2.5827121344599998E+20</v>
      </c>
      <c r="C139" s="15" t="e">
        <f ca="1">FORECAST(#REF!, OFFSET(#REF!, MATCH(#REF!,#REF!, 1)-1,0,2), OFFSET(#REF!, MATCH(#REF!,#REF!, 1)-1,0,2))*LCDMTotalBulgeMass</f>
        <v>#REF!</v>
      </c>
      <c r="D139" s="17" t="e">
        <f t="shared" ca="1" si="4"/>
        <v>#REF!</v>
      </c>
      <c r="E139" s="17">
        <v>248.8</v>
      </c>
      <c r="H139" s="16"/>
      <c r="I139" s="42"/>
      <c r="R139" s="42"/>
      <c r="S139" s="42"/>
    </row>
    <row r="140" spans="1:19" x14ac:dyDescent="0.25">
      <c r="A140" s="17">
        <v>8.75</v>
      </c>
      <c r="B140" s="15">
        <f t="shared" si="5"/>
        <v>2.6999678825E+20</v>
      </c>
      <c r="C140" s="15" t="e">
        <f ca="1">FORECAST(#REF!, OFFSET(#REF!, MATCH(#REF!,#REF!, 1)-1,0,2), OFFSET(#REF!, MATCH(#REF!,#REF!, 1)-1,0,2))*LCDMTotalBulgeMass</f>
        <v>#REF!</v>
      </c>
      <c r="D140" s="17" t="e">
        <f t="shared" ca="1" si="4"/>
        <v>#REF!</v>
      </c>
      <c r="E140" s="17">
        <v>251.8</v>
      </c>
      <c r="H140" s="16"/>
      <c r="I140" s="42"/>
      <c r="R140" s="42"/>
      <c r="S140" s="42"/>
    </row>
    <row r="141" spans="1:19" x14ac:dyDescent="0.25">
      <c r="A141" s="17">
        <v>9.1300000000000008</v>
      </c>
      <c r="B141" s="15">
        <f t="shared" si="5"/>
        <v>2.8172236305400001E+20</v>
      </c>
      <c r="C141" s="15" t="e">
        <f ca="1">FORECAST(#REF!, OFFSET(#REF!, MATCH(#REF!,#REF!, 1)-1,0,2), OFFSET(#REF!, MATCH(#REF!,#REF!, 1)-1,0,2))*LCDMTotalBulgeMass</f>
        <v>#REF!</v>
      </c>
      <c r="D141" s="17" t="e">
        <f t="shared" ca="1" si="4"/>
        <v>#REF!</v>
      </c>
      <c r="E141" s="17">
        <v>253</v>
      </c>
      <c r="H141" s="16"/>
      <c r="I141" s="42"/>
      <c r="R141" s="42"/>
      <c r="S141" s="42"/>
    </row>
    <row r="142" spans="1:19" x14ac:dyDescent="0.25">
      <c r="A142" s="17">
        <v>9.51</v>
      </c>
      <c r="B142" s="15">
        <f t="shared" si="5"/>
        <v>2.9344793785799999E+20</v>
      </c>
      <c r="C142" s="15" t="e">
        <f ca="1">FORECAST(#REF!, OFFSET(#REF!, MATCH(#REF!,#REF!, 1)-1,0,2), OFFSET(#REF!, MATCH(#REF!,#REF!, 1)-1,0,2))*LCDMTotalBulgeMass</f>
        <v>#REF!</v>
      </c>
      <c r="D142" s="17" t="e">
        <f t="shared" ca="1" si="4"/>
        <v>#REF!</v>
      </c>
      <c r="E142" s="17">
        <v>258.8</v>
      </c>
      <c r="H142" s="16"/>
      <c r="I142" s="42"/>
      <c r="R142" s="42"/>
      <c r="S142" s="42"/>
    </row>
    <row r="143" spans="1:19" x14ac:dyDescent="0.25">
      <c r="A143" s="17">
        <v>9.9</v>
      </c>
      <c r="B143" s="15">
        <f t="shared" si="5"/>
        <v>3.0548208042000004E+20</v>
      </c>
      <c r="C143" s="15" t="e">
        <f ca="1">FORECAST(#REF!, OFFSET(#REF!, MATCH(#REF!,#REF!, 1)-1,0,2), OFFSET(#REF!, MATCH(#REF!,#REF!, 1)-1,0,2))*LCDMTotalBulgeMass</f>
        <v>#REF!</v>
      </c>
      <c r="D143" s="17" t="e">
        <f t="shared" ca="1" si="4"/>
        <v>#REF!</v>
      </c>
      <c r="E143" s="17">
        <v>259</v>
      </c>
      <c r="H143" s="16"/>
      <c r="I143" s="42"/>
      <c r="R143" s="42"/>
      <c r="S143" s="42"/>
    </row>
    <row r="144" spans="1:19" x14ac:dyDescent="0.25">
      <c r="A144" s="17">
        <v>10.28</v>
      </c>
      <c r="B144" s="15">
        <f t="shared" si="5"/>
        <v>3.1720765522399999E+20</v>
      </c>
      <c r="C144" s="15" t="e">
        <f ca="1">FORECAST(#REF!, OFFSET(#REF!, MATCH(#REF!,#REF!, 1)-1,0,2), OFFSET(#REF!, MATCH(#REF!,#REF!, 1)-1,0,2))*LCDMTotalBulgeMass</f>
        <v>#REF!</v>
      </c>
      <c r="D144" s="17" t="e">
        <f t="shared" ca="1" si="4"/>
        <v>#REF!</v>
      </c>
      <c r="E144" s="17">
        <v>262.2</v>
      </c>
      <c r="H144" s="16"/>
      <c r="I144" s="42"/>
      <c r="R144" s="42"/>
      <c r="S144" s="42"/>
    </row>
    <row r="145" spans="1:19" x14ac:dyDescent="0.25">
      <c r="A145" s="17">
        <v>10.66</v>
      </c>
      <c r="B145" s="15">
        <f t="shared" si="5"/>
        <v>3.28933230028E+20</v>
      </c>
      <c r="C145" s="15" t="e">
        <f ca="1">FORECAST(#REF!, OFFSET(#REF!, MATCH(#REF!,#REF!, 1)-1,0,2), OFFSET(#REF!, MATCH(#REF!,#REF!, 1)-1,0,2))*LCDMTotalBulgeMass</f>
        <v>#REF!</v>
      </c>
      <c r="D145" s="17" t="e">
        <f t="shared" ca="1" si="4"/>
        <v>#REF!</v>
      </c>
      <c r="E145" s="17">
        <v>266.8</v>
      </c>
      <c r="H145" s="16"/>
      <c r="I145" s="42"/>
      <c r="R145" s="42"/>
      <c r="S145" s="42"/>
    </row>
    <row r="146" spans="1:19" x14ac:dyDescent="0.25">
      <c r="A146" s="17">
        <v>11.04</v>
      </c>
      <c r="B146" s="15">
        <f t="shared" si="5"/>
        <v>3.4065880483199995E+20</v>
      </c>
      <c r="C146" s="15" t="e">
        <f ca="1">FORECAST(#REF!, OFFSET(#REF!, MATCH(#REF!,#REF!, 1)-1,0,2), OFFSET(#REF!, MATCH(#REF!,#REF!, 1)-1,0,2))*LCDMTotalBulgeMass</f>
        <v>#REF!</v>
      </c>
      <c r="D146" s="17" t="e">
        <f t="shared" ca="1" si="4"/>
        <v>#REF!</v>
      </c>
      <c r="E146" s="17">
        <v>266.8</v>
      </c>
      <c r="H146" s="16"/>
      <c r="I146" s="42"/>
      <c r="R146" s="42"/>
      <c r="S146" s="42"/>
    </row>
    <row r="147" spans="1:19" x14ac:dyDescent="0.25">
      <c r="A147" s="17">
        <v>11.42</v>
      </c>
      <c r="B147" s="15">
        <f t="shared" si="5"/>
        <v>3.5238437963599997E+20</v>
      </c>
      <c r="C147" s="15" t="e">
        <f ca="1">FORECAST(#REF!, OFFSET(#REF!, MATCH(#REF!,#REF!, 1)-1,0,2), OFFSET(#REF!, MATCH(#REF!,#REF!, 1)-1,0,2))*LCDMTotalBulgeMass</f>
        <v>#REF!</v>
      </c>
      <c r="D147" s="17" t="e">
        <f t="shared" ca="1" si="4"/>
        <v>#REF!</v>
      </c>
      <c r="E147" s="17">
        <v>265.89999999999998</v>
      </c>
      <c r="H147" s="16"/>
      <c r="I147" s="42"/>
      <c r="R147" s="42"/>
      <c r="S147" s="42"/>
    </row>
    <row r="148" spans="1:19" x14ac:dyDescent="0.25">
      <c r="A148" s="17">
        <v>11.8</v>
      </c>
      <c r="B148" s="15">
        <f t="shared" si="5"/>
        <v>3.6410995444000005E+20</v>
      </c>
      <c r="C148" s="15" t="e">
        <f ca="1">FORECAST(#REF!, OFFSET(#REF!, MATCH(#REF!,#REF!, 1)-1,0,2), OFFSET(#REF!, MATCH(#REF!,#REF!, 1)-1,0,2))*LCDMTotalBulgeMass</f>
        <v>#REF!</v>
      </c>
      <c r="D148" s="17" t="e">
        <f t="shared" ca="1" si="4"/>
        <v>#REF!</v>
      </c>
      <c r="E148" s="17">
        <v>264.39999999999998</v>
      </c>
      <c r="H148" s="16"/>
      <c r="I148" s="42"/>
      <c r="R148" s="42"/>
      <c r="S148" s="42"/>
    </row>
    <row r="149" spans="1:19" x14ac:dyDescent="0.25">
      <c r="A149" s="17">
        <v>12.18</v>
      </c>
      <c r="B149" s="15">
        <f t="shared" si="5"/>
        <v>3.7583552924399999E+20</v>
      </c>
      <c r="C149" s="15" t="e">
        <f ca="1">FORECAST(#REF!, OFFSET(#REF!, MATCH(#REF!,#REF!, 1)-1,0,2), OFFSET(#REF!, MATCH(#REF!,#REF!, 1)-1,0,2))*LCDMTotalBulgeMass</f>
        <v>#REF!</v>
      </c>
      <c r="D149" s="17" t="e">
        <f t="shared" ca="1" si="4"/>
        <v>#REF!</v>
      </c>
      <c r="E149" s="17">
        <v>264.7</v>
      </c>
      <c r="H149" s="16"/>
      <c r="I149" s="42"/>
      <c r="R149" s="42"/>
      <c r="S149" s="42"/>
    </row>
    <row r="150" spans="1:19" x14ac:dyDescent="0.25">
      <c r="A150" s="17">
        <v>12.56</v>
      </c>
      <c r="B150" s="15">
        <f t="shared" si="5"/>
        <v>3.8756110404800001E+20</v>
      </c>
      <c r="C150" s="15" t="e">
        <f ca="1">FORECAST(#REF!, OFFSET(#REF!, MATCH(#REF!,#REF!, 1)-1,0,2), OFFSET(#REF!, MATCH(#REF!,#REF!, 1)-1,0,2))*LCDMTotalBulgeMass</f>
        <v>#REF!</v>
      </c>
      <c r="D150" s="17" t="e">
        <f t="shared" ca="1" si="4"/>
        <v>#REF!</v>
      </c>
      <c r="E150" s="17">
        <v>265.3</v>
      </c>
      <c r="H150" s="16"/>
      <c r="I150" s="42"/>
      <c r="R150" s="42"/>
      <c r="S150" s="42"/>
    </row>
    <row r="151" spans="1:19" x14ac:dyDescent="0.25">
      <c r="A151" s="17">
        <v>12.94</v>
      </c>
      <c r="B151" s="15">
        <f t="shared" si="5"/>
        <v>3.9928667885199996E+20</v>
      </c>
      <c r="C151" s="15" t="e">
        <f ca="1">FORECAST(#REF!, OFFSET(#REF!, MATCH(#REF!,#REF!, 1)-1,0,2), OFFSET(#REF!, MATCH(#REF!,#REF!, 1)-1,0,2))*LCDMTotalBulgeMass</f>
        <v>#REF!</v>
      </c>
      <c r="D151" s="17" t="e">
        <f t="shared" ca="1" si="4"/>
        <v>#REF!</v>
      </c>
      <c r="E151" s="17">
        <v>265.2</v>
      </c>
      <c r="H151" s="16"/>
      <c r="I151" s="42"/>
      <c r="R151" s="42"/>
      <c r="S151" s="42"/>
    </row>
    <row r="152" spans="1:19" x14ac:dyDescent="0.25">
      <c r="A152" s="17">
        <v>13.32</v>
      </c>
      <c r="B152" s="15">
        <f t="shared" si="5"/>
        <v>4.1101225365600004E+20</v>
      </c>
      <c r="C152" s="15" t="e">
        <f ca="1">FORECAST(#REF!, OFFSET(#REF!, MATCH(#REF!,#REF!, 1)-1,0,2), OFFSET(#REF!, MATCH(#REF!,#REF!, 1)-1,0,2))*LCDMTotalBulgeMass</f>
        <v>#REF!</v>
      </c>
      <c r="D152" s="17" t="e">
        <f t="shared" ca="1" si="4"/>
        <v>#REF!</v>
      </c>
      <c r="E152" s="17">
        <v>262</v>
      </c>
      <c r="H152" s="16"/>
      <c r="I152" s="42"/>
      <c r="R152" s="42"/>
      <c r="S152" s="42"/>
    </row>
    <row r="153" spans="1:19" x14ac:dyDescent="0.25">
      <c r="A153" s="17">
        <v>13.7</v>
      </c>
      <c r="B153" s="15">
        <f t="shared" si="5"/>
        <v>4.2273782845999999E+20</v>
      </c>
      <c r="C153" s="15" t="e">
        <f ca="1">FORECAST(#REF!, OFFSET(#REF!, MATCH(#REF!,#REF!, 1)-1,0,2), OFFSET(#REF!, MATCH(#REF!,#REF!, 1)-1,0,2))*LCDMTotalBulgeMass</f>
        <v>#REF!</v>
      </c>
      <c r="D153" s="17" t="e">
        <f t="shared" ca="1" si="4"/>
        <v>#REF!</v>
      </c>
      <c r="E153" s="17">
        <v>260.8</v>
      </c>
      <c r="H153" s="16"/>
      <c r="I153" s="42"/>
      <c r="R153" s="42"/>
      <c r="S153" s="42"/>
    </row>
    <row r="154" spans="1:19" x14ac:dyDescent="0.25">
      <c r="A154" s="17">
        <v>14.08</v>
      </c>
      <c r="B154" s="15">
        <f t="shared" si="5"/>
        <v>4.34463403264E+20</v>
      </c>
      <c r="C154" s="15" t="e">
        <f ca="1">FORECAST(#REF!, OFFSET(#REF!, MATCH(#REF!,#REF!, 1)-1,0,2), OFFSET(#REF!, MATCH(#REF!,#REF!, 1)-1,0,2))*LCDMTotalBulgeMass</f>
        <v>#REF!</v>
      </c>
      <c r="D154" s="17" t="e">
        <f t="shared" ca="1" si="4"/>
        <v>#REF!</v>
      </c>
      <c r="E154" s="17">
        <v>259.2</v>
      </c>
      <c r="H154" s="16"/>
      <c r="I154" s="42"/>
      <c r="R154" s="42"/>
      <c r="S154" s="42"/>
    </row>
    <row r="155" spans="1:19" x14ac:dyDescent="0.25">
      <c r="A155" s="17">
        <v>14.46</v>
      </c>
      <c r="B155" s="15">
        <f t="shared" si="5"/>
        <v>4.4618897806800001E+20</v>
      </c>
      <c r="C155" s="15" t="e">
        <f ca="1">FORECAST(#REF!, OFFSET(#REF!, MATCH(#REF!,#REF!, 1)-1,0,2), OFFSET(#REF!, MATCH(#REF!,#REF!, 1)-1,0,2))*LCDMTotalBulgeMass</f>
        <v>#REF!</v>
      </c>
      <c r="D155" s="17" t="e">
        <f t="shared" ca="1" si="4"/>
        <v>#REF!</v>
      </c>
      <c r="E155" s="17">
        <v>258.10000000000002</v>
      </c>
      <c r="H155" s="16"/>
      <c r="I155" s="42"/>
      <c r="R155" s="42"/>
      <c r="S155" s="42"/>
    </row>
    <row r="156" spans="1:19" x14ac:dyDescent="0.25">
      <c r="A156" s="17">
        <v>14.84</v>
      </c>
      <c r="B156" s="15">
        <f t="shared" si="5"/>
        <v>4.5791455287199996E+20</v>
      </c>
      <c r="C156" s="15" t="e">
        <f ca="1">FORECAST(#REF!, OFFSET(#REF!, MATCH(#REF!,#REF!, 1)-1,0,2), OFFSET(#REF!, MATCH(#REF!,#REF!, 1)-1,0,2))*LCDMTotalBulgeMass</f>
        <v>#REF!</v>
      </c>
      <c r="D156" s="17" t="e">
        <f t="shared" ca="1" si="4"/>
        <v>#REF!</v>
      </c>
      <c r="E156" s="17">
        <v>258.39999999999998</v>
      </c>
      <c r="H156" s="16"/>
      <c r="I156" s="42"/>
      <c r="R156" s="42"/>
      <c r="S156" s="42"/>
    </row>
    <row r="157" spans="1:19" x14ac:dyDescent="0.25">
      <c r="A157" s="17">
        <v>15.23</v>
      </c>
      <c r="B157" s="15">
        <f t="shared" si="5"/>
        <v>4.6994869543400001E+20</v>
      </c>
      <c r="C157" s="15" t="e">
        <f ca="1">FORECAST(#REF!, OFFSET(#REF!, MATCH(#REF!,#REF!, 1)-1,0,2), OFFSET(#REF!, MATCH(#REF!,#REF!, 1)-1,0,2))*LCDMTotalBulgeMass</f>
        <v>#REF!</v>
      </c>
      <c r="D157" s="17" t="e">
        <f t="shared" ca="1" si="4"/>
        <v>#REF!</v>
      </c>
      <c r="E157" s="17">
        <v>259.2</v>
      </c>
      <c r="H157" s="16"/>
      <c r="I157" s="42"/>
      <c r="R157" s="42"/>
      <c r="S157" s="42"/>
    </row>
    <row r="158" spans="1:19" x14ac:dyDescent="0.25">
      <c r="A158" s="17">
        <v>15.61</v>
      </c>
      <c r="B158" s="15">
        <f t="shared" si="5"/>
        <v>4.8167427023799996E+20</v>
      </c>
      <c r="C158" s="15" t="e">
        <f ca="1">FORECAST(#REF!, OFFSET(#REF!, MATCH(#REF!,#REF!, 1)-1,0,2), OFFSET(#REF!, MATCH(#REF!,#REF!, 1)-1,0,2))*LCDMTotalBulgeMass</f>
        <v>#REF!</v>
      </c>
      <c r="D158" s="17" t="e">
        <f t="shared" ca="1" si="4"/>
        <v>#REF!</v>
      </c>
      <c r="E158" s="17">
        <v>262.7</v>
      </c>
      <c r="H158" s="16"/>
      <c r="I158" s="42"/>
      <c r="R158" s="42"/>
      <c r="S158" s="42"/>
    </row>
    <row r="159" spans="1:19" x14ac:dyDescent="0.25">
      <c r="A159" s="17">
        <v>15.99</v>
      </c>
      <c r="B159" s="15">
        <f t="shared" si="5"/>
        <v>4.9339984504200004E+20</v>
      </c>
      <c r="C159" s="15" t="e">
        <f ca="1">FORECAST(#REF!, OFFSET(#REF!, MATCH(#REF!,#REF!, 1)-1,0,2), OFFSET(#REF!, MATCH(#REF!,#REF!, 1)-1,0,2))*LCDMTotalBulgeMass</f>
        <v>#REF!</v>
      </c>
      <c r="D159" s="17" t="e">
        <f t="shared" ca="1" si="4"/>
        <v>#REF!</v>
      </c>
      <c r="E159" s="17">
        <v>266.10000000000002</v>
      </c>
      <c r="H159" s="16"/>
      <c r="I159" s="42"/>
      <c r="R159" s="42"/>
      <c r="S159" s="42"/>
    </row>
    <row r="160" spans="1:19" x14ac:dyDescent="0.25">
      <c r="A160" s="17">
        <v>16.37</v>
      </c>
      <c r="B160" s="15">
        <f t="shared" si="5"/>
        <v>5.0512541984600005E+20</v>
      </c>
      <c r="C160" s="15" t="e">
        <f ca="1">FORECAST(#REF!, OFFSET(#REF!, MATCH(#REF!,#REF!, 1)-1,0,2), OFFSET(#REF!, MATCH(#REF!,#REF!, 1)-1,0,2))*LCDMTotalBulgeMass</f>
        <v>#REF!</v>
      </c>
      <c r="D160" s="17" t="e">
        <f t="shared" ca="1" si="4"/>
        <v>#REF!</v>
      </c>
      <c r="E160" s="17">
        <v>270</v>
      </c>
      <c r="H160" s="16"/>
      <c r="I160" s="42"/>
      <c r="R160" s="42"/>
      <c r="S160" s="42"/>
    </row>
    <row r="161" spans="1:19" x14ac:dyDescent="0.25">
      <c r="A161" s="17">
        <v>16.75</v>
      </c>
      <c r="B161" s="15">
        <f t="shared" si="5"/>
        <v>5.1685099465E+20</v>
      </c>
      <c r="C161" s="15" t="e">
        <f ca="1">FORECAST(#REF!, OFFSET(#REF!, MATCH(#REF!,#REF!, 1)-1,0,2), OFFSET(#REF!, MATCH(#REF!,#REF!, 1)-1,0,2))*LCDMTotalBulgeMass</f>
        <v>#REF!</v>
      </c>
      <c r="D161" s="17" t="e">
        <f t="shared" ca="1" si="4"/>
        <v>#REF!</v>
      </c>
      <c r="E161" s="17">
        <v>269.8</v>
      </c>
      <c r="H161" s="16"/>
      <c r="I161" s="42"/>
      <c r="R161" s="42"/>
      <c r="S161" s="42"/>
    </row>
    <row r="162" spans="1:19" x14ac:dyDescent="0.25">
      <c r="A162" s="17">
        <v>17.13</v>
      </c>
      <c r="B162" s="15">
        <f t="shared" si="5"/>
        <v>5.2857656945399995E+20</v>
      </c>
      <c r="C162" s="15" t="e">
        <f ca="1">FORECAST(#REF!, OFFSET(#REF!, MATCH(#REF!,#REF!, 1)-1,0,2), OFFSET(#REF!, MATCH(#REF!,#REF!, 1)-1,0,2))*LCDMTotalBulgeMass</f>
        <v>#REF!</v>
      </c>
      <c r="D162" s="17" t="e">
        <f t="shared" ca="1" si="4"/>
        <v>#REF!</v>
      </c>
      <c r="E162" s="17">
        <v>269.10000000000002</v>
      </c>
      <c r="H162" s="16"/>
      <c r="I162" s="42"/>
      <c r="R162" s="42"/>
      <c r="S162" s="42"/>
    </row>
    <row r="163" spans="1:19" x14ac:dyDescent="0.25">
      <c r="A163" s="17">
        <v>17.510000000000002</v>
      </c>
      <c r="B163" s="15">
        <f t="shared" si="5"/>
        <v>5.4030214425800003E+20</v>
      </c>
      <c r="C163" s="15" t="e">
        <f ca="1">FORECAST(#REF!, OFFSET(#REF!, MATCH(#REF!,#REF!, 1)-1,0,2), OFFSET(#REF!, MATCH(#REF!,#REF!, 1)-1,0,2))*LCDMTotalBulgeMass</f>
        <v>#REF!</v>
      </c>
      <c r="D163" s="17" t="e">
        <f t="shared" ca="1" si="4"/>
        <v>#REF!</v>
      </c>
      <c r="E163" s="17">
        <v>268.5</v>
      </c>
      <c r="H163" s="16"/>
      <c r="I163" s="42"/>
      <c r="R163" s="42"/>
      <c r="S163" s="42"/>
    </row>
    <row r="164" spans="1:19" x14ac:dyDescent="0.25">
      <c r="A164" s="17">
        <v>17.89</v>
      </c>
      <c r="B164" s="15">
        <f t="shared" si="5"/>
        <v>5.5202771906200004E+20</v>
      </c>
      <c r="C164" s="15" t="e">
        <f ca="1">FORECAST(#REF!, OFFSET(#REF!, MATCH(#REF!,#REF!, 1)-1,0,2), OFFSET(#REF!, MATCH(#REF!,#REF!, 1)-1,0,2))*LCDMTotalBulgeMass</f>
        <v>#REF!</v>
      </c>
      <c r="D164" s="17" t="e">
        <f t="shared" ca="1" si="4"/>
        <v>#REF!</v>
      </c>
      <c r="E164" s="17">
        <v>263</v>
      </c>
      <c r="H164" s="16"/>
      <c r="I164" s="42"/>
      <c r="R164" s="42"/>
      <c r="S164" s="42"/>
    </row>
    <row r="165" spans="1:19" x14ac:dyDescent="0.25">
      <c r="A165" s="17">
        <v>18.27</v>
      </c>
      <c r="B165" s="15">
        <f t="shared" si="5"/>
        <v>5.6375329386599999E+20</v>
      </c>
      <c r="C165" s="15" t="e">
        <f ca="1">FORECAST(#REF!, OFFSET(#REF!, MATCH(#REF!,#REF!, 1)-1,0,2), OFFSET(#REF!, MATCH(#REF!,#REF!, 1)-1,0,2))*LCDMTotalBulgeMass</f>
        <v>#REF!</v>
      </c>
      <c r="D165" s="17" t="e">
        <f t="shared" ca="1" si="4"/>
        <v>#REF!</v>
      </c>
      <c r="E165" s="17">
        <v>257.10000000000002</v>
      </c>
      <c r="H165" s="16"/>
      <c r="I165" s="42"/>
      <c r="R165" s="42"/>
      <c r="S165" s="42"/>
    </row>
    <row r="166" spans="1:19" x14ac:dyDescent="0.25">
      <c r="A166" s="17">
        <v>18.649999999999999</v>
      </c>
      <c r="B166" s="15">
        <f t="shared" si="5"/>
        <v>5.7547886866999994E+20</v>
      </c>
      <c r="C166" s="15" t="e">
        <f ca="1">FORECAST(#REF!, OFFSET(#REF!, MATCH(#REF!,#REF!, 1)-1,0,2), OFFSET(#REF!, MATCH(#REF!,#REF!, 1)-1,0,2))*LCDMTotalBulgeMass</f>
        <v>#REF!</v>
      </c>
      <c r="D166" s="17" t="e">
        <f t="shared" ca="1" si="4"/>
        <v>#REF!</v>
      </c>
      <c r="E166" s="17">
        <v>254.1</v>
      </c>
      <c r="H166" s="16"/>
      <c r="I166" s="42"/>
      <c r="R166" s="42"/>
      <c r="S166" s="42"/>
    </row>
    <row r="167" spans="1:19" x14ac:dyDescent="0.25">
      <c r="A167" s="17">
        <v>19.03</v>
      </c>
      <c r="B167" s="15">
        <f t="shared" si="5"/>
        <v>5.8720444347400002E+20</v>
      </c>
      <c r="C167" s="15" t="e">
        <f ca="1">FORECAST(#REF!, OFFSET(#REF!, MATCH(#REF!,#REF!, 1)-1,0,2), OFFSET(#REF!, MATCH(#REF!,#REF!, 1)-1,0,2))*LCDMTotalBulgeMass</f>
        <v>#REF!</v>
      </c>
      <c r="D167" s="17" t="e">
        <f t="shared" ca="1" si="4"/>
        <v>#REF!</v>
      </c>
      <c r="E167" s="17">
        <v>251.9</v>
      </c>
      <c r="H167" s="16"/>
      <c r="I167" s="42"/>
      <c r="R167" s="42"/>
      <c r="S167" s="42"/>
    </row>
    <row r="168" spans="1:19" x14ac:dyDescent="0.25">
      <c r="A168" s="17">
        <v>19.41</v>
      </c>
      <c r="B168" s="15">
        <f t="shared" si="5"/>
        <v>5.9893001827800003E+20</v>
      </c>
      <c r="C168" s="15" t="e">
        <f ca="1">FORECAST(#REF!, OFFSET(#REF!, MATCH(#REF!,#REF!, 1)-1,0,2), OFFSET(#REF!, MATCH(#REF!,#REF!, 1)-1,0,2))*LCDMTotalBulgeMass</f>
        <v>#REF!</v>
      </c>
      <c r="D168" s="17" t="e">
        <f t="shared" ca="1" si="4"/>
        <v>#REF!</v>
      </c>
      <c r="E168" s="17">
        <v>249.5</v>
      </c>
      <c r="H168" s="16"/>
      <c r="I168" s="42"/>
      <c r="R168" s="42"/>
      <c r="S168" s="42"/>
    </row>
    <row r="169" spans="1:19" x14ac:dyDescent="0.25">
      <c r="A169" s="17">
        <v>19.79</v>
      </c>
      <c r="B169" s="15">
        <f t="shared" si="5"/>
        <v>6.1065559308199998E+20</v>
      </c>
      <c r="C169" s="15" t="e">
        <f ca="1">FORECAST(#REF!, OFFSET(#REF!, MATCH(#REF!,#REF!, 1)-1,0,2), OFFSET(#REF!, MATCH(#REF!,#REF!, 1)-1,0,2))*LCDMTotalBulgeMass</f>
        <v>#REF!</v>
      </c>
      <c r="D169" s="17" t="e">
        <f t="shared" ca="1" si="4"/>
        <v>#REF!</v>
      </c>
      <c r="E169" s="17">
        <v>245.7</v>
      </c>
      <c r="H169" s="16"/>
      <c r="I169" s="42"/>
      <c r="R169" s="42"/>
      <c r="S169" s="42"/>
    </row>
    <row r="170" spans="1:19" x14ac:dyDescent="0.25">
      <c r="A170" s="17">
        <v>20.18</v>
      </c>
      <c r="B170" s="15">
        <f t="shared" si="5"/>
        <v>6.2268973564400003E+20</v>
      </c>
      <c r="C170" s="15" t="e">
        <f ca="1">FORECAST(#REF!, OFFSET(#REF!, MATCH(#REF!,#REF!, 1)-1,0,2), OFFSET(#REF!, MATCH(#REF!,#REF!, 1)-1,0,2))*LCDMTotalBulgeMass</f>
        <v>#REF!</v>
      </c>
      <c r="D170" s="17" t="e">
        <f t="shared" ca="1" si="4"/>
        <v>#REF!</v>
      </c>
      <c r="E170" s="17">
        <v>243.7</v>
      </c>
      <c r="H170" s="16"/>
      <c r="I170" s="42"/>
      <c r="R170" s="42"/>
      <c r="S170" s="42"/>
    </row>
    <row r="171" spans="1:19" x14ac:dyDescent="0.25">
      <c r="A171" s="17">
        <v>20.56</v>
      </c>
      <c r="B171" s="15">
        <f t="shared" si="5"/>
        <v>6.3441531044799998E+20</v>
      </c>
      <c r="C171" s="15" t="e">
        <f ca="1">FORECAST(#REF!, OFFSET(#REF!, MATCH(#REF!,#REF!, 1)-1,0,2), OFFSET(#REF!, MATCH(#REF!,#REF!, 1)-1,0,2))*LCDMTotalBulgeMass</f>
        <v>#REF!</v>
      </c>
      <c r="D171" s="17" t="e">
        <f t="shared" ca="1" si="4"/>
        <v>#REF!</v>
      </c>
      <c r="E171" s="17">
        <v>245.9</v>
      </c>
      <c r="H171" s="16"/>
      <c r="I171" s="42"/>
      <c r="R171" s="42"/>
      <c r="S171" s="42"/>
    </row>
    <row r="172" spans="1:19" x14ac:dyDescent="0.25">
      <c r="A172" s="17">
        <v>20.94</v>
      </c>
      <c r="B172" s="15">
        <f t="shared" si="5"/>
        <v>6.4614088525200006E+20</v>
      </c>
      <c r="C172" s="15" t="e">
        <f ca="1">FORECAST(#REF!, OFFSET(#REF!, MATCH(#REF!,#REF!, 1)-1,0,2), OFFSET(#REF!, MATCH(#REF!,#REF!, 1)-1,0,2))*LCDMTotalBulgeMass</f>
        <v>#REF!</v>
      </c>
      <c r="D172" s="17" t="e">
        <f t="shared" ca="1" si="4"/>
        <v>#REF!</v>
      </c>
      <c r="E172" s="17">
        <v>242.3</v>
      </c>
      <c r="H172" s="16"/>
      <c r="I172" s="42"/>
      <c r="R172" s="42"/>
      <c r="S172" s="42"/>
    </row>
    <row r="173" spans="1:19" x14ac:dyDescent="0.25">
      <c r="A173" s="17">
        <v>21.32</v>
      </c>
      <c r="B173" s="15">
        <f t="shared" si="5"/>
        <v>6.57866460056E+20</v>
      </c>
      <c r="C173" s="15" t="e">
        <f ca="1">FORECAST(#REF!, OFFSET(#REF!, MATCH(#REF!,#REF!, 1)-1,0,2), OFFSET(#REF!, MATCH(#REF!,#REF!, 1)-1,0,2))*LCDMTotalBulgeMass</f>
        <v>#REF!</v>
      </c>
      <c r="D173" s="17" t="e">
        <f t="shared" ca="1" si="4"/>
        <v>#REF!</v>
      </c>
      <c r="E173" s="17">
        <v>239.2</v>
      </c>
      <c r="H173" s="16"/>
      <c r="I173" s="42"/>
      <c r="R173" s="42"/>
      <c r="S173" s="42"/>
    </row>
    <row r="174" spans="1:19" x14ac:dyDescent="0.25">
      <c r="A174" s="17">
        <v>21.7</v>
      </c>
      <c r="B174" s="15">
        <f t="shared" si="5"/>
        <v>6.6959203485999995E+20</v>
      </c>
      <c r="C174" s="15" t="e">
        <f ca="1">FORECAST(#REF!, OFFSET(#REF!, MATCH(#REF!,#REF!, 1)-1,0,2), OFFSET(#REF!, MATCH(#REF!,#REF!, 1)-1,0,2))*LCDMTotalBulgeMass</f>
        <v>#REF!</v>
      </c>
      <c r="D174" s="17" t="e">
        <f t="shared" ca="1" si="4"/>
        <v>#REF!</v>
      </c>
      <c r="E174" s="17">
        <v>239.5</v>
      </c>
      <c r="H174" s="16"/>
      <c r="I174" s="42"/>
      <c r="R174" s="42"/>
      <c r="S174" s="42"/>
    </row>
    <row r="175" spans="1:19" x14ac:dyDescent="0.25">
      <c r="A175" s="17">
        <v>22.08</v>
      </c>
      <c r="B175" s="15">
        <f t="shared" si="5"/>
        <v>6.813176096639999E+20</v>
      </c>
      <c r="C175" s="15" t="e">
        <f ca="1">FORECAST(#REF!, OFFSET(#REF!, MATCH(#REF!,#REF!, 1)-1,0,2), OFFSET(#REF!, MATCH(#REF!,#REF!, 1)-1,0,2))*LCDMTotalBulgeMass</f>
        <v>#REF!</v>
      </c>
      <c r="D175" s="17" t="e">
        <f t="shared" ca="1" si="4"/>
        <v>#REF!</v>
      </c>
      <c r="E175" s="17">
        <v>236.1</v>
      </c>
      <c r="H175" s="16"/>
      <c r="I175" s="42"/>
      <c r="R175" s="42"/>
      <c r="S175" s="42"/>
    </row>
    <row r="176" spans="1:19" x14ac:dyDescent="0.25">
      <c r="A176" s="17">
        <v>22.46</v>
      </c>
      <c r="B176" s="15">
        <f t="shared" si="5"/>
        <v>6.9304318446799998E+20</v>
      </c>
      <c r="C176" s="15" t="e">
        <f ca="1">FORECAST(#REF!, OFFSET(#REF!, MATCH(#REF!,#REF!, 1)-1,0,2), OFFSET(#REF!, MATCH(#REF!,#REF!, 1)-1,0,2))*LCDMTotalBulgeMass</f>
        <v>#REF!</v>
      </c>
      <c r="D176" s="17" t="e">
        <f t="shared" ca="1" si="4"/>
        <v>#REF!</v>
      </c>
      <c r="E176" s="17">
        <v>233.8</v>
      </c>
      <c r="H176" s="16"/>
      <c r="I176" s="42"/>
      <c r="R176" s="42"/>
      <c r="S176" s="42"/>
    </row>
    <row r="177" spans="1:19" x14ac:dyDescent="0.25">
      <c r="A177" s="17">
        <v>22.84</v>
      </c>
      <c r="B177" s="15">
        <f t="shared" si="5"/>
        <v>7.0476875927199993E+20</v>
      </c>
      <c r="C177" s="15" t="e">
        <f ca="1">FORECAST(#REF!, OFFSET(#REF!, MATCH(#REF!,#REF!, 1)-1,0,2), OFFSET(#REF!, MATCH(#REF!,#REF!, 1)-1,0,2))*LCDMTotalBulgeMass</f>
        <v>#REF!</v>
      </c>
      <c r="D177" s="17" t="e">
        <f t="shared" ca="1" si="4"/>
        <v>#REF!</v>
      </c>
      <c r="E177" s="17">
        <v>233.1</v>
      </c>
      <c r="H177" s="16"/>
      <c r="I177" s="42"/>
      <c r="R177" s="42"/>
      <c r="S177" s="42"/>
    </row>
    <row r="178" spans="1:19" x14ac:dyDescent="0.25">
      <c r="A178" s="17">
        <v>23.22</v>
      </c>
      <c r="B178" s="15">
        <f t="shared" si="5"/>
        <v>7.1649433407600001E+20</v>
      </c>
      <c r="C178" s="15" t="e">
        <f ca="1">FORECAST(#REF!, OFFSET(#REF!, MATCH(#REF!,#REF!, 1)-1,0,2), OFFSET(#REF!, MATCH(#REF!,#REF!, 1)-1,0,2))*LCDMTotalBulgeMass</f>
        <v>#REF!</v>
      </c>
      <c r="D178" s="17" t="e">
        <f t="shared" ca="1" si="4"/>
        <v>#REF!</v>
      </c>
      <c r="E178" s="17">
        <v>230.1</v>
      </c>
      <c r="H178" s="16"/>
      <c r="I178" s="42"/>
      <c r="R178" s="42"/>
      <c r="S178" s="42"/>
    </row>
    <row r="179" spans="1:19" x14ac:dyDescent="0.25">
      <c r="A179" s="17">
        <v>23.6</v>
      </c>
      <c r="B179" s="15">
        <f t="shared" si="5"/>
        <v>7.2821990888000009E+20</v>
      </c>
      <c r="C179" s="15" t="e">
        <f ca="1">FORECAST(#REF!, OFFSET(#REF!, MATCH(#REF!,#REF!, 1)-1,0,2), OFFSET(#REF!, MATCH(#REF!,#REF!, 1)-1,0,2))*LCDMTotalBulgeMass</f>
        <v>#REF!</v>
      </c>
      <c r="D179" s="17" t="e">
        <f t="shared" ca="1" si="4"/>
        <v>#REF!</v>
      </c>
      <c r="E179" s="17">
        <v>232.1</v>
      </c>
      <c r="H179" s="16"/>
      <c r="I179" s="42"/>
      <c r="R179" s="42"/>
      <c r="S179" s="42"/>
    </row>
    <row r="180" spans="1:19" x14ac:dyDescent="0.25">
      <c r="A180" s="17">
        <v>23.98</v>
      </c>
      <c r="B180" s="15">
        <f t="shared" si="5"/>
        <v>7.3994548368400004E+20</v>
      </c>
      <c r="C180" s="15" t="e">
        <f ca="1">FORECAST(#REF!, OFFSET(#REF!, MATCH(#REF!,#REF!, 1)-1,0,2), OFFSET(#REF!, MATCH(#REF!,#REF!, 1)-1,0,2))*LCDMTotalBulgeMass</f>
        <v>#REF!</v>
      </c>
      <c r="D180" s="17" t="e">
        <f t="shared" ca="1" si="4"/>
        <v>#REF!</v>
      </c>
      <c r="E180" s="17">
        <v>228.7</v>
      </c>
      <c r="H180" s="16"/>
      <c r="I180" s="42"/>
      <c r="R180" s="42"/>
      <c r="S180" s="42"/>
    </row>
    <row r="181" spans="1:19" x14ac:dyDescent="0.25">
      <c r="A181" s="17">
        <v>24.36</v>
      </c>
      <c r="B181" s="15">
        <f t="shared" si="5"/>
        <v>7.5167105848799999E+20</v>
      </c>
      <c r="C181" s="15" t="e">
        <f ca="1">FORECAST(#REF!, OFFSET(#REF!, MATCH(#REF!,#REF!, 1)-1,0,2), OFFSET(#REF!, MATCH(#REF!,#REF!, 1)-1,0,2))*LCDMTotalBulgeMass</f>
        <v>#REF!</v>
      </c>
      <c r="D181" s="17" t="e">
        <f t="shared" ca="1" si="4"/>
        <v>#REF!</v>
      </c>
      <c r="E181" s="17">
        <v>229.1</v>
      </c>
      <c r="H181" s="16"/>
      <c r="I181" s="42"/>
      <c r="R181" s="42"/>
      <c r="S181" s="42"/>
    </row>
    <row r="182" spans="1:19" x14ac:dyDescent="0.25">
      <c r="A182" s="17">
        <v>24.75</v>
      </c>
      <c r="B182" s="15">
        <f t="shared" si="5"/>
        <v>7.6370520105000003E+20</v>
      </c>
      <c r="C182" s="15" t="e">
        <f ca="1">FORECAST(#REF!, OFFSET(#REF!, MATCH(#REF!,#REF!, 1)-1,0,2), OFFSET(#REF!, MATCH(#REF!,#REF!, 1)-1,0,2))*LCDMTotalBulgeMass</f>
        <v>#REF!</v>
      </c>
      <c r="D182" s="17" t="e">
        <f t="shared" ca="1" si="4"/>
        <v>#REF!</v>
      </c>
      <c r="E182" s="17">
        <v>227.9</v>
      </c>
      <c r="H182" s="16"/>
      <c r="I182" s="42"/>
      <c r="R182" s="42"/>
      <c r="S182" s="42"/>
    </row>
    <row r="183" spans="1:19" x14ac:dyDescent="0.25">
      <c r="A183" s="17">
        <v>25.13</v>
      </c>
      <c r="B183" s="15">
        <f t="shared" si="5"/>
        <v>7.7543077585399998E+20</v>
      </c>
      <c r="C183" s="15" t="e">
        <f ca="1">FORECAST(#REF!, OFFSET(#REF!, MATCH(#REF!,#REF!, 1)-1,0,2), OFFSET(#REF!, MATCH(#REF!,#REF!, 1)-1,0,2))*LCDMTotalBulgeMass</f>
        <v>#REF!</v>
      </c>
      <c r="D183" s="17" t="e">
        <f t="shared" ca="1" si="4"/>
        <v>#REF!</v>
      </c>
      <c r="E183" s="17">
        <v>226.9</v>
      </c>
      <c r="H183" s="16"/>
      <c r="I183" s="42"/>
      <c r="R183" s="42"/>
      <c r="S183" s="42"/>
    </row>
    <row r="184" spans="1:19" x14ac:dyDescent="0.25">
      <c r="A184" s="17">
        <v>25.51</v>
      </c>
      <c r="B184" s="15">
        <f t="shared" si="5"/>
        <v>7.8715635065800006E+20</v>
      </c>
      <c r="C184" s="15" t="e">
        <f ca="1">FORECAST(#REF!, OFFSET(#REF!, MATCH(#REF!,#REF!, 1)-1,0,2), OFFSET(#REF!, MATCH(#REF!,#REF!, 1)-1,0,2))*LCDMTotalBulgeMass</f>
        <v>#REF!</v>
      </c>
      <c r="D184" s="17" t="e">
        <f t="shared" ref="D184:D217" ca="1" si="6">_xlfn.SINGLE(BulgeMass)+_xlfn.SINGLE(DiskMass)+_xlfn.SINGLE(HaloMass)</f>
        <v>#REF!</v>
      </c>
      <c r="E184" s="17">
        <v>225.1</v>
      </c>
      <c r="H184" s="16"/>
      <c r="I184" s="42"/>
      <c r="R184" s="42"/>
      <c r="S184" s="42"/>
    </row>
    <row r="185" spans="1:19" x14ac:dyDescent="0.25">
      <c r="A185" s="17">
        <v>25.89</v>
      </c>
      <c r="B185" s="15">
        <f t="shared" ref="B185:B217" si="7">A185*kpc</f>
        <v>7.9888192546200001E+20</v>
      </c>
      <c r="C185" s="15" t="e">
        <f ca="1">FORECAST(#REF!, OFFSET(#REF!, MATCH(#REF!,#REF!, 1)-1,0,2), OFFSET(#REF!, MATCH(#REF!,#REF!, 1)-1,0,2))*LCDMTotalBulgeMass</f>
        <v>#REF!</v>
      </c>
      <c r="D185" s="17" t="e">
        <f t="shared" ca="1" si="6"/>
        <v>#REF!</v>
      </c>
      <c r="E185" s="17">
        <v>225.4</v>
      </c>
      <c r="H185" s="16"/>
      <c r="I185" s="42"/>
      <c r="R185" s="42"/>
      <c r="S185" s="42"/>
    </row>
    <row r="186" spans="1:19" x14ac:dyDescent="0.25">
      <c r="A186" s="17">
        <v>26.27</v>
      </c>
      <c r="B186" s="15">
        <f t="shared" si="7"/>
        <v>8.1060750026599996E+20</v>
      </c>
      <c r="C186" s="15" t="e">
        <f ca="1">FORECAST(#REF!, OFFSET(#REF!, MATCH(#REF!,#REF!, 1)-1,0,2), OFFSET(#REF!, MATCH(#REF!,#REF!, 1)-1,0,2))*LCDMTotalBulgeMass</f>
        <v>#REF!</v>
      </c>
      <c r="D186" s="17" t="e">
        <f t="shared" ca="1" si="6"/>
        <v>#REF!</v>
      </c>
      <c r="E186" s="17">
        <v>230.3</v>
      </c>
      <c r="H186" s="16"/>
      <c r="I186" s="42"/>
      <c r="R186" s="42"/>
      <c r="S186" s="42"/>
    </row>
    <row r="187" spans="1:19" x14ac:dyDescent="0.25">
      <c r="A187" s="17">
        <v>26.65</v>
      </c>
      <c r="B187" s="15">
        <f t="shared" si="7"/>
        <v>8.2233307506999991E+20</v>
      </c>
      <c r="C187" s="15" t="e">
        <f ca="1">FORECAST(#REF!, OFFSET(#REF!, MATCH(#REF!,#REF!, 1)-1,0,2), OFFSET(#REF!, MATCH(#REF!,#REF!, 1)-1,0,2))*LCDMTotalBulgeMass</f>
        <v>#REF!</v>
      </c>
      <c r="D187" s="17" t="e">
        <f t="shared" ca="1" si="6"/>
        <v>#REF!</v>
      </c>
      <c r="E187" s="17">
        <v>229</v>
      </c>
      <c r="H187" s="16"/>
      <c r="I187" s="42"/>
      <c r="R187" s="42"/>
      <c r="S187" s="42"/>
    </row>
    <row r="188" spans="1:19" x14ac:dyDescent="0.25">
      <c r="A188" s="17">
        <v>27.03</v>
      </c>
      <c r="B188" s="15">
        <f t="shared" si="7"/>
        <v>8.3405864987399999E+20</v>
      </c>
      <c r="C188" s="15" t="e">
        <f ca="1">FORECAST(#REF!, OFFSET(#REF!, MATCH(#REF!,#REF!, 1)-1,0,2), OFFSET(#REF!, MATCH(#REF!,#REF!, 1)-1,0,2))*LCDMTotalBulgeMass</f>
        <v>#REF!</v>
      </c>
      <c r="D188" s="17" t="e">
        <f t="shared" ca="1" si="6"/>
        <v>#REF!</v>
      </c>
      <c r="E188" s="17">
        <v>229.9</v>
      </c>
      <c r="H188" s="16"/>
      <c r="I188" s="42"/>
      <c r="R188" s="42"/>
      <c r="S188" s="42"/>
    </row>
    <row r="189" spans="1:19" x14ac:dyDescent="0.25">
      <c r="A189" s="17">
        <v>27.41</v>
      </c>
      <c r="B189" s="15">
        <f t="shared" si="7"/>
        <v>8.4578422467800007E+20</v>
      </c>
      <c r="C189" s="15" t="e">
        <f ca="1">FORECAST(#REF!, OFFSET(#REF!, MATCH(#REF!,#REF!, 1)-1,0,2), OFFSET(#REF!, MATCH(#REF!,#REF!, 1)-1,0,2))*LCDMTotalBulgeMass</f>
        <v>#REF!</v>
      </c>
      <c r="D189" s="17" t="e">
        <f t="shared" ca="1" si="6"/>
        <v>#REF!</v>
      </c>
      <c r="E189" s="17">
        <v>230.1</v>
      </c>
      <c r="H189" s="16"/>
      <c r="I189" s="42"/>
      <c r="R189" s="42"/>
      <c r="S189" s="42"/>
    </row>
    <row r="190" spans="1:19" x14ac:dyDescent="0.25">
      <c r="A190" s="17">
        <v>27.79</v>
      </c>
      <c r="B190" s="15">
        <f t="shared" si="7"/>
        <v>8.5750979948200002E+20</v>
      </c>
      <c r="C190" s="15" t="e">
        <f ca="1">FORECAST(#REF!, OFFSET(#REF!, MATCH(#REF!,#REF!, 1)-1,0,2), OFFSET(#REF!, MATCH(#REF!,#REF!, 1)-1,0,2))*LCDMTotalBulgeMass</f>
        <v>#REF!</v>
      </c>
      <c r="D190" s="17" t="e">
        <f t="shared" ca="1" si="6"/>
        <v>#REF!</v>
      </c>
      <c r="E190" s="17">
        <v>229.8</v>
      </c>
      <c r="H190" s="16"/>
      <c r="I190" s="42"/>
      <c r="R190" s="42"/>
      <c r="S190" s="42"/>
    </row>
    <row r="191" spans="1:19" x14ac:dyDescent="0.25">
      <c r="A191" s="17">
        <v>28.17</v>
      </c>
      <c r="B191" s="15">
        <f t="shared" si="7"/>
        <v>8.692353742860001E+20</v>
      </c>
      <c r="C191" s="15" t="e">
        <f ca="1">FORECAST(#REF!, OFFSET(#REF!, MATCH(#REF!,#REF!, 1)-1,0,2), OFFSET(#REF!, MATCH(#REF!,#REF!, 1)-1,0,2))*LCDMTotalBulgeMass</f>
        <v>#REF!</v>
      </c>
      <c r="D191" s="17" t="e">
        <f t="shared" ca="1" si="6"/>
        <v>#REF!</v>
      </c>
      <c r="E191" s="17">
        <v>230.4</v>
      </c>
      <c r="H191" s="16"/>
      <c r="I191" s="42"/>
      <c r="R191" s="42"/>
      <c r="S191" s="42"/>
    </row>
    <row r="192" spans="1:19" x14ac:dyDescent="0.25">
      <c r="A192" s="17">
        <v>28.56</v>
      </c>
      <c r="B192" s="15">
        <f t="shared" si="7"/>
        <v>8.8126951684800001E+20</v>
      </c>
      <c r="C192" s="15" t="e">
        <f ca="1">FORECAST(#REF!, OFFSET(#REF!, MATCH(#REF!,#REF!, 1)-1,0,2), OFFSET(#REF!, MATCH(#REF!,#REF!, 1)-1,0,2))*LCDMTotalBulgeMass</f>
        <v>#REF!</v>
      </c>
      <c r="D192" s="17" t="e">
        <f t="shared" ca="1" si="6"/>
        <v>#REF!</v>
      </c>
      <c r="E192" s="17">
        <v>230.9</v>
      </c>
      <c r="H192" s="16"/>
      <c r="I192" s="42"/>
      <c r="R192" s="42"/>
      <c r="S192" s="42"/>
    </row>
    <row r="193" spans="1:19" x14ac:dyDescent="0.25">
      <c r="A193" s="17">
        <v>28.94</v>
      </c>
      <c r="B193" s="15">
        <f t="shared" si="7"/>
        <v>8.9299509165200009E+20</v>
      </c>
      <c r="C193" s="15" t="e">
        <f ca="1">FORECAST(#REF!, OFFSET(#REF!, MATCH(#REF!,#REF!, 1)-1,0,2), OFFSET(#REF!, MATCH(#REF!,#REF!, 1)-1,0,2))*LCDMTotalBulgeMass</f>
        <v>#REF!</v>
      </c>
      <c r="D193" s="17" t="e">
        <f t="shared" ca="1" si="6"/>
        <v>#REF!</v>
      </c>
      <c r="E193" s="17">
        <v>229.8</v>
      </c>
      <c r="H193" s="16"/>
      <c r="I193" s="42"/>
      <c r="R193" s="42"/>
      <c r="S193" s="42"/>
    </row>
    <row r="194" spans="1:19" x14ac:dyDescent="0.25">
      <c r="A194" s="17">
        <v>29.32</v>
      </c>
      <c r="B194" s="15">
        <f t="shared" si="7"/>
        <v>9.0472066645600004E+20</v>
      </c>
      <c r="C194" s="15" t="e">
        <f ca="1">FORECAST(#REF!, OFFSET(#REF!, MATCH(#REF!,#REF!, 1)-1,0,2), OFFSET(#REF!, MATCH(#REF!,#REF!, 1)-1,0,2))*LCDMTotalBulgeMass</f>
        <v>#REF!</v>
      </c>
      <c r="D194" s="17" t="e">
        <f t="shared" ca="1" si="6"/>
        <v>#REF!</v>
      </c>
      <c r="E194" s="17">
        <v>228.8</v>
      </c>
      <c r="H194" s="16"/>
      <c r="I194" s="42"/>
      <c r="R194" s="42"/>
      <c r="S194" s="42"/>
    </row>
    <row r="195" spans="1:19" x14ac:dyDescent="0.25">
      <c r="A195" s="17">
        <v>29.7</v>
      </c>
      <c r="B195" s="15">
        <f t="shared" si="7"/>
        <v>9.1644624125999999E+20</v>
      </c>
      <c r="C195" s="15" t="e">
        <f ca="1">FORECAST(#REF!, OFFSET(#REF!, MATCH(#REF!,#REF!, 1)-1,0,2), OFFSET(#REF!, MATCH(#REF!,#REF!, 1)-1,0,2))*LCDMTotalBulgeMass</f>
        <v>#REF!</v>
      </c>
      <c r="D195" s="17" t="e">
        <f t="shared" ca="1" si="6"/>
        <v>#REF!</v>
      </c>
      <c r="E195" s="17">
        <v>238.3</v>
      </c>
      <c r="H195" s="16"/>
      <c r="I195" s="42"/>
      <c r="R195" s="42"/>
      <c r="S195" s="42"/>
    </row>
    <row r="196" spans="1:19" x14ac:dyDescent="0.25">
      <c r="A196" s="17">
        <v>30.08</v>
      </c>
      <c r="B196" s="15">
        <f t="shared" si="7"/>
        <v>9.2817181606399993E+20</v>
      </c>
      <c r="C196" s="15" t="e">
        <f ca="1">FORECAST(#REF!, OFFSET(#REF!, MATCH(#REF!,#REF!, 1)-1,0,2), OFFSET(#REF!, MATCH(#REF!,#REF!, 1)-1,0,2))*LCDMTotalBulgeMass</f>
        <v>#REF!</v>
      </c>
      <c r="D196" s="17" t="e">
        <f t="shared" ca="1" si="6"/>
        <v>#REF!</v>
      </c>
      <c r="E196" s="17">
        <v>243.6</v>
      </c>
      <c r="H196" s="16"/>
      <c r="I196" s="42"/>
      <c r="R196" s="42"/>
      <c r="S196" s="42"/>
    </row>
    <row r="197" spans="1:19" x14ac:dyDescent="0.25">
      <c r="A197" s="17">
        <v>30.46</v>
      </c>
      <c r="B197" s="15">
        <f t="shared" si="7"/>
        <v>9.3989739086800001E+20</v>
      </c>
      <c r="C197" s="15" t="e">
        <f ca="1">FORECAST(#REF!, OFFSET(#REF!, MATCH(#REF!,#REF!, 1)-1,0,2), OFFSET(#REF!, MATCH(#REF!,#REF!, 1)-1,0,2))*LCDMTotalBulgeMass</f>
        <v>#REF!</v>
      </c>
      <c r="D197" s="17" t="e">
        <f t="shared" ca="1" si="6"/>
        <v>#REF!</v>
      </c>
      <c r="E197" s="17">
        <v>247.3</v>
      </c>
      <c r="H197" s="16"/>
      <c r="I197" s="42"/>
      <c r="R197" s="42"/>
      <c r="S197" s="42"/>
    </row>
    <row r="198" spans="1:19" x14ac:dyDescent="0.25">
      <c r="A198" s="17">
        <v>30.84</v>
      </c>
      <c r="B198" s="15">
        <f t="shared" si="7"/>
        <v>9.5162296567199996E+20</v>
      </c>
      <c r="C198" s="15" t="e">
        <f ca="1">FORECAST(#REF!, OFFSET(#REF!, MATCH(#REF!,#REF!, 1)-1,0,2), OFFSET(#REF!, MATCH(#REF!,#REF!, 1)-1,0,2))*LCDMTotalBulgeMass</f>
        <v>#REF!</v>
      </c>
      <c r="D198" s="17" t="e">
        <f t="shared" ca="1" si="6"/>
        <v>#REF!</v>
      </c>
      <c r="E198" s="17">
        <v>247.8</v>
      </c>
      <c r="H198" s="16"/>
      <c r="I198" s="42"/>
      <c r="R198" s="42"/>
      <c r="S198" s="42"/>
    </row>
    <row r="199" spans="1:19" x14ac:dyDescent="0.25">
      <c r="A199" s="17">
        <v>31.22</v>
      </c>
      <c r="B199" s="15">
        <f t="shared" si="7"/>
        <v>9.6334854047599991E+20</v>
      </c>
      <c r="C199" s="15" t="e">
        <f ca="1">FORECAST(#REF!, OFFSET(#REF!, MATCH(#REF!,#REF!, 1)-1,0,2), OFFSET(#REF!, MATCH(#REF!,#REF!, 1)-1,0,2))*LCDMTotalBulgeMass</f>
        <v>#REF!</v>
      </c>
      <c r="D199" s="17" t="e">
        <f t="shared" ca="1" si="6"/>
        <v>#REF!</v>
      </c>
      <c r="E199" s="17">
        <v>248.4</v>
      </c>
      <c r="H199" s="16"/>
      <c r="I199" s="42"/>
      <c r="R199" s="42"/>
      <c r="S199" s="42"/>
    </row>
    <row r="200" spans="1:19" x14ac:dyDescent="0.25">
      <c r="A200" s="17">
        <v>31.61</v>
      </c>
      <c r="B200" s="15">
        <f t="shared" si="7"/>
        <v>9.7538268303799996E+20</v>
      </c>
      <c r="C200" s="15" t="e">
        <f ca="1">FORECAST(#REF!, OFFSET(#REF!, MATCH(#REF!,#REF!, 1)-1,0,2), OFFSET(#REF!, MATCH(#REF!,#REF!, 1)-1,0,2))*LCDMTotalBulgeMass</f>
        <v>#REF!</v>
      </c>
      <c r="D200" s="17" t="e">
        <f t="shared" ca="1" si="6"/>
        <v>#REF!</v>
      </c>
      <c r="E200" s="17">
        <v>248.1</v>
      </c>
      <c r="H200" s="16"/>
      <c r="I200" s="42"/>
      <c r="R200" s="42"/>
      <c r="S200" s="42"/>
    </row>
    <row r="201" spans="1:19" x14ac:dyDescent="0.25">
      <c r="A201" s="17">
        <v>31.99</v>
      </c>
      <c r="B201" s="15">
        <f t="shared" si="7"/>
        <v>9.871082578419999E+20</v>
      </c>
      <c r="C201" s="15" t="e">
        <f ca="1">FORECAST(#REF!, OFFSET(#REF!, MATCH(#REF!,#REF!, 1)-1,0,2), OFFSET(#REF!, MATCH(#REF!,#REF!, 1)-1,0,2))*LCDMTotalBulgeMass</f>
        <v>#REF!</v>
      </c>
      <c r="D201" s="17" t="e">
        <f t="shared" ca="1" si="6"/>
        <v>#REF!</v>
      </c>
      <c r="E201" s="17">
        <v>244.5</v>
      </c>
      <c r="H201" s="16"/>
      <c r="I201" s="42"/>
      <c r="R201" s="42"/>
      <c r="S201" s="42"/>
    </row>
    <row r="202" spans="1:19" x14ac:dyDescent="0.25">
      <c r="A202" s="17">
        <v>32.369999999999997</v>
      </c>
      <c r="B202" s="15">
        <f t="shared" si="7"/>
        <v>9.9883383264599998E+20</v>
      </c>
      <c r="C202" s="15" t="e">
        <f ca="1">FORECAST(#REF!, OFFSET(#REF!, MATCH(#REF!,#REF!, 1)-1,0,2), OFFSET(#REF!, MATCH(#REF!,#REF!, 1)-1,0,2))*LCDMTotalBulgeMass</f>
        <v>#REF!</v>
      </c>
      <c r="D202" s="17" t="e">
        <f t="shared" ca="1" si="6"/>
        <v>#REF!</v>
      </c>
      <c r="E202" s="17">
        <v>244.4</v>
      </c>
      <c r="H202" s="16"/>
      <c r="I202" s="42"/>
      <c r="R202" s="42"/>
      <c r="S202" s="42"/>
    </row>
    <row r="203" spans="1:19" x14ac:dyDescent="0.25">
      <c r="A203" s="17">
        <v>32.75</v>
      </c>
      <c r="B203" s="15">
        <f t="shared" si="7"/>
        <v>1.0105594074500001E+21</v>
      </c>
      <c r="C203" s="15" t="e">
        <f ca="1">FORECAST(#REF!, OFFSET(#REF!, MATCH(#REF!,#REF!, 1)-1,0,2), OFFSET(#REF!, MATCH(#REF!,#REF!, 1)-1,0,2))*LCDMTotalBulgeMass</f>
        <v>#REF!</v>
      </c>
      <c r="D203" s="17" t="e">
        <f t="shared" ca="1" si="6"/>
        <v>#REF!</v>
      </c>
      <c r="E203" s="17">
        <v>241.7</v>
      </c>
      <c r="H203" s="16"/>
      <c r="I203" s="42"/>
      <c r="R203" s="42"/>
      <c r="S203" s="42"/>
    </row>
    <row r="204" spans="1:19" x14ac:dyDescent="0.25">
      <c r="A204" s="17">
        <v>33.130000000000003</v>
      </c>
      <c r="B204" s="15">
        <f t="shared" si="7"/>
        <v>1.0222849822540001E+21</v>
      </c>
      <c r="C204" s="15" t="e">
        <f ca="1">FORECAST(#REF!, OFFSET(#REF!, MATCH(#REF!,#REF!, 1)-1,0,2), OFFSET(#REF!, MATCH(#REF!,#REF!, 1)-1,0,2))*LCDMTotalBulgeMass</f>
        <v>#REF!</v>
      </c>
      <c r="D204" s="17" t="e">
        <f t="shared" ca="1" si="6"/>
        <v>#REF!</v>
      </c>
      <c r="E204" s="17">
        <v>237.7</v>
      </c>
      <c r="H204" s="16"/>
      <c r="I204" s="42"/>
      <c r="R204" s="42"/>
      <c r="S204" s="42"/>
    </row>
    <row r="205" spans="1:19" x14ac:dyDescent="0.25">
      <c r="A205" s="17">
        <v>33.51</v>
      </c>
      <c r="B205" s="15">
        <f t="shared" si="7"/>
        <v>1.034010557058E+21</v>
      </c>
      <c r="C205" s="15" t="e">
        <f ca="1">FORECAST(#REF!, OFFSET(#REF!, MATCH(#REF!,#REF!, 1)-1,0,2), OFFSET(#REF!, MATCH(#REF!,#REF!, 1)-1,0,2))*LCDMTotalBulgeMass</f>
        <v>#REF!</v>
      </c>
      <c r="D205" s="17" t="e">
        <f t="shared" ca="1" si="6"/>
        <v>#REF!</v>
      </c>
      <c r="E205" s="17">
        <v>237.6</v>
      </c>
      <c r="H205" s="16"/>
      <c r="I205" s="42"/>
      <c r="R205" s="42"/>
      <c r="S205" s="42"/>
    </row>
    <row r="206" spans="1:19" x14ac:dyDescent="0.25">
      <c r="A206" s="17">
        <v>33.89</v>
      </c>
      <c r="B206" s="15">
        <f t="shared" si="7"/>
        <v>1.045736131862E+21</v>
      </c>
      <c r="C206" s="15" t="e">
        <f ca="1">FORECAST(#REF!, OFFSET(#REF!, MATCH(#REF!,#REF!, 1)-1,0,2), OFFSET(#REF!, MATCH(#REF!,#REF!, 1)-1,0,2))*LCDMTotalBulgeMass</f>
        <v>#REF!</v>
      </c>
      <c r="D206" s="17" t="e">
        <f t="shared" ca="1" si="6"/>
        <v>#REF!</v>
      </c>
      <c r="E206" s="17">
        <v>244.9</v>
      </c>
      <c r="H206" s="16"/>
      <c r="I206" s="42"/>
      <c r="R206" s="42"/>
      <c r="S206" s="42"/>
    </row>
    <row r="207" spans="1:19" x14ac:dyDescent="0.25">
      <c r="A207" s="17">
        <v>34.270000000000003</v>
      </c>
      <c r="B207" s="15">
        <f t="shared" si="7"/>
        <v>1.0574617066660001E+21</v>
      </c>
      <c r="C207" s="15" t="e">
        <f ca="1">FORECAST(#REF!, OFFSET(#REF!, MATCH(#REF!,#REF!, 1)-1,0,2), OFFSET(#REF!, MATCH(#REF!,#REF!, 1)-1,0,2))*LCDMTotalBulgeMass</f>
        <v>#REF!</v>
      </c>
      <c r="D207" s="17" t="e">
        <f t="shared" ca="1" si="6"/>
        <v>#REF!</v>
      </c>
      <c r="E207" s="17">
        <v>247.9</v>
      </c>
      <c r="H207" s="16"/>
      <c r="I207" s="42"/>
      <c r="R207" s="42"/>
      <c r="S207" s="42"/>
    </row>
    <row r="208" spans="1:19" x14ac:dyDescent="0.25">
      <c r="A208" s="17">
        <v>34.659999999999997</v>
      </c>
      <c r="B208" s="15">
        <f t="shared" si="7"/>
        <v>1.0694958492279999E+21</v>
      </c>
      <c r="C208" s="15" t="e">
        <f ca="1">FORECAST(#REF!, OFFSET(#REF!, MATCH(#REF!,#REF!, 1)-1,0,2), OFFSET(#REF!, MATCH(#REF!,#REF!, 1)-1,0,2))*LCDMTotalBulgeMass</f>
        <v>#REF!</v>
      </c>
      <c r="D208" s="17" t="e">
        <f t="shared" ca="1" si="6"/>
        <v>#REF!</v>
      </c>
      <c r="E208" s="17">
        <v>256.3</v>
      </c>
      <c r="H208" s="16"/>
      <c r="I208" s="42"/>
      <c r="R208" s="42"/>
      <c r="S208" s="42"/>
    </row>
    <row r="209" spans="1:19" x14ac:dyDescent="0.25">
      <c r="A209" s="17">
        <v>35.04</v>
      </c>
      <c r="B209" s="15">
        <f t="shared" si="7"/>
        <v>1.081221424032E+21</v>
      </c>
      <c r="C209" s="15" t="e">
        <f ca="1">FORECAST(#REF!, OFFSET(#REF!, MATCH(#REF!,#REF!, 1)-1,0,2), OFFSET(#REF!, MATCH(#REF!,#REF!, 1)-1,0,2))*LCDMTotalBulgeMass</f>
        <v>#REF!</v>
      </c>
      <c r="D209" s="17" t="e">
        <f t="shared" ca="1" si="6"/>
        <v>#REF!</v>
      </c>
      <c r="E209" s="17">
        <v>253.5</v>
      </c>
      <c r="H209" s="16"/>
      <c r="I209" s="42"/>
      <c r="R209" s="42"/>
      <c r="S209" s="42"/>
    </row>
    <row r="210" spans="1:19" x14ac:dyDescent="0.25">
      <c r="A210" s="17">
        <v>35.42</v>
      </c>
      <c r="B210" s="15">
        <f t="shared" si="7"/>
        <v>1.0929469988360001E+21</v>
      </c>
      <c r="C210" s="15" t="e">
        <f ca="1">FORECAST(#REF!, OFFSET(#REF!, MATCH(#REF!,#REF!, 1)-1,0,2), OFFSET(#REF!, MATCH(#REF!,#REF!, 1)-1,0,2))*LCDMTotalBulgeMass</f>
        <v>#REF!</v>
      </c>
      <c r="D210" s="17" t="e">
        <f t="shared" ca="1" si="6"/>
        <v>#REF!</v>
      </c>
      <c r="E210" s="17">
        <v>244.3</v>
      </c>
      <c r="H210" s="16"/>
      <c r="I210" s="42"/>
      <c r="R210" s="42"/>
      <c r="S210" s="42"/>
    </row>
    <row r="211" spans="1:19" x14ac:dyDescent="0.25">
      <c r="A211" s="17">
        <v>35.799999999999997</v>
      </c>
      <c r="B211" s="15">
        <f t="shared" si="7"/>
        <v>1.1046725736399999E+21</v>
      </c>
      <c r="C211" s="15" t="e">
        <f ca="1">FORECAST(#REF!, OFFSET(#REF!, MATCH(#REF!,#REF!, 1)-1,0,2), OFFSET(#REF!, MATCH(#REF!,#REF!, 1)-1,0,2))*LCDMTotalBulgeMass</f>
        <v>#REF!</v>
      </c>
      <c r="D211" s="17" t="e">
        <f t="shared" ca="1" si="6"/>
        <v>#REF!</v>
      </c>
      <c r="E211" s="17">
        <v>249.3</v>
      </c>
      <c r="H211" s="16"/>
      <c r="I211" s="42"/>
      <c r="R211" s="42"/>
      <c r="S211" s="42"/>
    </row>
    <row r="212" spans="1:19" x14ac:dyDescent="0.25">
      <c r="A212" s="17">
        <v>36.18</v>
      </c>
      <c r="B212" s="15">
        <f t="shared" si="7"/>
        <v>1.116398148444E+21</v>
      </c>
      <c r="C212" s="15" t="e">
        <f ca="1">FORECAST(#REF!, OFFSET(#REF!, MATCH(#REF!,#REF!, 1)-1,0,2), OFFSET(#REF!, MATCH(#REF!,#REF!, 1)-1,0,2))*LCDMTotalBulgeMass</f>
        <v>#REF!</v>
      </c>
      <c r="D212" s="17" t="e">
        <f t="shared" ca="1" si="6"/>
        <v>#REF!</v>
      </c>
      <c r="E212" s="17">
        <v>255.7</v>
      </c>
      <c r="H212" s="16"/>
      <c r="I212" s="42"/>
      <c r="R212" s="42"/>
      <c r="S212" s="42"/>
    </row>
    <row r="213" spans="1:19" x14ac:dyDescent="0.25">
      <c r="A213" s="17">
        <v>36.56</v>
      </c>
      <c r="B213" s="15">
        <f t="shared" si="7"/>
        <v>1.128123723248E+21</v>
      </c>
      <c r="C213" s="15" t="e">
        <f ca="1">FORECAST(#REF!, OFFSET(#REF!, MATCH(#REF!,#REF!, 1)-1,0,2), OFFSET(#REF!, MATCH(#REF!,#REF!, 1)-1,0,2))*LCDMTotalBulgeMass</f>
        <v>#REF!</v>
      </c>
      <c r="D213" s="17" t="e">
        <f t="shared" ca="1" si="6"/>
        <v>#REF!</v>
      </c>
      <c r="E213" s="17">
        <v>255</v>
      </c>
      <c r="H213" s="16"/>
      <c r="I213" s="42"/>
      <c r="R213" s="42"/>
      <c r="S213" s="42"/>
    </row>
    <row r="214" spans="1:19" x14ac:dyDescent="0.25">
      <c r="A214" s="17">
        <v>36.94</v>
      </c>
      <c r="B214" s="15">
        <f t="shared" si="7"/>
        <v>1.139849298052E+21</v>
      </c>
      <c r="C214" s="15" t="e">
        <f ca="1">FORECAST(#REF!, OFFSET(#REF!, MATCH(#REF!,#REF!, 1)-1,0,2), OFFSET(#REF!, MATCH(#REF!,#REF!, 1)-1,0,2))*LCDMTotalBulgeMass</f>
        <v>#REF!</v>
      </c>
      <c r="D214" s="17" t="e">
        <f t="shared" ca="1" si="6"/>
        <v>#REF!</v>
      </c>
      <c r="E214" s="17">
        <v>271.10000000000002</v>
      </c>
      <c r="H214" s="16"/>
      <c r="I214" s="42"/>
      <c r="R214" s="42"/>
      <c r="S214" s="42"/>
    </row>
    <row r="215" spans="1:19" x14ac:dyDescent="0.25">
      <c r="A215" s="17">
        <v>37.32</v>
      </c>
      <c r="B215" s="15">
        <f t="shared" si="7"/>
        <v>1.1515748728560001E+21</v>
      </c>
      <c r="C215" s="15" t="e">
        <f ca="1">FORECAST(#REF!, OFFSET(#REF!, MATCH(#REF!,#REF!, 1)-1,0,2), OFFSET(#REF!, MATCH(#REF!,#REF!, 1)-1,0,2))*LCDMTotalBulgeMass</f>
        <v>#REF!</v>
      </c>
      <c r="D215" s="17" t="e">
        <f t="shared" ca="1" si="6"/>
        <v>#REF!</v>
      </c>
      <c r="E215" s="17">
        <v>269.8</v>
      </c>
      <c r="H215" s="16"/>
      <c r="I215" s="42"/>
      <c r="R215" s="42"/>
      <c r="S215" s="42"/>
    </row>
    <row r="216" spans="1:19" x14ac:dyDescent="0.25">
      <c r="A216" s="17">
        <v>37.71</v>
      </c>
      <c r="B216" s="15">
        <f t="shared" si="7"/>
        <v>1.163609015418E+21</v>
      </c>
      <c r="C216" s="15" t="e">
        <f ca="1">FORECAST(#REF!, OFFSET(#REF!, MATCH(#REF!,#REF!, 1)-1,0,2), OFFSET(#REF!, MATCH(#REF!,#REF!, 1)-1,0,2))*LCDMTotalBulgeMass</f>
        <v>#REF!</v>
      </c>
      <c r="D216" s="17" t="e">
        <f t="shared" ca="1" si="6"/>
        <v>#REF!</v>
      </c>
      <c r="E216" s="17">
        <v>258.2</v>
      </c>
      <c r="H216" s="16"/>
      <c r="I216" s="42"/>
      <c r="R216" s="42"/>
      <c r="S216" s="42"/>
    </row>
    <row r="217" spans="1:19" x14ac:dyDescent="0.25">
      <c r="A217" s="17">
        <v>38.090000000000003</v>
      </c>
      <c r="B217" s="15">
        <f t="shared" si="7"/>
        <v>1.1753345902220001E+21</v>
      </c>
      <c r="C217" s="15" t="e">
        <f ca="1">FORECAST(#REF!, OFFSET(#REF!, MATCH(#REF!,#REF!, 1)-1,0,2), OFFSET(#REF!, MATCH(#REF!,#REF!, 1)-1,0,2))*LCDMTotalBulgeMass</f>
        <v>#REF!</v>
      </c>
      <c r="D217" s="17" t="e">
        <f t="shared" ca="1" si="6"/>
        <v>#REF!</v>
      </c>
      <c r="E217" s="17">
        <v>275.10000000000002</v>
      </c>
      <c r="H217" s="16"/>
      <c r="I217" s="42"/>
      <c r="R217" s="42"/>
      <c r="S217" s="42"/>
    </row>
    <row r="218" spans="1:19" x14ac:dyDescent="0.25">
      <c r="G218" s="42"/>
      <c r="H218" s="16"/>
      <c r="I218" s="42"/>
      <c r="R218" s="42"/>
      <c r="S218" s="42"/>
    </row>
    <row r="219" spans="1:19" x14ac:dyDescent="0.25">
      <c r="G219" s="42"/>
      <c r="H219" s="17"/>
      <c r="I219" s="42"/>
      <c r="R219" s="42"/>
      <c r="S219" s="42"/>
    </row>
    <row r="220" spans="1:19" x14ac:dyDescent="0.25">
      <c r="H220" s="16"/>
      <c r="R220" s="42"/>
      <c r="S220" s="42"/>
    </row>
    <row r="221" spans="1:19" x14ac:dyDescent="0.25">
      <c r="H221" s="16"/>
      <c r="R221" s="42"/>
      <c r="S221" s="42"/>
    </row>
    <row r="222" spans="1:19" x14ac:dyDescent="0.25">
      <c r="H222" s="16"/>
      <c r="R222" s="42"/>
      <c r="S222" s="42"/>
    </row>
    <row r="223" spans="1:19" x14ac:dyDescent="0.25">
      <c r="H223" s="16"/>
    </row>
    <row r="224" spans="1:19" x14ac:dyDescent="0.25">
      <c r="H224" s="16"/>
    </row>
    <row r="225" spans="2:25" x14ac:dyDescent="0.25">
      <c r="H225" s="16"/>
    </row>
    <row r="226" spans="2:25" x14ac:dyDescent="0.25">
      <c r="H226" s="16"/>
    </row>
    <row r="227" spans="2:25" s="17" customFormat="1" x14ac:dyDescent="0.25">
      <c r="B227" s="15"/>
      <c r="C227" s="15"/>
      <c r="F227" s="16"/>
      <c r="G227" s="18"/>
      <c r="H227" s="16"/>
      <c r="J227" s="42"/>
      <c r="K227" s="42"/>
      <c r="L227" s="42"/>
      <c r="M227" s="42"/>
      <c r="N227" s="42"/>
      <c r="O227" s="42"/>
      <c r="P227" s="42"/>
      <c r="Q227" s="42"/>
      <c r="R227" s="16"/>
      <c r="S227" s="16"/>
      <c r="T227" s="42"/>
      <c r="U227" s="42"/>
      <c r="V227" s="42"/>
      <c r="W227" s="42"/>
      <c r="X227" s="42"/>
      <c r="Y227" s="42"/>
    </row>
    <row r="228" spans="2:25" s="17" customFormat="1" x14ac:dyDescent="0.25">
      <c r="B228" s="15"/>
      <c r="C228" s="15"/>
      <c r="F228" s="16"/>
      <c r="G228" s="18"/>
      <c r="H228" s="16"/>
      <c r="J228" s="42"/>
      <c r="K228" s="42"/>
      <c r="L228" s="42"/>
      <c r="M228" s="42"/>
      <c r="N228" s="42"/>
      <c r="O228" s="42"/>
      <c r="P228" s="42"/>
      <c r="Q228" s="42"/>
      <c r="R228" s="16"/>
      <c r="S228" s="16"/>
      <c r="T228" s="42"/>
      <c r="U228" s="42"/>
      <c r="V228" s="42"/>
      <c r="W228" s="42"/>
      <c r="X228" s="42"/>
      <c r="Y228" s="42"/>
    </row>
    <row r="229" spans="2:25" s="17" customFormat="1" x14ac:dyDescent="0.25">
      <c r="B229" s="15"/>
      <c r="C229" s="15"/>
      <c r="F229" s="16"/>
      <c r="G229" s="18"/>
      <c r="H229" s="16"/>
      <c r="J229" s="42"/>
      <c r="K229" s="42"/>
      <c r="L229" s="42"/>
      <c r="M229" s="42"/>
      <c r="N229" s="42"/>
      <c r="O229" s="42"/>
      <c r="P229" s="42"/>
      <c r="Q229" s="42"/>
      <c r="R229" s="16"/>
      <c r="S229" s="16"/>
      <c r="T229" s="42"/>
      <c r="U229" s="42"/>
      <c r="V229" s="42"/>
      <c r="W229" s="42"/>
      <c r="X229" s="42"/>
      <c r="Y229" s="42"/>
    </row>
    <row r="230" spans="2:25" s="17" customFormat="1" x14ac:dyDescent="0.25">
      <c r="B230" s="15"/>
      <c r="C230" s="15"/>
      <c r="F230" s="16"/>
      <c r="G230" s="18"/>
      <c r="H230" s="16"/>
      <c r="J230" s="42"/>
      <c r="K230" s="42"/>
      <c r="L230" s="42"/>
      <c r="M230" s="42"/>
      <c r="N230" s="42"/>
      <c r="O230" s="42"/>
      <c r="P230" s="42"/>
      <c r="Q230" s="42"/>
      <c r="R230" s="16"/>
      <c r="S230" s="16"/>
      <c r="T230" s="42"/>
      <c r="U230" s="42"/>
      <c r="V230" s="42"/>
      <c r="W230" s="42"/>
      <c r="X230" s="42"/>
      <c r="Y230" s="42"/>
    </row>
    <row r="231" spans="2:25" s="17" customFormat="1" x14ac:dyDescent="0.25">
      <c r="B231" s="15"/>
      <c r="C231" s="15"/>
      <c r="F231" s="16"/>
      <c r="G231" s="18"/>
      <c r="H231" s="16"/>
      <c r="J231" s="42"/>
      <c r="K231" s="42"/>
      <c r="L231" s="42"/>
      <c r="M231" s="42"/>
      <c r="N231" s="42"/>
      <c r="O231" s="42"/>
      <c r="P231" s="42"/>
      <c r="Q231" s="42"/>
      <c r="R231" s="16"/>
      <c r="S231" s="16"/>
      <c r="T231" s="42"/>
      <c r="U231" s="42"/>
      <c r="V231" s="42"/>
      <c r="W231" s="42"/>
      <c r="X231" s="42"/>
      <c r="Y231" s="42"/>
    </row>
    <row r="232" spans="2:25" s="17" customFormat="1" x14ac:dyDescent="0.25">
      <c r="B232" s="15"/>
      <c r="C232" s="15"/>
      <c r="F232" s="16"/>
      <c r="G232" s="18"/>
      <c r="H232" s="16"/>
      <c r="J232" s="42"/>
      <c r="K232" s="42"/>
      <c r="L232" s="42"/>
      <c r="M232" s="42"/>
      <c r="N232" s="42"/>
      <c r="O232" s="42"/>
      <c r="P232" s="42"/>
      <c r="Q232" s="42"/>
      <c r="R232" s="16"/>
      <c r="S232" s="16"/>
      <c r="T232" s="42"/>
      <c r="U232" s="42"/>
      <c r="V232" s="42"/>
      <c r="W232" s="42"/>
      <c r="X232" s="42"/>
      <c r="Y232" s="42"/>
    </row>
    <row r="233" spans="2:25" s="17" customFormat="1" x14ac:dyDescent="0.25">
      <c r="B233" s="15"/>
      <c r="C233" s="15"/>
      <c r="F233" s="16"/>
      <c r="G233" s="18"/>
      <c r="H233" s="16"/>
      <c r="J233" s="42"/>
      <c r="K233" s="42"/>
      <c r="L233" s="42"/>
      <c r="M233" s="42"/>
      <c r="N233" s="42"/>
      <c r="O233" s="42"/>
      <c r="P233" s="42"/>
      <c r="Q233" s="42"/>
      <c r="R233" s="16"/>
      <c r="S233" s="16"/>
      <c r="T233" s="42"/>
      <c r="U233" s="42"/>
      <c r="V233" s="42"/>
      <c r="W233" s="42"/>
      <c r="X233" s="42"/>
      <c r="Y233" s="42"/>
    </row>
    <row r="234" spans="2:25" s="17" customFormat="1" x14ac:dyDescent="0.25">
      <c r="B234" s="15"/>
      <c r="C234" s="15"/>
      <c r="F234" s="16"/>
      <c r="G234" s="18"/>
      <c r="H234" s="16"/>
      <c r="J234" s="42"/>
      <c r="K234" s="42"/>
      <c r="L234" s="42"/>
      <c r="M234" s="42"/>
      <c r="N234" s="42"/>
      <c r="O234" s="42"/>
      <c r="P234" s="42"/>
      <c r="Q234" s="42"/>
      <c r="R234" s="16"/>
      <c r="S234" s="16"/>
      <c r="T234" s="42"/>
      <c r="U234" s="42"/>
      <c r="V234" s="42"/>
      <c r="W234" s="42"/>
      <c r="X234" s="42"/>
      <c r="Y234" s="42"/>
    </row>
    <row r="235" spans="2:25" s="17" customFormat="1" x14ac:dyDescent="0.25">
      <c r="B235" s="15"/>
      <c r="C235" s="15"/>
      <c r="F235" s="16"/>
      <c r="G235" s="18"/>
      <c r="H235" s="16"/>
      <c r="J235" s="42"/>
      <c r="K235" s="42"/>
      <c r="L235" s="42"/>
      <c r="M235" s="42"/>
      <c r="N235" s="42"/>
      <c r="O235" s="42"/>
      <c r="P235" s="42"/>
      <c r="Q235" s="42"/>
      <c r="R235" s="16"/>
      <c r="S235" s="16"/>
      <c r="T235" s="42"/>
      <c r="U235" s="42"/>
      <c r="V235" s="42"/>
      <c r="W235" s="42"/>
      <c r="X235" s="42"/>
      <c r="Y235" s="42"/>
    </row>
    <row r="236" spans="2:25" s="17" customFormat="1" x14ac:dyDescent="0.25">
      <c r="B236" s="15"/>
      <c r="C236" s="15"/>
      <c r="F236" s="16"/>
      <c r="G236" s="18"/>
      <c r="H236" s="16"/>
      <c r="J236" s="42"/>
      <c r="K236" s="42"/>
      <c r="L236" s="42"/>
      <c r="M236" s="42"/>
      <c r="N236" s="42"/>
      <c r="O236" s="42"/>
      <c r="P236" s="42"/>
      <c r="Q236" s="42"/>
      <c r="R236" s="16"/>
      <c r="S236" s="16"/>
      <c r="T236" s="42"/>
      <c r="U236" s="42"/>
      <c r="V236" s="42"/>
      <c r="W236" s="42"/>
      <c r="X236" s="42"/>
      <c r="Y236" s="42"/>
    </row>
    <row r="237" spans="2:25" s="17" customFormat="1" x14ac:dyDescent="0.25">
      <c r="B237" s="15"/>
      <c r="C237" s="15"/>
      <c r="F237" s="16"/>
      <c r="G237" s="18"/>
      <c r="H237" s="16"/>
      <c r="J237" s="42"/>
      <c r="K237" s="42"/>
      <c r="L237" s="42"/>
      <c r="M237" s="42"/>
      <c r="N237" s="42"/>
      <c r="O237" s="42"/>
      <c r="P237" s="42"/>
      <c r="Q237" s="42"/>
      <c r="R237" s="16"/>
      <c r="S237" s="16"/>
      <c r="T237" s="42"/>
      <c r="U237" s="42"/>
      <c r="V237" s="42"/>
      <c r="W237" s="42"/>
      <c r="X237" s="42"/>
      <c r="Y237" s="42"/>
    </row>
    <row r="238" spans="2:25" s="17" customFormat="1" x14ac:dyDescent="0.25">
      <c r="B238" s="15"/>
      <c r="C238" s="15"/>
      <c r="F238" s="16"/>
      <c r="G238" s="18"/>
      <c r="H238" s="16"/>
      <c r="J238" s="42"/>
      <c r="K238" s="42"/>
      <c r="L238" s="42"/>
      <c r="M238" s="42"/>
      <c r="N238" s="42"/>
      <c r="O238" s="42"/>
      <c r="P238" s="42"/>
      <c r="Q238" s="42"/>
      <c r="R238" s="16"/>
      <c r="S238" s="16"/>
      <c r="T238" s="42"/>
      <c r="U238" s="42"/>
      <c r="V238" s="42"/>
      <c r="W238" s="42"/>
      <c r="X238" s="42"/>
      <c r="Y238" s="42"/>
    </row>
    <row r="239" spans="2:25" s="17" customFormat="1" x14ac:dyDescent="0.25">
      <c r="B239" s="15"/>
      <c r="C239" s="15"/>
      <c r="F239" s="16"/>
      <c r="G239" s="18"/>
      <c r="H239" s="16"/>
      <c r="J239" s="42"/>
      <c r="K239" s="42"/>
      <c r="L239" s="42"/>
      <c r="M239" s="42"/>
      <c r="N239" s="42"/>
      <c r="O239" s="42"/>
      <c r="P239" s="42"/>
      <c r="Q239" s="42"/>
      <c r="R239" s="16"/>
      <c r="S239" s="16"/>
      <c r="T239" s="42"/>
      <c r="U239" s="42"/>
      <c r="V239" s="42"/>
      <c r="W239" s="42"/>
      <c r="X239" s="42"/>
      <c r="Y239" s="42"/>
    </row>
    <row r="240" spans="2:25" s="17" customFormat="1" x14ac:dyDescent="0.25">
      <c r="B240" s="15"/>
      <c r="C240" s="15"/>
      <c r="F240" s="16"/>
      <c r="G240" s="18"/>
      <c r="H240" s="16"/>
      <c r="J240" s="42"/>
      <c r="K240" s="42"/>
      <c r="L240" s="42"/>
      <c r="M240" s="42"/>
      <c r="N240" s="42"/>
      <c r="O240" s="42"/>
      <c r="P240" s="42"/>
      <c r="Q240" s="42"/>
      <c r="R240" s="16"/>
      <c r="S240" s="16"/>
      <c r="T240" s="42"/>
      <c r="U240" s="42"/>
      <c r="V240" s="42"/>
      <c r="W240" s="42"/>
      <c r="X240" s="42"/>
      <c r="Y240" s="42"/>
    </row>
    <row r="241" spans="2:25" s="17" customFormat="1" x14ac:dyDescent="0.25">
      <c r="B241" s="15"/>
      <c r="C241" s="15"/>
      <c r="F241" s="16"/>
      <c r="G241" s="18"/>
      <c r="H241" s="16"/>
      <c r="J241" s="42"/>
      <c r="K241" s="42"/>
      <c r="L241" s="42"/>
      <c r="M241" s="42"/>
      <c r="N241" s="42"/>
      <c r="O241" s="42"/>
      <c r="P241" s="42"/>
      <c r="Q241" s="42"/>
      <c r="R241" s="16"/>
      <c r="S241" s="16"/>
      <c r="T241" s="42"/>
      <c r="U241" s="42"/>
      <c r="V241" s="42"/>
      <c r="W241" s="42"/>
      <c r="X241" s="42"/>
      <c r="Y241" s="42"/>
    </row>
    <row r="242" spans="2:25" s="17" customFormat="1" x14ac:dyDescent="0.25">
      <c r="B242" s="15"/>
      <c r="C242" s="15"/>
      <c r="F242" s="16"/>
      <c r="G242" s="18"/>
      <c r="H242" s="16"/>
      <c r="J242" s="42"/>
      <c r="K242" s="42"/>
      <c r="L242" s="42"/>
      <c r="M242" s="42"/>
      <c r="N242" s="42"/>
      <c r="O242" s="42"/>
      <c r="P242" s="42"/>
      <c r="Q242" s="42"/>
      <c r="R242" s="16"/>
      <c r="S242" s="16"/>
      <c r="T242" s="42"/>
      <c r="U242" s="42"/>
      <c r="V242" s="42"/>
      <c r="W242" s="42"/>
      <c r="X242" s="42"/>
      <c r="Y242" s="42"/>
    </row>
    <row r="243" spans="2:25" s="17" customFormat="1" x14ac:dyDescent="0.25">
      <c r="B243" s="15"/>
      <c r="C243" s="15"/>
      <c r="F243" s="16"/>
      <c r="G243" s="18"/>
      <c r="H243" s="16"/>
      <c r="J243" s="42"/>
      <c r="K243" s="42"/>
      <c r="L243" s="42"/>
      <c r="M243" s="42"/>
      <c r="N243" s="42"/>
      <c r="O243" s="42"/>
      <c r="P243" s="42"/>
      <c r="Q243" s="42"/>
      <c r="R243" s="16"/>
      <c r="S243" s="16"/>
      <c r="T243" s="42"/>
      <c r="U243" s="42"/>
      <c r="V243" s="42"/>
      <c r="W243" s="42"/>
      <c r="X243" s="42"/>
      <c r="Y243" s="42"/>
    </row>
    <row r="244" spans="2:25" s="17" customFormat="1" x14ac:dyDescent="0.25">
      <c r="B244" s="15"/>
      <c r="C244" s="15"/>
      <c r="F244" s="16"/>
      <c r="G244" s="18"/>
      <c r="H244" s="16"/>
      <c r="J244" s="42"/>
      <c r="K244" s="42"/>
      <c r="L244" s="42"/>
      <c r="M244" s="42"/>
      <c r="N244" s="42"/>
      <c r="O244" s="42"/>
      <c r="P244" s="42"/>
      <c r="Q244" s="42"/>
      <c r="R244" s="16"/>
      <c r="S244" s="16"/>
      <c r="T244" s="42"/>
      <c r="U244" s="42"/>
      <c r="V244" s="42"/>
      <c r="W244" s="42"/>
      <c r="X244" s="42"/>
      <c r="Y244" s="42"/>
    </row>
    <row r="245" spans="2:25" s="17" customFormat="1" x14ac:dyDescent="0.25">
      <c r="B245" s="15"/>
      <c r="C245" s="15"/>
      <c r="F245" s="16"/>
      <c r="G245" s="18"/>
      <c r="H245" s="16"/>
      <c r="J245" s="42"/>
      <c r="K245" s="42"/>
      <c r="L245" s="42"/>
      <c r="M245" s="42"/>
      <c r="N245" s="42"/>
      <c r="O245" s="42"/>
      <c r="P245" s="42"/>
      <c r="Q245" s="42"/>
      <c r="R245" s="16"/>
      <c r="S245" s="16"/>
      <c r="T245" s="42"/>
      <c r="U245" s="42"/>
      <c r="V245" s="42"/>
      <c r="W245" s="42"/>
      <c r="X245" s="42"/>
      <c r="Y245" s="42"/>
    </row>
    <row r="246" spans="2:25" s="17" customFormat="1" x14ac:dyDescent="0.25">
      <c r="B246" s="15"/>
      <c r="C246" s="15"/>
      <c r="F246" s="16"/>
      <c r="G246" s="18"/>
      <c r="H246" s="16"/>
      <c r="J246" s="42"/>
      <c r="K246" s="42"/>
      <c r="L246" s="42"/>
      <c r="M246" s="42"/>
      <c r="N246" s="42"/>
      <c r="O246" s="42"/>
      <c r="P246" s="42"/>
      <c r="Q246" s="42"/>
      <c r="R246" s="16"/>
      <c r="S246" s="16"/>
      <c r="T246" s="42"/>
      <c r="U246" s="42"/>
      <c r="V246" s="42"/>
      <c r="W246" s="42"/>
      <c r="X246" s="42"/>
      <c r="Y246" s="42"/>
    </row>
    <row r="247" spans="2:25" s="17" customFormat="1" x14ac:dyDescent="0.25">
      <c r="B247" s="15"/>
      <c r="C247" s="15"/>
      <c r="F247" s="16"/>
      <c r="G247" s="18"/>
      <c r="H247" s="16"/>
      <c r="J247" s="42"/>
      <c r="K247" s="42"/>
      <c r="L247" s="42"/>
      <c r="M247" s="42"/>
      <c r="N247" s="42"/>
      <c r="O247" s="42"/>
      <c r="P247" s="42"/>
      <c r="Q247" s="42"/>
      <c r="R247" s="16"/>
      <c r="S247" s="16"/>
      <c r="T247" s="42"/>
      <c r="U247" s="42"/>
      <c r="V247" s="42"/>
      <c r="W247" s="42"/>
      <c r="X247" s="42"/>
      <c r="Y247" s="42"/>
    </row>
    <row r="248" spans="2:25" s="17" customFormat="1" x14ac:dyDescent="0.25">
      <c r="B248" s="15"/>
      <c r="C248" s="15"/>
      <c r="F248" s="16"/>
      <c r="G248" s="18"/>
      <c r="H248" s="16"/>
      <c r="J248" s="42"/>
      <c r="K248" s="42"/>
      <c r="L248" s="42"/>
      <c r="M248" s="42"/>
      <c r="N248" s="42"/>
      <c r="O248" s="42"/>
      <c r="P248" s="42"/>
      <c r="Q248" s="42"/>
      <c r="R248" s="16"/>
      <c r="S248" s="16"/>
      <c r="T248" s="42"/>
      <c r="U248" s="42"/>
      <c r="V248" s="42"/>
      <c r="W248" s="42"/>
      <c r="X248" s="42"/>
      <c r="Y248" s="42"/>
    </row>
    <row r="249" spans="2:25" s="17" customFormat="1" x14ac:dyDescent="0.25">
      <c r="B249" s="15"/>
      <c r="C249" s="15"/>
      <c r="F249" s="16"/>
      <c r="G249" s="18"/>
      <c r="H249" s="16"/>
      <c r="J249" s="42"/>
      <c r="K249" s="42"/>
      <c r="L249" s="42"/>
      <c r="M249" s="42"/>
      <c r="N249" s="42"/>
      <c r="O249" s="42"/>
      <c r="P249" s="42"/>
      <c r="Q249" s="42"/>
      <c r="R249" s="16"/>
      <c r="S249" s="16"/>
      <c r="T249" s="42"/>
      <c r="U249" s="42"/>
      <c r="V249" s="42"/>
      <c r="W249" s="42"/>
      <c r="X249" s="42"/>
      <c r="Y249" s="42"/>
    </row>
    <row r="250" spans="2:25" s="17" customFormat="1" x14ac:dyDescent="0.25">
      <c r="B250" s="15"/>
      <c r="C250" s="15"/>
      <c r="F250" s="16"/>
      <c r="G250" s="18"/>
      <c r="H250" s="16"/>
      <c r="J250" s="42"/>
      <c r="K250" s="42"/>
      <c r="L250" s="42"/>
      <c r="M250" s="42"/>
      <c r="N250" s="42"/>
      <c r="O250" s="42"/>
      <c r="P250" s="42"/>
      <c r="Q250" s="42"/>
      <c r="R250" s="16"/>
      <c r="S250" s="16"/>
      <c r="T250" s="42"/>
      <c r="U250" s="42"/>
      <c r="V250" s="42"/>
      <c r="W250" s="42"/>
      <c r="X250" s="42"/>
      <c r="Y250" s="42"/>
    </row>
    <row r="251" spans="2:25" s="17" customFormat="1" x14ac:dyDescent="0.25">
      <c r="B251" s="15"/>
      <c r="C251" s="15"/>
      <c r="F251" s="16"/>
      <c r="G251" s="18"/>
      <c r="H251" s="16"/>
      <c r="J251" s="42"/>
      <c r="K251" s="42"/>
      <c r="L251" s="42"/>
      <c r="M251" s="42"/>
      <c r="N251" s="42"/>
      <c r="O251" s="42"/>
      <c r="P251" s="42"/>
      <c r="Q251" s="42"/>
      <c r="R251" s="16"/>
      <c r="S251" s="16"/>
      <c r="T251" s="42"/>
      <c r="U251" s="42"/>
      <c r="V251" s="42"/>
      <c r="W251" s="42"/>
      <c r="X251" s="42"/>
      <c r="Y251" s="42"/>
    </row>
    <row r="252" spans="2:25" s="17" customFormat="1" x14ac:dyDescent="0.25">
      <c r="B252" s="15"/>
      <c r="C252" s="15"/>
      <c r="F252" s="16"/>
      <c r="G252" s="18"/>
      <c r="H252" s="16"/>
      <c r="J252" s="42"/>
      <c r="K252" s="42"/>
      <c r="L252" s="42"/>
      <c r="M252" s="42"/>
      <c r="N252" s="42"/>
      <c r="O252" s="42"/>
      <c r="P252" s="42"/>
      <c r="Q252" s="42"/>
      <c r="R252" s="16"/>
      <c r="S252" s="16"/>
      <c r="T252" s="42"/>
      <c r="U252" s="42"/>
      <c r="V252" s="42"/>
      <c r="W252" s="42"/>
      <c r="X252" s="42"/>
      <c r="Y252" s="42"/>
    </row>
    <row r="253" spans="2:25" s="17" customFormat="1" x14ac:dyDescent="0.25">
      <c r="B253" s="15"/>
      <c r="C253" s="15"/>
      <c r="F253" s="16"/>
      <c r="G253" s="18"/>
      <c r="H253" s="16"/>
      <c r="J253" s="42"/>
      <c r="K253" s="42"/>
      <c r="L253" s="42"/>
      <c r="M253" s="42"/>
      <c r="N253" s="42"/>
      <c r="O253" s="42"/>
      <c r="P253" s="42"/>
      <c r="Q253" s="42"/>
      <c r="R253" s="16"/>
      <c r="S253" s="16"/>
      <c r="T253" s="42"/>
      <c r="U253" s="42"/>
      <c r="V253" s="42"/>
      <c r="W253" s="42"/>
      <c r="X253" s="42"/>
      <c r="Y253" s="42"/>
    </row>
    <row r="254" spans="2:25" s="17" customFormat="1" x14ac:dyDescent="0.25">
      <c r="B254" s="15"/>
      <c r="C254" s="15"/>
      <c r="F254" s="16"/>
      <c r="G254" s="18"/>
      <c r="H254" s="16"/>
      <c r="J254" s="42"/>
      <c r="K254" s="42"/>
      <c r="L254" s="42"/>
      <c r="M254" s="42"/>
      <c r="N254" s="42"/>
      <c r="O254" s="42"/>
      <c r="P254" s="42"/>
      <c r="Q254" s="42"/>
      <c r="R254" s="16"/>
      <c r="S254" s="16"/>
      <c r="T254" s="42"/>
      <c r="U254" s="42"/>
      <c r="V254" s="42"/>
      <c r="W254" s="42"/>
      <c r="X254" s="42"/>
      <c r="Y254" s="42"/>
    </row>
    <row r="255" spans="2:25" s="17" customFormat="1" x14ac:dyDescent="0.25">
      <c r="B255" s="15"/>
      <c r="C255" s="15"/>
      <c r="F255" s="16"/>
      <c r="G255" s="18"/>
      <c r="H255" s="16"/>
      <c r="J255" s="42"/>
      <c r="K255" s="42"/>
      <c r="L255" s="42"/>
      <c r="M255" s="42"/>
      <c r="N255" s="42"/>
      <c r="O255" s="42"/>
      <c r="P255" s="42"/>
      <c r="Q255" s="42"/>
      <c r="R255" s="16"/>
      <c r="S255" s="16"/>
      <c r="T255" s="42"/>
      <c r="U255" s="42"/>
      <c r="V255" s="42"/>
      <c r="W255" s="42"/>
      <c r="X255" s="42"/>
      <c r="Y255" s="42"/>
    </row>
    <row r="256" spans="2:25" s="17" customFormat="1" x14ac:dyDescent="0.25">
      <c r="B256" s="15"/>
      <c r="C256" s="15"/>
      <c r="F256" s="16"/>
      <c r="G256" s="18"/>
      <c r="H256" s="16"/>
      <c r="J256" s="42"/>
      <c r="K256" s="42"/>
      <c r="L256" s="42"/>
      <c r="M256" s="42"/>
      <c r="N256" s="42"/>
      <c r="O256" s="42"/>
      <c r="P256" s="42"/>
      <c r="Q256" s="42"/>
      <c r="R256" s="16"/>
      <c r="S256" s="16"/>
      <c r="T256" s="42"/>
      <c r="U256" s="42"/>
      <c r="V256" s="42"/>
      <c r="W256" s="42"/>
      <c r="X256" s="42"/>
      <c r="Y256" s="42"/>
    </row>
    <row r="257" spans="2:25" s="17" customFormat="1" x14ac:dyDescent="0.25">
      <c r="B257" s="15"/>
      <c r="C257" s="15"/>
      <c r="F257" s="16"/>
      <c r="G257" s="18"/>
      <c r="H257" s="16"/>
      <c r="J257" s="42"/>
      <c r="K257" s="42"/>
      <c r="L257" s="42"/>
      <c r="M257" s="42"/>
      <c r="N257" s="42"/>
      <c r="O257" s="42"/>
      <c r="P257" s="42"/>
      <c r="Q257" s="42"/>
      <c r="R257" s="16"/>
      <c r="S257" s="16"/>
      <c r="T257" s="42"/>
      <c r="U257" s="42"/>
      <c r="V257" s="42"/>
      <c r="W257" s="42"/>
      <c r="X257" s="42"/>
      <c r="Y257" s="42"/>
    </row>
    <row r="258" spans="2:25" s="17" customFormat="1" x14ac:dyDescent="0.25">
      <c r="B258" s="15"/>
      <c r="C258" s="15"/>
      <c r="F258" s="16"/>
      <c r="G258" s="18"/>
      <c r="H258" s="16"/>
      <c r="J258" s="42"/>
      <c r="K258" s="42"/>
      <c r="L258" s="42"/>
      <c r="M258" s="42"/>
      <c r="N258" s="42"/>
      <c r="O258" s="42"/>
      <c r="P258" s="42"/>
      <c r="Q258" s="42"/>
      <c r="R258" s="16"/>
      <c r="S258" s="16"/>
      <c r="T258" s="42"/>
      <c r="U258" s="42"/>
      <c r="V258" s="42"/>
      <c r="W258" s="42"/>
      <c r="X258" s="42"/>
      <c r="Y258" s="42"/>
    </row>
    <row r="259" spans="2:25" s="17" customFormat="1" x14ac:dyDescent="0.25">
      <c r="B259" s="15"/>
      <c r="C259" s="15"/>
      <c r="F259" s="16"/>
      <c r="G259" s="18"/>
      <c r="H259" s="16"/>
      <c r="J259" s="42"/>
      <c r="K259" s="42"/>
      <c r="L259" s="42"/>
      <c r="M259" s="42"/>
      <c r="N259" s="42"/>
      <c r="O259" s="42"/>
      <c r="P259" s="42"/>
      <c r="Q259" s="42"/>
      <c r="R259" s="16"/>
      <c r="S259" s="16"/>
      <c r="T259" s="42"/>
      <c r="U259" s="42"/>
      <c r="V259" s="42"/>
      <c r="W259" s="42"/>
      <c r="X259" s="42"/>
      <c r="Y259" s="42"/>
    </row>
    <row r="260" spans="2:25" s="17" customFormat="1" x14ac:dyDescent="0.25">
      <c r="B260" s="15"/>
      <c r="C260" s="15"/>
      <c r="F260" s="16"/>
      <c r="G260" s="18"/>
      <c r="H260" s="16"/>
      <c r="J260" s="42"/>
      <c r="K260" s="42"/>
      <c r="L260" s="42"/>
      <c r="M260" s="42"/>
      <c r="N260" s="42"/>
      <c r="O260" s="42"/>
      <c r="P260" s="42"/>
      <c r="Q260" s="42"/>
      <c r="R260" s="16"/>
      <c r="S260" s="16"/>
      <c r="T260" s="42"/>
      <c r="U260" s="42"/>
      <c r="V260" s="42"/>
      <c r="W260" s="42"/>
      <c r="X260" s="42"/>
      <c r="Y260" s="42"/>
    </row>
    <row r="261" spans="2:25" s="17" customFormat="1" x14ac:dyDescent="0.25">
      <c r="B261" s="15"/>
      <c r="C261" s="15"/>
      <c r="F261" s="16"/>
      <c r="G261" s="18"/>
      <c r="H261" s="16"/>
      <c r="J261" s="42"/>
      <c r="K261" s="42"/>
      <c r="L261" s="42"/>
      <c r="M261" s="42"/>
      <c r="N261" s="42"/>
      <c r="O261" s="42"/>
      <c r="P261" s="42"/>
      <c r="Q261" s="42"/>
      <c r="R261" s="16"/>
      <c r="S261" s="16"/>
      <c r="T261" s="42"/>
      <c r="U261" s="42"/>
      <c r="V261" s="42"/>
      <c r="W261" s="42"/>
      <c r="X261" s="42"/>
      <c r="Y261" s="42"/>
    </row>
    <row r="262" spans="2:25" s="17" customFormat="1" x14ac:dyDescent="0.25">
      <c r="B262" s="15"/>
      <c r="C262" s="15"/>
      <c r="F262" s="16"/>
      <c r="G262" s="18"/>
      <c r="H262" s="16"/>
      <c r="J262" s="42"/>
      <c r="K262" s="42"/>
      <c r="L262" s="42"/>
      <c r="M262" s="42"/>
      <c r="N262" s="42"/>
      <c r="O262" s="42"/>
      <c r="P262" s="42"/>
      <c r="Q262" s="42"/>
      <c r="R262" s="16"/>
      <c r="S262" s="16"/>
      <c r="T262" s="42"/>
      <c r="U262" s="42"/>
      <c r="V262" s="42"/>
      <c r="W262" s="42"/>
      <c r="X262" s="42"/>
      <c r="Y262" s="42"/>
    </row>
    <row r="263" spans="2:25" s="17" customFormat="1" x14ac:dyDescent="0.25">
      <c r="B263" s="15"/>
      <c r="C263" s="15"/>
      <c r="F263" s="16"/>
      <c r="G263" s="18"/>
      <c r="H263" s="16"/>
      <c r="J263" s="42"/>
      <c r="K263" s="42"/>
      <c r="L263" s="42"/>
      <c r="M263" s="42"/>
      <c r="N263" s="42"/>
      <c r="O263" s="42"/>
      <c r="P263" s="42"/>
      <c r="Q263" s="42"/>
      <c r="R263" s="16"/>
      <c r="S263" s="16"/>
      <c r="T263" s="42"/>
      <c r="U263" s="42"/>
      <c r="V263" s="42"/>
      <c r="W263" s="42"/>
      <c r="X263" s="42"/>
      <c r="Y263" s="42"/>
    </row>
    <row r="264" spans="2:25" s="17" customFormat="1" x14ac:dyDescent="0.25">
      <c r="B264" s="15"/>
      <c r="C264" s="15"/>
      <c r="F264" s="16"/>
      <c r="G264" s="18"/>
      <c r="H264" s="16"/>
      <c r="J264" s="42"/>
      <c r="K264" s="42"/>
      <c r="L264" s="42"/>
      <c r="M264" s="42"/>
      <c r="N264" s="42"/>
      <c r="O264" s="42"/>
      <c r="P264" s="42"/>
      <c r="Q264" s="42"/>
      <c r="R264" s="16"/>
      <c r="S264" s="16"/>
      <c r="T264" s="42"/>
      <c r="U264" s="42"/>
      <c r="V264" s="42"/>
      <c r="W264" s="42"/>
      <c r="X264" s="42"/>
      <c r="Y264" s="42"/>
    </row>
    <row r="265" spans="2:25" s="17" customFormat="1" x14ac:dyDescent="0.25">
      <c r="B265" s="15"/>
      <c r="C265" s="15"/>
      <c r="F265" s="16"/>
      <c r="G265" s="18"/>
      <c r="H265" s="16"/>
      <c r="J265" s="42"/>
      <c r="K265" s="42"/>
      <c r="L265" s="42"/>
      <c r="M265" s="42"/>
      <c r="N265" s="42"/>
      <c r="O265" s="42"/>
      <c r="P265" s="42"/>
      <c r="Q265" s="42"/>
      <c r="R265" s="16"/>
      <c r="S265" s="16"/>
      <c r="T265" s="42"/>
      <c r="U265" s="42"/>
      <c r="V265" s="42"/>
      <c r="W265" s="42"/>
      <c r="X265" s="42"/>
      <c r="Y265" s="42"/>
    </row>
    <row r="266" spans="2:25" s="17" customFormat="1" x14ac:dyDescent="0.25">
      <c r="B266" s="15"/>
      <c r="C266" s="15"/>
      <c r="F266" s="16"/>
      <c r="G266" s="18"/>
      <c r="H266" s="16"/>
      <c r="J266" s="42"/>
      <c r="K266" s="42"/>
      <c r="L266" s="42"/>
      <c r="M266" s="42"/>
      <c r="N266" s="42"/>
      <c r="O266" s="42"/>
      <c r="P266" s="42"/>
      <c r="Q266" s="42"/>
      <c r="R266" s="16"/>
      <c r="S266" s="16"/>
      <c r="T266" s="42"/>
      <c r="U266" s="42"/>
      <c r="V266" s="42"/>
      <c r="W266" s="42"/>
      <c r="X266" s="42"/>
      <c r="Y266" s="42"/>
    </row>
    <row r="267" spans="2:25" s="17" customFormat="1" x14ac:dyDescent="0.25">
      <c r="B267" s="15"/>
      <c r="C267" s="15"/>
      <c r="F267" s="16"/>
      <c r="G267" s="18"/>
      <c r="H267" s="16"/>
      <c r="J267" s="42"/>
      <c r="K267" s="42"/>
      <c r="L267" s="42"/>
      <c r="M267" s="42"/>
      <c r="N267" s="42"/>
      <c r="O267" s="42"/>
      <c r="P267" s="42"/>
      <c r="Q267" s="42"/>
      <c r="R267" s="16"/>
      <c r="S267" s="16"/>
      <c r="T267" s="42"/>
      <c r="U267" s="42"/>
      <c r="V267" s="42"/>
      <c r="W267" s="42"/>
      <c r="X267" s="42"/>
      <c r="Y267" s="42"/>
    </row>
    <row r="268" spans="2:25" s="17" customFormat="1" x14ac:dyDescent="0.25">
      <c r="B268" s="15"/>
      <c r="C268" s="15"/>
      <c r="F268" s="16"/>
      <c r="G268" s="18"/>
      <c r="H268" s="16"/>
      <c r="J268" s="42"/>
      <c r="K268" s="42"/>
      <c r="L268" s="42"/>
      <c r="M268" s="42"/>
      <c r="N268" s="42"/>
      <c r="O268" s="42"/>
      <c r="P268" s="42"/>
      <c r="Q268" s="42"/>
      <c r="R268" s="16"/>
      <c r="S268" s="16"/>
      <c r="T268" s="42"/>
      <c r="U268" s="42"/>
      <c r="V268" s="42"/>
      <c r="W268" s="42"/>
      <c r="X268" s="42"/>
      <c r="Y268" s="42"/>
    </row>
    <row r="269" spans="2:25" s="17" customFormat="1" x14ac:dyDescent="0.25">
      <c r="B269" s="15"/>
      <c r="C269" s="15"/>
      <c r="F269" s="16"/>
      <c r="G269" s="18"/>
      <c r="H269" s="16"/>
      <c r="J269" s="42"/>
      <c r="K269" s="42"/>
      <c r="L269" s="42"/>
      <c r="M269" s="42"/>
      <c r="N269" s="42"/>
      <c r="O269" s="42"/>
      <c r="P269" s="42"/>
      <c r="Q269" s="42"/>
      <c r="R269" s="16"/>
      <c r="S269" s="16"/>
      <c r="T269" s="42"/>
      <c r="U269" s="42"/>
      <c r="V269" s="42"/>
      <c r="W269" s="42"/>
      <c r="X269" s="42"/>
      <c r="Y269" s="42"/>
    </row>
    <row r="270" spans="2:25" s="17" customFormat="1" x14ac:dyDescent="0.25">
      <c r="B270" s="15"/>
      <c r="C270" s="15"/>
      <c r="F270" s="16"/>
      <c r="G270" s="18"/>
      <c r="H270" s="16"/>
      <c r="J270" s="42"/>
      <c r="K270" s="42"/>
      <c r="L270" s="42"/>
      <c r="M270" s="42"/>
      <c r="N270" s="42"/>
      <c r="O270" s="42"/>
      <c r="P270" s="42"/>
      <c r="Q270" s="42"/>
      <c r="R270" s="16"/>
      <c r="S270" s="16"/>
      <c r="T270" s="42"/>
      <c r="U270" s="42"/>
      <c r="V270" s="42"/>
      <c r="W270" s="42"/>
      <c r="X270" s="42"/>
      <c r="Y270" s="42"/>
    </row>
    <row r="271" spans="2:25" s="17" customFormat="1" x14ac:dyDescent="0.25">
      <c r="B271" s="15"/>
      <c r="C271" s="15"/>
      <c r="F271" s="16"/>
      <c r="G271" s="18"/>
      <c r="H271" s="16"/>
      <c r="J271" s="42"/>
      <c r="K271" s="42"/>
      <c r="L271" s="42"/>
      <c r="M271" s="42"/>
      <c r="N271" s="42"/>
      <c r="O271" s="42"/>
      <c r="P271" s="42"/>
      <c r="Q271" s="42"/>
      <c r="R271" s="16"/>
      <c r="S271" s="16"/>
      <c r="T271" s="42"/>
      <c r="U271" s="42"/>
      <c r="V271" s="42"/>
      <c r="W271" s="42"/>
      <c r="X271" s="42"/>
      <c r="Y271" s="42"/>
    </row>
    <row r="272" spans="2:25" s="17" customFormat="1" x14ac:dyDescent="0.25">
      <c r="B272" s="15"/>
      <c r="C272" s="15"/>
      <c r="F272" s="16"/>
      <c r="G272" s="18"/>
      <c r="H272" s="16"/>
      <c r="J272" s="42"/>
      <c r="K272" s="42"/>
      <c r="L272" s="42"/>
      <c r="M272" s="42"/>
      <c r="N272" s="42"/>
      <c r="O272" s="42"/>
      <c r="P272" s="42"/>
      <c r="Q272" s="42"/>
      <c r="R272" s="16"/>
      <c r="S272" s="16"/>
      <c r="T272" s="42"/>
      <c r="U272" s="42"/>
      <c r="V272" s="42"/>
      <c r="W272" s="42"/>
      <c r="X272" s="42"/>
      <c r="Y272" s="42"/>
    </row>
    <row r="273" spans="2:25" s="17" customFormat="1" x14ac:dyDescent="0.25">
      <c r="B273" s="15"/>
      <c r="C273" s="15"/>
      <c r="F273" s="16"/>
      <c r="G273" s="18"/>
      <c r="H273" s="16"/>
      <c r="J273" s="42"/>
      <c r="K273" s="42"/>
      <c r="L273" s="42"/>
      <c r="M273" s="42"/>
      <c r="N273" s="42"/>
      <c r="O273" s="42"/>
      <c r="P273" s="42"/>
      <c r="Q273" s="42"/>
      <c r="R273" s="16"/>
      <c r="S273" s="16"/>
      <c r="T273" s="42"/>
      <c r="U273" s="42"/>
      <c r="V273" s="42"/>
      <c r="W273" s="42"/>
      <c r="X273" s="42"/>
      <c r="Y273" s="42"/>
    </row>
    <row r="274" spans="2:25" s="17" customFormat="1" x14ac:dyDescent="0.25">
      <c r="B274" s="15"/>
      <c r="C274" s="15"/>
      <c r="F274" s="16"/>
      <c r="G274" s="18"/>
      <c r="H274" s="16"/>
      <c r="J274" s="42"/>
      <c r="K274" s="42"/>
      <c r="L274" s="42"/>
      <c r="M274" s="42"/>
      <c r="N274" s="42"/>
      <c r="O274" s="42"/>
      <c r="P274" s="42"/>
      <c r="Q274" s="42"/>
      <c r="R274" s="16"/>
      <c r="S274" s="16"/>
      <c r="T274" s="42"/>
      <c r="U274" s="42"/>
      <c r="V274" s="42"/>
      <c r="W274" s="42"/>
      <c r="X274" s="42"/>
      <c r="Y274" s="42"/>
    </row>
    <row r="275" spans="2:25" s="17" customFormat="1" x14ac:dyDescent="0.25">
      <c r="B275" s="15"/>
      <c r="C275" s="15"/>
      <c r="F275" s="16"/>
      <c r="G275" s="18"/>
      <c r="H275" s="16"/>
      <c r="J275" s="42"/>
      <c r="K275" s="42"/>
      <c r="L275" s="42"/>
      <c r="M275" s="42"/>
      <c r="N275" s="42"/>
      <c r="O275" s="42"/>
      <c r="P275" s="42"/>
      <c r="Q275" s="42"/>
      <c r="R275" s="16"/>
      <c r="S275" s="16"/>
      <c r="T275" s="42"/>
      <c r="U275" s="42"/>
      <c r="V275" s="42"/>
      <c r="W275" s="42"/>
      <c r="X275" s="42"/>
      <c r="Y275" s="42"/>
    </row>
    <row r="276" spans="2:25" s="17" customFormat="1" x14ac:dyDescent="0.25">
      <c r="B276" s="15"/>
      <c r="C276" s="15"/>
      <c r="F276" s="16"/>
      <c r="G276" s="18"/>
      <c r="H276" s="16"/>
      <c r="J276" s="42"/>
      <c r="K276" s="42"/>
      <c r="L276" s="42"/>
      <c r="M276" s="42"/>
      <c r="N276" s="42"/>
      <c r="O276" s="42"/>
      <c r="P276" s="42"/>
      <c r="Q276" s="42"/>
      <c r="R276" s="16"/>
      <c r="S276" s="16"/>
      <c r="T276" s="42"/>
      <c r="U276" s="42"/>
      <c r="V276" s="42"/>
      <c r="W276" s="42"/>
      <c r="X276" s="42"/>
      <c r="Y276" s="42"/>
    </row>
    <row r="277" spans="2:25" s="17" customFormat="1" x14ac:dyDescent="0.25">
      <c r="B277" s="15"/>
      <c r="C277" s="15"/>
      <c r="F277" s="16"/>
      <c r="G277" s="18"/>
      <c r="H277" s="16"/>
      <c r="J277" s="42"/>
      <c r="K277" s="42"/>
      <c r="L277" s="42"/>
      <c r="M277" s="42"/>
      <c r="N277" s="42"/>
      <c r="O277" s="42"/>
      <c r="P277" s="42"/>
      <c r="Q277" s="42"/>
      <c r="R277" s="16"/>
      <c r="S277" s="16"/>
      <c r="T277" s="42"/>
      <c r="U277" s="42"/>
      <c r="V277" s="42"/>
      <c r="W277" s="42"/>
      <c r="X277" s="42"/>
      <c r="Y277" s="42"/>
    </row>
    <row r="278" spans="2:25" s="17" customFormat="1" x14ac:dyDescent="0.25">
      <c r="B278" s="15"/>
      <c r="C278" s="15"/>
      <c r="F278" s="16"/>
      <c r="G278" s="18"/>
      <c r="H278" s="16"/>
      <c r="J278" s="42"/>
      <c r="K278" s="42"/>
      <c r="L278" s="42"/>
      <c r="M278" s="42"/>
      <c r="N278" s="42"/>
      <c r="O278" s="42"/>
      <c r="P278" s="42"/>
      <c r="Q278" s="42"/>
      <c r="R278" s="16"/>
      <c r="S278" s="16"/>
      <c r="T278" s="42"/>
      <c r="U278" s="42"/>
      <c r="V278" s="42"/>
      <c r="W278" s="42"/>
      <c r="X278" s="42"/>
      <c r="Y278" s="42"/>
    </row>
    <row r="279" spans="2:25" s="17" customFormat="1" x14ac:dyDescent="0.25">
      <c r="B279" s="15"/>
      <c r="C279" s="15"/>
      <c r="F279" s="16"/>
      <c r="G279" s="18"/>
      <c r="H279" s="16"/>
      <c r="J279" s="42"/>
      <c r="K279" s="42"/>
      <c r="L279" s="42"/>
      <c r="M279" s="42"/>
      <c r="N279" s="42"/>
      <c r="O279" s="42"/>
      <c r="P279" s="42"/>
      <c r="Q279" s="42"/>
      <c r="R279" s="16"/>
      <c r="S279" s="16"/>
      <c r="T279" s="42"/>
      <c r="U279" s="42"/>
      <c r="V279" s="42"/>
      <c r="W279" s="42"/>
      <c r="X279" s="42"/>
      <c r="Y279" s="42"/>
    </row>
    <row r="280" spans="2:25" s="17" customFormat="1" x14ac:dyDescent="0.25">
      <c r="B280" s="15"/>
      <c r="C280" s="15"/>
      <c r="F280" s="16"/>
      <c r="G280" s="18"/>
      <c r="H280" s="16"/>
      <c r="J280" s="42"/>
      <c r="K280" s="42"/>
      <c r="L280" s="42"/>
      <c r="M280" s="42"/>
      <c r="N280" s="42"/>
      <c r="O280" s="42"/>
      <c r="P280" s="42"/>
      <c r="Q280" s="42"/>
      <c r="R280" s="16"/>
      <c r="S280" s="16"/>
      <c r="T280" s="42"/>
      <c r="U280" s="42"/>
      <c r="V280" s="42"/>
      <c r="W280" s="42"/>
      <c r="X280" s="42"/>
      <c r="Y280" s="42"/>
    </row>
    <row r="281" spans="2:25" s="17" customFormat="1" x14ac:dyDescent="0.25">
      <c r="B281" s="15"/>
      <c r="C281" s="15"/>
      <c r="F281" s="16"/>
      <c r="G281" s="18"/>
      <c r="H281" s="16"/>
      <c r="J281" s="42"/>
      <c r="K281" s="42"/>
      <c r="L281" s="42"/>
      <c r="M281" s="42"/>
      <c r="N281" s="42"/>
      <c r="O281" s="42"/>
      <c r="P281" s="42"/>
      <c r="Q281" s="42"/>
      <c r="R281" s="16"/>
      <c r="S281" s="16"/>
      <c r="T281" s="42"/>
      <c r="U281" s="42"/>
      <c r="V281" s="42"/>
      <c r="W281" s="42"/>
      <c r="X281" s="42"/>
      <c r="Y281" s="42"/>
    </row>
    <row r="282" spans="2:25" s="17" customFormat="1" x14ac:dyDescent="0.25">
      <c r="B282" s="15"/>
      <c r="C282" s="15"/>
      <c r="F282" s="16"/>
      <c r="G282" s="18"/>
      <c r="H282" s="16"/>
      <c r="J282" s="42"/>
      <c r="K282" s="42"/>
      <c r="L282" s="42"/>
      <c r="M282" s="42"/>
      <c r="N282" s="42"/>
      <c r="O282" s="42"/>
      <c r="P282" s="42"/>
      <c r="Q282" s="42"/>
      <c r="R282" s="16"/>
      <c r="S282" s="16"/>
      <c r="T282" s="42"/>
      <c r="U282" s="42"/>
      <c r="V282" s="42"/>
      <c r="W282" s="42"/>
      <c r="X282" s="42"/>
      <c r="Y282" s="42"/>
    </row>
    <row r="283" spans="2:25" s="17" customFormat="1" x14ac:dyDescent="0.25">
      <c r="B283" s="15"/>
      <c r="C283" s="15"/>
      <c r="F283" s="16"/>
      <c r="G283" s="18"/>
      <c r="H283" s="16"/>
      <c r="J283" s="42"/>
      <c r="K283" s="42"/>
      <c r="L283" s="42"/>
      <c r="M283" s="42"/>
      <c r="N283" s="42"/>
      <c r="O283" s="42"/>
      <c r="P283" s="42"/>
      <c r="Q283" s="42"/>
      <c r="R283" s="16"/>
      <c r="S283" s="16"/>
      <c r="T283" s="42"/>
      <c r="U283" s="42"/>
      <c r="V283" s="42"/>
      <c r="W283" s="42"/>
      <c r="X283" s="42"/>
      <c r="Y283" s="42"/>
    </row>
    <row r="284" spans="2:25" s="17" customFormat="1" x14ac:dyDescent="0.25">
      <c r="B284" s="15"/>
      <c r="C284" s="15"/>
      <c r="F284" s="16"/>
      <c r="G284" s="18"/>
      <c r="H284" s="16"/>
      <c r="J284" s="42"/>
      <c r="K284" s="42"/>
      <c r="L284" s="42"/>
      <c r="M284" s="42"/>
      <c r="N284" s="42"/>
      <c r="O284" s="42"/>
      <c r="P284" s="42"/>
      <c r="Q284" s="42"/>
      <c r="R284" s="16"/>
      <c r="S284" s="16"/>
      <c r="T284" s="42"/>
      <c r="U284" s="42"/>
      <c r="V284" s="42"/>
      <c r="W284" s="42"/>
      <c r="X284" s="42"/>
      <c r="Y284" s="42"/>
    </row>
    <row r="285" spans="2:25" s="17" customFormat="1" x14ac:dyDescent="0.25">
      <c r="B285" s="15"/>
      <c r="C285" s="15"/>
      <c r="F285" s="16"/>
      <c r="G285" s="18"/>
      <c r="H285" s="16"/>
      <c r="J285" s="42"/>
      <c r="K285" s="42"/>
      <c r="L285" s="42"/>
      <c r="M285" s="42"/>
      <c r="N285" s="42"/>
      <c r="O285" s="42"/>
      <c r="P285" s="42"/>
      <c r="Q285" s="42"/>
      <c r="R285" s="16"/>
      <c r="S285" s="16"/>
      <c r="T285" s="42"/>
      <c r="U285" s="42"/>
      <c r="V285" s="42"/>
      <c r="W285" s="42"/>
      <c r="X285" s="42"/>
      <c r="Y285" s="42"/>
    </row>
    <row r="286" spans="2:25" s="17" customFormat="1" x14ac:dyDescent="0.25">
      <c r="B286" s="15"/>
      <c r="C286" s="15"/>
      <c r="F286" s="16"/>
      <c r="G286" s="18"/>
      <c r="H286" s="16"/>
      <c r="J286" s="42"/>
      <c r="K286" s="42"/>
      <c r="L286" s="42"/>
      <c r="M286" s="42"/>
      <c r="N286" s="42"/>
      <c r="O286" s="42"/>
      <c r="P286" s="42"/>
      <c r="Q286" s="42"/>
      <c r="R286" s="16"/>
      <c r="S286" s="16"/>
      <c r="T286" s="42"/>
      <c r="U286" s="42"/>
      <c r="V286" s="42"/>
      <c r="W286" s="42"/>
      <c r="X286" s="42"/>
      <c r="Y286" s="42"/>
    </row>
    <row r="287" spans="2:25" s="17" customFormat="1" x14ac:dyDescent="0.25">
      <c r="B287" s="15"/>
      <c r="C287" s="15"/>
      <c r="F287" s="16"/>
      <c r="G287" s="18"/>
      <c r="H287" s="16"/>
      <c r="J287" s="42"/>
      <c r="K287" s="42"/>
      <c r="L287" s="42"/>
      <c r="M287" s="42"/>
      <c r="N287" s="42"/>
      <c r="O287" s="42"/>
      <c r="P287" s="42"/>
      <c r="Q287" s="42"/>
      <c r="R287" s="16"/>
      <c r="S287" s="16"/>
      <c r="T287" s="42"/>
      <c r="U287" s="42"/>
      <c r="V287" s="42"/>
      <c r="W287" s="42"/>
      <c r="X287" s="42"/>
      <c r="Y287" s="42"/>
    </row>
    <row r="288" spans="2:25" s="17" customFormat="1" x14ac:dyDescent="0.25">
      <c r="B288" s="15"/>
      <c r="C288" s="15"/>
      <c r="F288" s="16"/>
      <c r="G288" s="18"/>
      <c r="H288" s="16"/>
      <c r="J288" s="42"/>
      <c r="K288" s="42"/>
      <c r="L288" s="42"/>
      <c r="M288" s="42"/>
      <c r="N288" s="42"/>
      <c r="O288" s="42"/>
      <c r="P288" s="42"/>
      <c r="Q288" s="42"/>
      <c r="R288" s="16"/>
      <c r="S288" s="16"/>
      <c r="T288" s="42"/>
      <c r="U288" s="42"/>
      <c r="V288" s="42"/>
      <c r="W288" s="42"/>
      <c r="X288" s="42"/>
      <c r="Y288" s="42"/>
    </row>
    <row r="289" spans="2:25" s="17" customFormat="1" x14ac:dyDescent="0.25">
      <c r="B289" s="15"/>
      <c r="C289" s="15"/>
      <c r="F289" s="16"/>
      <c r="G289" s="18"/>
      <c r="H289" s="16"/>
      <c r="J289" s="42"/>
      <c r="K289" s="42"/>
      <c r="L289" s="42"/>
      <c r="M289" s="42"/>
      <c r="N289" s="42"/>
      <c r="O289" s="42"/>
      <c r="P289" s="42"/>
      <c r="Q289" s="42"/>
      <c r="R289" s="16"/>
      <c r="S289" s="16"/>
      <c r="T289" s="42"/>
      <c r="U289" s="42"/>
      <c r="V289" s="42"/>
      <c r="W289" s="42"/>
      <c r="X289" s="42"/>
      <c r="Y289" s="42"/>
    </row>
    <row r="290" spans="2:25" s="17" customFormat="1" x14ac:dyDescent="0.25">
      <c r="B290" s="15"/>
      <c r="C290" s="15"/>
      <c r="F290" s="16"/>
      <c r="G290" s="18"/>
      <c r="H290" s="16"/>
      <c r="J290" s="42"/>
      <c r="K290" s="42"/>
      <c r="L290" s="42"/>
      <c r="M290" s="42"/>
      <c r="N290" s="42"/>
      <c r="O290" s="42"/>
      <c r="P290" s="42"/>
      <c r="Q290" s="42"/>
      <c r="R290" s="16"/>
      <c r="S290" s="16"/>
      <c r="T290" s="42"/>
      <c r="U290" s="42"/>
      <c r="V290" s="42"/>
      <c r="W290" s="42"/>
      <c r="X290" s="42"/>
      <c r="Y290" s="42"/>
    </row>
    <row r="291" spans="2:25" s="17" customFormat="1" x14ac:dyDescent="0.25">
      <c r="B291" s="15"/>
      <c r="C291" s="15"/>
      <c r="F291" s="16"/>
      <c r="G291" s="18"/>
      <c r="H291" s="16"/>
      <c r="J291" s="42"/>
      <c r="K291" s="42"/>
      <c r="L291" s="42"/>
      <c r="M291" s="42"/>
      <c r="N291" s="42"/>
      <c r="O291" s="42"/>
      <c r="P291" s="42"/>
      <c r="Q291" s="42"/>
      <c r="R291" s="16"/>
      <c r="S291" s="16"/>
      <c r="T291" s="42"/>
      <c r="U291" s="42"/>
      <c r="V291" s="42"/>
      <c r="W291" s="42"/>
      <c r="X291" s="42"/>
      <c r="Y291" s="42"/>
    </row>
    <row r="292" spans="2:25" s="17" customFormat="1" x14ac:dyDescent="0.25">
      <c r="B292" s="15"/>
      <c r="C292" s="15"/>
      <c r="F292" s="16"/>
      <c r="G292" s="18"/>
      <c r="H292" s="16"/>
      <c r="J292" s="42"/>
      <c r="K292" s="42"/>
      <c r="L292" s="42"/>
      <c r="M292" s="42"/>
      <c r="N292" s="42"/>
      <c r="O292" s="42"/>
      <c r="P292" s="42"/>
      <c r="Q292" s="42"/>
      <c r="R292" s="16"/>
      <c r="S292" s="16"/>
      <c r="T292" s="42"/>
      <c r="U292" s="42"/>
      <c r="V292" s="42"/>
      <c r="W292" s="42"/>
      <c r="X292" s="42"/>
      <c r="Y292" s="42"/>
    </row>
    <row r="293" spans="2:25" s="17" customFormat="1" x14ac:dyDescent="0.25">
      <c r="B293" s="15"/>
      <c r="C293" s="15"/>
      <c r="F293" s="16"/>
      <c r="G293" s="18"/>
      <c r="H293" s="16"/>
      <c r="J293" s="42"/>
      <c r="K293" s="42"/>
      <c r="L293" s="42"/>
      <c r="M293" s="42"/>
      <c r="N293" s="42"/>
      <c r="O293" s="42"/>
      <c r="P293" s="42"/>
      <c r="Q293" s="42"/>
      <c r="R293" s="16"/>
      <c r="S293" s="16"/>
      <c r="T293" s="42"/>
      <c r="U293" s="42"/>
      <c r="V293" s="42"/>
      <c r="W293" s="42"/>
      <c r="X293" s="42"/>
      <c r="Y293" s="42"/>
    </row>
    <row r="294" spans="2:25" s="17" customFormat="1" x14ac:dyDescent="0.25">
      <c r="B294" s="15"/>
      <c r="C294" s="15"/>
      <c r="F294" s="16"/>
      <c r="G294" s="18"/>
      <c r="H294" s="16"/>
      <c r="J294" s="42"/>
      <c r="K294" s="42"/>
      <c r="L294" s="42"/>
      <c r="M294" s="42"/>
      <c r="N294" s="42"/>
      <c r="O294" s="42"/>
      <c r="P294" s="42"/>
      <c r="Q294" s="42"/>
      <c r="R294" s="16"/>
      <c r="S294" s="16"/>
      <c r="T294" s="42"/>
      <c r="U294" s="42"/>
      <c r="V294" s="42"/>
      <c r="W294" s="42"/>
      <c r="X294" s="42"/>
      <c r="Y294" s="42"/>
    </row>
    <row r="295" spans="2:25" s="17" customFormat="1" x14ac:dyDescent="0.25">
      <c r="B295" s="15"/>
      <c r="C295" s="15"/>
      <c r="F295" s="16"/>
      <c r="G295" s="18"/>
      <c r="H295" s="16"/>
      <c r="J295" s="42"/>
      <c r="K295" s="42"/>
      <c r="L295" s="42"/>
      <c r="M295" s="42"/>
      <c r="N295" s="42"/>
      <c r="O295" s="42"/>
      <c r="P295" s="42"/>
      <c r="Q295" s="42"/>
      <c r="R295" s="16"/>
      <c r="S295" s="16"/>
      <c r="T295" s="42"/>
      <c r="U295" s="42"/>
      <c r="V295" s="42"/>
      <c r="W295" s="42"/>
      <c r="X295" s="42"/>
      <c r="Y295" s="42"/>
    </row>
    <row r="296" spans="2:25" s="17" customFormat="1" x14ac:dyDescent="0.25">
      <c r="B296" s="15"/>
      <c r="C296" s="15"/>
      <c r="F296" s="16"/>
      <c r="G296" s="18"/>
      <c r="H296" s="16"/>
      <c r="J296" s="42"/>
      <c r="K296" s="42"/>
      <c r="L296" s="42"/>
      <c r="M296" s="42"/>
      <c r="N296" s="42"/>
      <c r="O296" s="42"/>
      <c r="P296" s="42"/>
      <c r="Q296" s="42"/>
      <c r="R296" s="16"/>
      <c r="S296" s="16"/>
      <c r="T296" s="42"/>
      <c r="U296" s="42"/>
      <c r="V296" s="42"/>
      <c r="W296" s="42"/>
      <c r="X296" s="42"/>
      <c r="Y296" s="42"/>
    </row>
    <row r="297" spans="2:25" s="17" customFormat="1" x14ac:dyDescent="0.25">
      <c r="B297" s="15"/>
      <c r="C297" s="15"/>
      <c r="F297" s="16"/>
      <c r="G297" s="18"/>
      <c r="H297" s="16"/>
      <c r="J297" s="42"/>
      <c r="K297" s="42"/>
      <c r="L297" s="42"/>
      <c r="M297" s="42"/>
      <c r="N297" s="42"/>
      <c r="O297" s="42"/>
      <c r="P297" s="42"/>
      <c r="Q297" s="42"/>
      <c r="R297" s="16"/>
      <c r="S297" s="16"/>
      <c r="T297" s="42"/>
      <c r="U297" s="42"/>
      <c r="V297" s="42"/>
      <c r="W297" s="42"/>
      <c r="X297" s="42"/>
      <c r="Y297" s="42"/>
    </row>
    <row r="298" spans="2:25" s="17" customFormat="1" x14ac:dyDescent="0.25">
      <c r="B298" s="15"/>
      <c r="C298" s="15"/>
      <c r="F298" s="16"/>
      <c r="G298" s="18"/>
      <c r="H298" s="16"/>
      <c r="J298" s="42"/>
      <c r="K298" s="42"/>
      <c r="L298" s="42"/>
      <c r="M298" s="42"/>
      <c r="N298" s="42"/>
      <c r="O298" s="42"/>
      <c r="P298" s="42"/>
      <c r="Q298" s="42"/>
      <c r="R298" s="16"/>
      <c r="S298" s="16"/>
      <c r="T298" s="42"/>
      <c r="U298" s="42"/>
      <c r="V298" s="42"/>
      <c r="W298" s="42"/>
      <c r="X298" s="42"/>
      <c r="Y298" s="42"/>
    </row>
    <row r="299" spans="2:25" s="17" customFormat="1" x14ac:dyDescent="0.25">
      <c r="B299" s="15"/>
      <c r="C299" s="15"/>
      <c r="F299" s="16"/>
      <c r="G299" s="18"/>
      <c r="H299" s="16"/>
      <c r="J299" s="42"/>
      <c r="K299" s="42"/>
      <c r="L299" s="42"/>
      <c r="M299" s="42"/>
      <c r="N299" s="42"/>
      <c r="O299" s="42"/>
      <c r="P299" s="42"/>
      <c r="Q299" s="42"/>
      <c r="R299" s="16"/>
      <c r="S299" s="16"/>
      <c r="T299" s="42"/>
      <c r="U299" s="42"/>
      <c r="V299" s="42"/>
      <c r="W299" s="42"/>
      <c r="X299" s="42"/>
      <c r="Y299" s="42"/>
    </row>
    <row r="300" spans="2:25" s="17" customFormat="1" x14ac:dyDescent="0.25">
      <c r="B300" s="15"/>
      <c r="C300" s="15"/>
      <c r="F300" s="16"/>
      <c r="G300" s="18"/>
      <c r="H300" s="16"/>
      <c r="J300" s="42"/>
      <c r="K300" s="42"/>
      <c r="L300" s="42"/>
      <c r="M300" s="42"/>
      <c r="N300" s="42"/>
      <c r="O300" s="42"/>
      <c r="P300" s="42"/>
      <c r="Q300" s="42"/>
      <c r="R300" s="16"/>
      <c r="S300" s="16"/>
      <c r="T300" s="42"/>
      <c r="U300" s="42"/>
      <c r="V300" s="42"/>
      <c r="W300" s="42"/>
      <c r="X300" s="42"/>
      <c r="Y300" s="42"/>
    </row>
    <row r="301" spans="2:25" s="17" customFormat="1" x14ac:dyDescent="0.25">
      <c r="B301" s="15"/>
      <c r="C301" s="15"/>
      <c r="F301" s="16"/>
      <c r="G301" s="18"/>
      <c r="H301" s="16"/>
      <c r="J301" s="42"/>
      <c r="K301" s="42"/>
      <c r="L301" s="42"/>
      <c r="M301" s="42"/>
      <c r="N301" s="42"/>
      <c r="O301" s="42"/>
      <c r="P301" s="42"/>
      <c r="Q301" s="42"/>
      <c r="R301" s="16"/>
      <c r="S301" s="16"/>
      <c r="T301" s="42"/>
      <c r="U301" s="42"/>
      <c r="V301" s="42"/>
      <c r="W301" s="42"/>
      <c r="X301" s="42"/>
      <c r="Y301" s="42"/>
    </row>
    <row r="302" spans="2:25" s="17" customFormat="1" x14ac:dyDescent="0.25">
      <c r="B302" s="15"/>
      <c r="C302" s="15"/>
      <c r="F302" s="16"/>
      <c r="G302" s="18"/>
      <c r="H302" s="16"/>
      <c r="J302" s="42"/>
      <c r="K302" s="42"/>
      <c r="L302" s="42"/>
      <c r="M302" s="42"/>
      <c r="N302" s="42"/>
      <c r="O302" s="42"/>
      <c r="P302" s="42"/>
      <c r="Q302" s="42"/>
      <c r="R302" s="16"/>
      <c r="S302" s="16"/>
      <c r="T302" s="42"/>
      <c r="U302" s="42"/>
      <c r="V302" s="42"/>
      <c r="W302" s="42"/>
      <c r="X302" s="42"/>
      <c r="Y302" s="42"/>
    </row>
    <row r="303" spans="2:25" s="17" customFormat="1" x14ac:dyDescent="0.25">
      <c r="B303" s="15"/>
      <c r="C303" s="15"/>
      <c r="F303" s="16"/>
      <c r="G303" s="18"/>
      <c r="H303" s="16"/>
      <c r="J303" s="42"/>
      <c r="K303" s="42"/>
      <c r="L303" s="42"/>
      <c r="M303" s="42"/>
      <c r="N303" s="42"/>
      <c r="O303" s="42"/>
      <c r="P303" s="42"/>
      <c r="Q303" s="42"/>
      <c r="R303" s="16"/>
      <c r="S303" s="16"/>
      <c r="T303" s="42"/>
      <c r="U303" s="42"/>
      <c r="V303" s="42"/>
      <c r="W303" s="42"/>
      <c r="X303" s="42"/>
      <c r="Y303" s="42"/>
    </row>
    <row r="304" spans="2:25" s="17" customFormat="1" x14ac:dyDescent="0.25">
      <c r="B304" s="15"/>
      <c r="C304" s="15"/>
      <c r="F304" s="16"/>
      <c r="G304" s="18"/>
      <c r="H304" s="16"/>
      <c r="J304" s="42"/>
      <c r="K304" s="42"/>
      <c r="L304" s="42"/>
      <c r="M304" s="42"/>
      <c r="N304" s="42"/>
      <c r="O304" s="42"/>
      <c r="P304" s="42"/>
      <c r="Q304" s="42"/>
      <c r="R304" s="16"/>
      <c r="S304" s="16"/>
      <c r="T304" s="42"/>
      <c r="U304" s="42"/>
      <c r="V304" s="42"/>
      <c r="W304" s="42"/>
      <c r="X304" s="42"/>
      <c r="Y304" s="42"/>
    </row>
    <row r="305" spans="2:25" s="17" customFormat="1" x14ac:dyDescent="0.25">
      <c r="B305" s="15"/>
      <c r="C305" s="15"/>
      <c r="F305" s="16"/>
      <c r="G305" s="18"/>
      <c r="H305" s="16"/>
      <c r="J305" s="42"/>
      <c r="K305" s="42"/>
      <c r="L305" s="42"/>
      <c r="M305" s="42"/>
      <c r="N305" s="42"/>
      <c r="O305" s="42"/>
      <c r="P305" s="42"/>
      <c r="Q305" s="42"/>
      <c r="R305" s="16"/>
      <c r="S305" s="16"/>
      <c r="T305" s="42"/>
      <c r="U305" s="42"/>
      <c r="V305" s="42"/>
      <c r="W305" s="42"/>
      <c r="X305" s="42"/>
      <c r="Y305" s="42"/>
    </row>
    <row r="306" spans="2:25" s="17" customFormat="1" x14ac:dyDescent="0.25">
      <c r="B306" s="15"/>
      <c r="C306" s="15"/>
      <c r="F306" s="16"/>
      <c r="G306" s="18"/>
      <c r="H306" s="16"/>
      <c r="J306" s="42"/>
      <c r="K306" s="42"/>
      <c r="L306" s="42"/>
      <c r="M306" s="42"/>
      <c r="N306" s="42"/>
      <c r="O306" s="42"/>
      <c r="P306" s="42"/>
      <c r="Q306" s="42"/>
      <c r="R306" s="16"/>
      <c r="S306" s="16"/>
      <c r="T306" s="42"/>
      <c r="U306" s="42"/>
      <c r="V306" s="42"/>
      <c r="W306" s="42"/>
      <c r="X306" s="42"/>
      <c r="Y306" s="42"/>
    </row>
    <row r="307" spans="2:25" s="17" customFormat="1" x14ac:dyDescent="0.25">
      <c r="B307" s="15"/>
      <c r="C307" s="15"/>
      <c r="F307" s="16"/>
      <c r="G307" s="18"/>
      <c r="H307" s="16"/>
      <c r="J307" s="42"/>
      <c r="K307" s="42"/>
      <c r="L307" s="42"/>
      <c r="M307" s="42"/>
      <c r="N307" s="42"/>
      <c r="O307" s="42"/>
      <c r="P307" s="42"/>
      <c r="Q307" s="42"/>
      <c r="R307" s="16"/>
      <c r="S307" s="16"/>
      <c r="T307" s="42"/>
      <c r="U307" s="42"/>
      <c r="V307" s="42"/>
      <c r="W307" s="42"/>
      <c r="X307" s="42"/>
      <c r="Y307" s="42"/>
    </row>
    <row r="308" spans="2:25" s="17" customFormat="1" x14ac:dyDescent="0.25">
      <c r="B308" s="15"/>
      <c r="C308" s="15"/>
      <c r="F308" s="16"/>
      <c r="G308" s="18"/>
      <c r="H308" s="16"/>
      <c r="J308" s="42"/>
      <c r="K308" s="42"/>
      <c r="L308" s="42"/>
      <c r="M308" s="42"/>
      <c r="N308" s="42"/>
      <c r="O308" s="42"/>
      <c r="P308" s="42"/>
      <c r="Q308" s="42"/>
      <c r="R308" s="16"/>
      <c r="S308" s="16"/>
      <c r="T308" s="42"/>
      <c r="U308" s="42"/>
      <c r="V308" s="42"/>
      <c r="W308" s="42"/>
      <c r="X308" s="42"/>
      <c r="Y308" s="42"/>
    </row>
    <row r="309" spans="2:25" s="17" customFormat="1" x14ac:dyDescent="0.25">
      <c r="B309" s="15"/>
      <c r="C309" s="15"/>
      <c r="F309" s="16"/>
      <c r="G309" s="18"/>
      <c r="H309" s="16"/>
      <c r="J309" s="42"/>
      <c r="K309" s="42"/>
      <c r="L309" s="42"/>
      <c r="M309" s="42"/>
      <c r="N309" s="42"/>
      <c r="O309" s="42"/>
      <c r="P309" s="42"/>
      <c r="Q309" s="42"/>
      <c r="R309" s="16"/>
      <c r="S309" s="16"/>
      <c r="T309" s="42"/>
      <c r="U309" s="42"/>
      <c r="V309" s="42"/>
      <c r="W309" s="42"/>
      <c r="X309" s="42"/>
      <c r="Y309" s="42"/>
    </row>
    <row r="310" spans="2:25" s="17" customFormat="1" x14ac:dyDescent="0.25">
      <c r="B310" s="15"/>
      <c r="C310" s="15"/>
      <c r="F310" s="16"/>
      <c r="G310" s="18"/>
      <c r="H310" s="16"/>
      <c r="J310" s="42"/>
      <c r="K310" s="42"/>
      <c r="L310" s="42"/>
      <c r="M310" s="42"/>
      <c r="N310" s="42"/>
      <c r="O310" s="42"/>
      <c r="P310" s="42"/>
      <c r="Q310" s="42"/>
      <c r="R310" s="16"/>
      <c r="S310" s="16"/>
      <c r="T310" s="42"/>
      <c r="U310" s="42"/>
      <c r="V310" s="42"/>
      <c r="W310" s="42"/>
      <c r="X310" s="42"/>
      <c r="Y310" s="42"/>
    </row>
    <row r="311" spans="2:25" s="17" customFormat="1" x14ac:dyDescent="0.25">
      <c r="B311" s="15"/>
      <c r="C311" s="15"/>
      <c r="F311" s="16"/>
      <c r="G311" s="18"/>
      <c r="H311" s="16"/>
      <c r="J311" s="42"/>
      <c r="K311" s="42"/>
      <c r="L311" s="42"/>
      <c r="M311" s="42"/>
      <c r="N311" s="42"/>
      <c r="O311" s="42"/>
      <c r="P311" s="42"/>
      <c r="Q311" s="42"/>
      <c r="R311" s="16"/>
      <c r="S311" s="16"/>
      <c r="T311" s="42"/>
      <c r="U311" s="42"/>
      <c r="V311" s="42"/>
      <c r="W311" s="42"/>
      <c r="X311" s="42"/>
      <c r="Y311" s="42"/>
    </row>
    <row r="312" spans="2:25" s="17" customFormat="1" x14ac:dyDescent="0.25">
      <c r="B312" s="15"/>
      <c r="C312" s="15"/>
      <c r="F312" s="16"/>
      <c r="G312" s="18"/>
      <c r="H312" s="16"/>
      <c r="J312" s="42"/>
      <c r="K312" s="42"/>
      <c r="L312" s="42"/>
      <c r="M312" s="42"/>
      <c r="N312" s="42"/>
      <c r="O312" s="42"/>
      <c r="P312" s="42"/>
      <c r="Q312" s="42"/>
      <c r="R312" s="16"/>
      <c r="S312" s="16"/>
      <c r="T312" s="42"/>
      <c r="U312" s="42"/>
      <c r="V312" s="42"/>
      <c r="W312" s="42"/>
      <c r="X312" s="42"/>
      <c r="Y312" s="42"/>
    </row>
    <row r="313" spans="2:25" s="17" customFormat="1" x14ac:dyDescent="0.25">
      <c r="B313" s="15"/>
      <c r="C313" s="15"/>
      <c r="F313" s="16"/>
      <c r="G313" s="18"/>
      <c r="H313" s="16"/>
      <c r="J313" s="42"/>
      <c r="K313" s="42"/>
      <c r="L313" s="42"/>
      <c r="M313" s="42"/>
      <c r="N313" s="42"/>
      <c r="O313" s="42"/>
      <c r="P313" s="42"/>
      <c r="Q313" s="42"/>
      <c r="R313" s="16"/>
      <c r="S313" s="16"/>
      <c r="T313" s="42"/>
      <c r="U313" s="42"/>
      <c r="V313" s="42"/>
      <c r="W313" s="42"/>
      <c r="X313" s="42"/>
      <c r="Y313" s="42"/>
    </row>
    <row r="314" spans="2:25" s="17" customFormat="1" x14ac:dyDescent="0.25">
      <c r="B314" s="15"/>
      <c r="C314" s="15"/>
      <c r="F314" s="16"/>
      <c r="G314" s="18"/>
      <c r="H314" s="16"/>
      <c r="J314" s="42"/>
      <c r="K314" s="42"/>
      <c r="L314" s="42"/>
      <c r="M314" s="42"/>
      <c r="N314" s="42"/>
      <c r="O314" s="42"/>
      <c r="P314" s="42"/>
      <c r="Q314" s="42"/>
      <c r="R314" s="16"/>
      <c r="S314" s="16"/>
      <c r="T314" s="42"/>
      <c r="U314" s="42"/>
      <c r="V314" s="42"/>
      <c r="W314" s="42"/>
      <c r="X314" s="42"/>
      <c r="Y314" s="42"/>
    </row>
    <row r="315" spans="2:25" s="17" customFormat="1" x14ac:dyDescent="0.25">
      <c r="B315" s="15"/>
      <c r="C315" s="15"/>
      <c r="F315" s="16"/>
      <c r="G315" s="18"/>
      <c r="H315" s="16"/>
      <c r="J315" s="42"/>
      <c r="K315" s="42"/>
      <c r="L315" s="42"/>
      <c r="M315" s="42"/>
      <c r="N315" s="42"/>
      <c r="O315" s="42"/>
      <c r="P315" s="42"/>
      <c r="Q315" s="42"/>
      <c r="R315" s="16"/>
      <c r="S315" s="16"/>
      <c r="T315" s="42"/>
      <c r="U315" s="42"/>
      <c r="V315" s="42"/>
      <c r="W315" s="42"/>
      <c r="X315" s="42"/>
      <c r="Y315" s="42"/>
    </row>
    <row r="316" spans="2:25" s="17" customFormat="1" x14ac:dyDescent="0.25">
      <c r="B316" s="15"/>
      <c r="C316" s="15"/>
      <c r="F316" s="16"/>
      <c r="G316" s="18"/>
      <c r="H316" s="16"/>
      <c r="J316" s="42"/>
      <c r="K316" s="42"/>
      <c r="L316" s="42"/>
      <c r="M316" s="42"/>
      <c r="N316" s="42"/>
      <c r="O316" s="42"/>
      <c r="P316" s="42"/>
      <c r="Q316" s="42"/>
      <c r="R316" s="16"/>
      <c r="S316" s="16"/>
      <c r="T316" s="42"/>
      <c r="U316" s="42"/>
      <c r="V316" s="42"/>
      <c r="W316" s="42"/>
      <c r="X316" s="42"/>
      <c r="Y316" s="42"/>
    </row>
    <row r="317" spans="2:25" s="17" customFormat="1" x14ac:dyDescent="0.25">
      <c r="B317" s="15"/>
      <c r="C317" s="15"/>
      <c r="F317" s="16"/>
      <c r="G317" s="18"/>
      <c r="H317" s="16"/>
      <c r="J317" s="42"/>
      <c r="K317" s="42"/>
      <c r="L317" s="42"/>
      <c r="M317" s="42"/>
      <c r="N317" s="42"/>
      <c r="O317" s="42"/>
      <c r="P317" s="42"/>
      <c r="Q317" s="42"/>
      <c r="R317" s="16"/>
      <c r="S317" s="16"/>
      <c r="T317" s="42"/>
      <c r="U317" s="42"/>
      <c r="V317" s="42"/>
      <c r="W317" s="42"/>
      <c r="X317" s="42"/>
      <c r="Y317" s="42"/>
    </row>
    <row r="318" spans="2:25" s="17" customFormat="1" x14ac:dyDescent="0.25">
      <c r="B318" s="15"/>
      <c r="C318" s="15"/>
      <c r="F318" s="16"/>
      <c r="G318" s="18"/>
      <c r="H318" s="16"/>
      <c r="J318" s="42"/>
      <c r="K318" s="42"/>
      <c r="L318" s="42"/>
      <c r="M318" s="42"/>
      <c r="N318" s="42"/>
      <c r="O318" s="42"/>
      <c r="P318" s="42"/>
      <c r="Q318" s="42"/>
      <c r="R318" s="16"/>
      <c r="S318" s="16"/>
      <c r="T318" s="42"/>
      <c r="U318" s="42"/>
      <c r="V318" s="42"/>
      <c r="W318" s="42"/>
      <c r="X318" s="42"/>
      <c r="Y318" s="42"/>
    </row>
    <row r="319" spans="2:25" s="17" customFormat="1" x14ac:dyDescent="0.25">
      <c r="B319" s="15"/>
      <c r="C319" s="15"/>
      <c r="F319" s="16"/>
      <c r="G319" s="18"/>
      <c r="H319" s="16"/>
      <c r="J319" s="42"/>
      <c r="K319" s="42"/>
      <c r="L319" s="42"/>
      <c r="M319" s="42"/>
      <c r="N319" s="42"/>
      <c r="O319" s="42"/>
      <c r="P319" s="42"/>
      <c r="Q319" s="42"/>
      <c r="R319" s="16"/>
      <c r="S319" s="16"/>
      <c r="T319" s="42"/>
      <c r="U319" s="42"/>
      <c r="V319" s="42"/>
      <c r="W319" s="42"/>
      <c r="X319" s="42"/>
      <c r="Y319" s="42"/>
    </row>
    <row r="320" spans="2:25" s="17" customFormat="1" x14ac:dyDescent="0.25">
      <c r="B320" s="15"/>
      <c r="C320" s="15"/>
      <c r="F320" s="16"/>
      <c r="G320" s="18"/>
      <c r="H320" s="16"/>
      <c r="J320" s="42"/>
      <c r="K320" s="42"/>
      <c r="L320" s="42"/>
      <c r="M320" s="42"/>
      <c r="N320" s="42"/>
      <c r="O320" s="42"/>
      <c r="P320" s="42"/>
      <c r="Q320" s="42"/>
      <c r="R320" s="16"/>
      <c r="S320" s="16"/>
      <c r="T320" s="42"/>
      <c r="U320" s="42"/>
      <c r="V320" s="42"/>
      <c r="W320" s="42"/>
      <c r="X320" s="42"/>
      <c r="Y320" s="42"/>
    </row>
    <row r="321" spans="2:25" s="17" customFormat="1" x14ac:dyDescent="0.25">
      <c r="B321" s="15"/>
      <c r="C321" s="15"/>
      <c r="F321" s="16"/>
      <c r="G321" s="18"/>
      <c r="H321" s="16"/>
      <c r="J321" s="42"/>
      <c r="K321" s="42"/>
      <c r="L321" s="42"/>
      <c r="M321" s="42"/>
      <c r="N321" s="42"/>
      <c r="O321" s="42"/>
      <c r="P321" s="42"/>
      <c r="Q321" s="42"/>
      <c r="R321" s="16"/>
      <c r="S321" s="16"/>
      <c r="T321" s="42"/>
      <c r="U321" s="42"/>
      <c r="V321" s="42"/>
      <c r="W321" s="42"/>
      <c r="X321" s="42"/>
      <c r="Y321" s="42"/>
    </row>
    <row r="322" spans="2:25" s="17" customFormat="1" x14ac:dyDescent="0.25">
      <c r="B322" s="15"/>
      <c r="C322" s="15"/>
      <c r="F322" s="16"/>
      <c r="G322" s="18"/>
      <c r="H322" s="16"/>
      <c r="J322" s="42"/>
      <c r="K322" s="42"/>
      <c r="L322" s="42"/>
      <c r="M322" s="42"/>
      <c r="N322" s="42"/>
      <c r="O322" s="42"/>
      <c r="P322" s="42"/>
      <c r="Q322" s="42"/>
      <c r="R322" s="16"/>
      <c r="S322" s="16"/>
      <c r="T322" s="42"/>
      <c r="U322" s="42"/>
      <c r="V322" s="42"/>
      <c r="W322" s="42"/>
      <c r="X322" s="42"/>
      <c r="Y322" s="42"/>
    </row>
    <row r="323" spans="2:25" s="17" customFormat="1" x14ac:dyDescent="0.25">
      <c r="B323" s="15"/>
      <c r="C323" s="15"/>
      <c r="F323" s="16"/>
      <c r="G323" s="18"/>
      <c r="H323" s="16"/>
      <c r="J323" s="42"/>
      <c r="K323" s="42"/>
      <c r="L323" s="42"/>
      <c r="M323" s="42"/>
      <c r="N323" s="42"/>
      <c r="O323" s="42"/>
      <c r="P323" s="42"/>
      <c r="Q323" s="42"/>
      <c r="R323" s="16"/>
      <c r="S323" s="16"/>
      <c r="T323" s="42"/>
      <c r="U323" s="42"/>
      <c r="V323" s="42"/>
      <c r="W323" s="42"/>
      <c r="X323" s="42"/>
      <c r="Y323" s="42"/>
    </row>
    <row r="324" spans="2:25" s="17" customFormat="1" x14ac:dyDescent="0.25">
      <c r="B324" s="15"/>
      <c r="C324" s="15"/>
      <c r="F324" s="16"/>
      <c r="G324" s="18"/>
      <c r="H324" s="16"/>
      <c r="J324" s="42"/>
      <c r="K324" s="42"/>
      <c r="L324" s="42"/>
      <c r="M324" s="42"/>
      <c r="N324" s="42"/>
      <c r="O324" s="42"/>
      <c r="P324" s="42"/>
      <c r="Q324" s="42"/>
      <c r="R324" s="16"/>
      <c r="S324" s="16"/>
      <c r="T324" s="42"/>
      <c r="U324" s="42"/>
      <c r="V324" s="42"/>
      <c r="W324" s="42"/>
      <c r="X324" s="42"/>
      <c r="Y324" s="42"/>
    </row>
    <row r="325" spans="2:25" s="17" customFormat="1" x14ac:dyDescent="0.25">
      <c r="B325" s="15"/>
      <c r="C325" s="15"/>
      <c r="F325" s="16"/>
      <c r="G325" s="18"/>
      <c r="H325" s="16"/>
      <c r="J325" s="42"/>
      <c r="K325" s="42"/>
      <c r="L325" s="42"/>
      <c r="M325" s="42"/>
      <c r="N325" s="42"/>
      <c r="O325" s="42"/>
      <c r="P325" s="42"/>
      <c r="Q325" s="42"/>
      <c r="R325" s="16"/>
      <c r="S325" s="16"/>
      <c r="T325" s="42"/>
      <c r="U325" s="42"/>
      <c r="V325" s="42"/>
      <c r="W325" s="42"/>
      <c r="X325" s="42"/>
      <c r="Y325" s="42"/>
    </row>
    <row r="326" spans="2:25" s="17" customFormat="1" x14ac:dyDescent="0.25">
      <c r="B326" s="15"/>
      <c r="C326" s="15"/>
      <c r="F326" s="16"/>
      <c r="G326" s="18"/>
      <c r="H326" s="16"/>
      <c r="J326" s="42"/>
      <c r="K326" s="42"/>
      <c r="L326" s="42"/>
      <c r="M326" s="42"/>
      <c r="N326" s="42"/>
      <c r="O326" s="42"/>
      <c r="P326" s="42"/>
      <c r="Q326" s="42"/>
      <c r="R326" s="16"/>
      <c r="S326" s="16"/>
      <c r="T326" s="42"/>
      <c r="U326" s="42"/>
      <c r="V326" s="42"/>
      <c r="W326" s="42"/>
      <c r="X326" s="42"/>
      <c r="Y326" s="42"/>
    </row>
    <row r="327" spans="2:25" s="17" customFormat="1" x14ac:dyDescent="0.25">
      <c r="B327" s="15"/>
      <c r="C327" s="15"/>
      <c r="F327" s="16"/>
      <c r="G327" s="18"/>
      <c r="H327" s="16"/>
      <c r="J327" s="42"/>
      <c r="K327" s="42"/>
      <c r="L327" s="42"/>
      <c r="M327" s="42"/>
      <c r="N327" s="42"/>
      <c r="O327" s="42"/>
      <c r="P327" s="42"/>
      <c r="Q327" s="42"/>
      <c r="R327" s="16"/>
      <c r="S327" s="16"/>
      <c r="T327" s="42"/>
      <c r="U327" s="42"/>
      <c r="V327" s="42"/>
      <c r="W327" s="42"/>
      <c r="X327" s="42"/>
      <c r="Y327" s="42"/>
    </row>
    <row r="328" spans="2:25" s="17" customFormat="1" x14ac:dyDescent="0.25">
      <c r="B328" s="15"/>
      <c r="C328" s="15"/>
      <c r="F328" s="16"/>
      <c r="G328" s="18"/>
      <c r="H328" s="16"/>
      <c r="J328" s="42"/>
      <c r="K328" s="42"/>
      <c r="L328" s="42"/>
      <c r="M328" s="42"/>
      <c r="N328" s="42"/>
      <c r="O328" s="42"/>
      <c r="P328" s="42"/>
      <c r="Q328" s="42"/>
      <c r="R328" s="16"/>
      <c r="S328" s="16"/>
      <c r="T328" s="42"/>
      <c r="U328" s="42"/>
      <c r="V328" s="42"/>
      <c r="W328" s="42"/>
      <c r="X328" s="42"/>
      <c r="Y328" s="42"/>
    </row>
    <row r="329" spans="2:25" s="17" customFormat="1" x14ac:dyDescent="0.25">
      <c r="B329" s="15"/>
      <c r="C329" s="15"/>
      <c r="F329" s="16"/>
      <c r="G329" s="18"/>
      <c r="H329" s="16"/>
      <c r="J329" s="42"/>
      <c r="K329" s="42"/>
      <c r="L329" s="42"/>
      <c r="M329" s="42"/>
      <c r="N329" s="42"/>
      <c r="O329" s="42"/>
      <c r="P329" s="42"/>
      <c r="Q329" s="42"/>
      <c r="R329" s="16"/>
      <c r="S329" s="16"/>
      <c r="T329" s="42"/>
      <c r="U329" s="42"/>
      <c r="V329" s="42"/>
      <c r="W329" s="42"/>
      <c r="X329" s="42"/>
      <c r="Y329" s="42"/>
    </row>
    <row r="330" spans="2:25" s="17" customFormat="1" x14ac:dyDescent="0.25">
      <c r="B330" s="15"/>
      <c r="C330" s="15"/>
      <c r="F330" s="16"/>
      <c r="G330" s="18"/>
      <c r="H330" s="16"/>
      <c r="J330" s="42"/>
      <c r="K330" s="42"/>
      <c r="L330" s="42"/>
      <c r="M330" s="42"/>
      <c r="N330" s="42"/>
      <c r="O330" s="42"/>
      <c r="P330" s="42"/>
      <c r="Q330" s="42"/>
      <c r="R330" s="16"/>
      <c r="S330" s="16"/>
      <c r="T330" s="42"/>
      <c r="U330" s="42"/>
      <c r="V330" s="42"/>
      <c r="W330" s="42"/>
      <c r="X330" s="42"/>
      <c r="Y330" s="42"/>
    </row>
    <row r="331" spans="2:25" s="17" customFormat="1" x14ac:dyDescent="0.25">
      <c r="B331" s="15"/>
      <c r="C331" s="15"/>
      <c r="F331" s="16"/>
      <c r="G331" s="18"/>
      <c r="H331" s="16"/>
      <c r="J331" s="42"/>
      <c r="K331" s="42"/>
      <c r="L331" s="42"/>
      <c r="M331" s="42"/>
      <c r="N331" s="42"/>
      <c r="O331" s="42"/>
      <c r="P331" s="42"/>
      <c r="Q331" s="42"/>
      <c r="R331" s="16"/>
      <c r="S331" s="16"/>
      <c r="T331" s="42"/>
      <c r="U331" s="42"/>
      <c r="V331" s="42"/>
      <c r="W331" s="42"/>
      <c r="X331" s="42"/>
      <c r="Y331" s="42"/>
    </row>
    <row r="332" spans="2:25" s="17" customFormat="1" x14ac:dyDescent="0.25">
      <c r="B332" s="15"/>
      <c r="C332" s="15"/>
      <c r="F332" s="16"/>
      <c r="G332" s="18"/>
      <c r="H332" s="16"/>
      <c r="J332" s="42"/>
      <c r="K332" s="42"/>
      <c r="L332" s="42"/>
      <c r="M332" s="42"/>
      <c r="N332" s="42"/>
      <c r="O332" s="42"/>
      <c r="P332" s="42"/>
      <c r="Q332" s="42"/>
      <c r="R332" s="16"/>
      <c r="S332" s="16"/>
      <c r="T332" s="42"/>
      <c r="U332" s="42"/>
      <c r="V332" s="42"/>
      <c r="W332" s="42"/>
      <c r="X332" s="42"/>
      <c r="Y332" s="42"/>
    </row>
    <row r="333" spans="2:25" s="17" customFormat="1" x14ac:dyDescent="0.25">
      <c r="B333" s="15"/>
      <c r="C333" s="15"/>
      <c r="F333" s="16"/>
      <c r="G333" s="18"/>
      <c r="H333" s="16"/>
      <c r="J333" s="42"/>
      <c r="K333" s="42"/>
      <c r="L333" s="42"/>
      <c r="M333" s="42"/>
      <c r="N333" s="42"/>
      <c r="O333" s="42"/>
      <c r="P333" s="42"/>
      <c r="Q333" s="42"/>
      <c r="R333" s="16"/>
      <c r="S333" s="16"/>
      <c r="T333" s="42"/>
      <c r="U333" s="42"/>
      <c r="V333" s="42"/>
      <c r="W333" s="42"/>
      <c r="X333" s="42"/>
      <c r="Y333" s="42"/>
    </row>
    <row r="334" spans="2:25" s="17" customFormat="1" x14ac:dyDescent="0.25">
      <c r="B334" s="15"/>
      <c r="C334" s="15"/>
      <c r="F334" s="16"/>
      <c r="G334" s="18"/>
      <c r="H334" s="16"/>
      <c r="J334" s="42"/>
      <c r="K334" s="42"/>
      <c r="L334" s="42"/>
      <c r="M334" s="42"/>
      <c r="N334" s="42"/>
      <c r="O334" s="42"/>
      <c r="P334" s="42"/>
      <c r="Q334" s="42"/>
      <c r="R334" s="16"/>
      <c r="S334" s="16"/>
      <c r="T334" s="42"/>
      <c r="U334" s="42"/>
      <c r="V334" s="42"/>
      <c r="W334" s="42"/>
      <c r="X334" s="42"/>
      <c r="Y334" s="42"/>
    </row>
    <row r="335" spans="2:25" s="17" customFormat="1" x14ac:dyDescent="0.25">
      <c r="B335" s="15"/>
      <c r="C335" s="15"/>
      <c r="F335" s="16"/>
      <c r="G335" s="18"/>
      <c r="H335" s="16"/>
      <c r="J335" s="42"/>
      <c r="K335" s="42"/>
      <c r="L335" s="42"/>
      <c r="M335" s="42"/>
      <c r="N335" s="42"/>
      <c r="O335" s="42"/>
      <c r="P335" s="42"/>
      <c r="Q335" s="42"/>
      <c r="R335" s="16"/>
      <c r="S335" s="16"/>
      <c r="T335" s="42"/>
      <c r="U335" s="42"/>
      <c r="V335" s="42"/>
      <c r="W335" s="42"/>
      <c r="X335" s="42"/>
      <c r="Y335" s="42"/>
    </row>
    <row r="336" spans="2:25" s="17" customFormat="1" x14ac:dyDescent="0.25">
      <c r="B336" s="15"/>
      <c r="C336" s="15"/>
      <c r="F336" s="16"/>
      <c r="G336" s="18"/>
      <c r="H336" s="16"/>
      <c r="J336" s="42"/>
      <c r="K336" s="42"/>
      <c r="L336" s="42"/>
      <c r="M336" s="42"/>
      <c r="N336" s="42"/>
      <c r="O336" s="42"/>
      <c r="P336" s="42"/>
      <c r="Q336" s="42"/>
      <c r="R336" s="16"/>
      <c r="S336" s="16"/>
      <c r="T336" s="42"/>
      <c r="U336" s="42"/>
      <c r="V336" s="42"/>
      <c r="W336" s="42"/>
      <c r="X336" s="42"/>
      <c r="Y336" s="42"/>
    </row>
    <row r="337" spans="2:25" s="17" customFormat="1" x14ac:dyDescent="0.25">
      <c r="B337" s="15"/>
      <c r="C337" s="15"/>
      <c r="F337" s="16"/>
      <c r="G337" s="18"/>
      <c r="H337" s="16"/>
      <c r="J337" s="42"/>
      <c r="K337" s="42"/>
      <c r="L337" s="42"/>
      <c r="M337" s="42"/>
      <c r="N337" s="42"/>
      <c r="O337" s="42"/>
      <c r="P337" s="42"/>
      <c r="Q337" s="42"/>
      <c r="R337" s="16"/>
      <c r="S337" s="16"/>
      <c r="T337" s="42"/>
      <c r="U337" s="42"/>
      <c r="V337" s="42"/>
      <c r="W337" s="42"/>
      <c r="X337" s="42"/>
      <c r="Y337" s="42"/>
    </row>
    <row r="338" spans="2:25" s="17" customFormat="1" x14ac:dyDescent="0.25">
      <c r="B338" s="15"/>
      <c r="C338" s="15"/>
      <c r="F338" s="16"/>
      <c r="G338" s="18"/>
      <c r="H338" s="16"/>
      <c r="J338" s="42"/>
      <c r="K338" s="42"/>
      <c r="L338" s="42"/>
      <c r="M338" s="42"/>
      <c r="N338" s="42"/>
      <c r="O338" s="42"/>
      <c r="P338" s="42"/>
      <c r="Q338" s="42"/>
      <c r="R338" s="16"/>
      <c r="S338" s="16"/>
      <c r="T338" s="42"/>
      <c r="U338" s="42"/>
      <c r="V338" s="42"/>
      <c r="W338" s="42"/>
      <c r="X338" s="42"/>
      <c r="Y338" s="42"/>
    </row>
    <row r="339" spans="2:25" s="17" customFormat="1" x14ac:dyDescent="0.25">
      <c r="B339" s="15"/>
      <c r="C339" s="15"/>
      <c r="F339" s="16"/>
      <c r="G339" s="18"/>
      <c r="H339" s="16"/>
      <c r="J339" s="42"/>
      <c r="K339" s="42"/>
      <c r="L339" s="42"/>
      <c r="M339" s="42"/>
      <c r="N339" s="42"/>
      <c r="O339" s="42"/>
      <c r="P339" s="42"/>
      <c r="Q339" s="42"/>
      <c r="R339" s="16"/>
      <c r="S339" s="16"/>
      <c r="T339" s="42"/>
      <c r="U339" s="42"/>
      <c r="V339" s="42"/>
      <c r="W339" s="42"/>
      <c r="X339" s="42"/>
      <c r="Y339" s="42"/>
    </row>
    <row r="340" spans="2:25" s="17" customFormat="1" x14ac:dyDescent="0.25">
      <c r="B340" s="15"/>
      <c r="C340" s="15"/>
      <c r="F340" s="16"/>
      <c r="G340" s="18"/>
      <c r="H340" s="16"/>
      <c r="J340" s="42"/>
      <c r="K340" s="42"/>
      <c r="L340" s="42"/>
      <c r="M340" s="42"/>
      <c r="N340" s="42"/>
      <c r="O340" s="42"/>
      <c r="P340" s="42"/>
      <c r="Q340" s="42"/>
      <c r="R340" s="16"/>
      <c r="S340" s="16"/>
      <c r="T340" s="42"/>
      <c r="U340" s="42"/>
      <c r="V340" s="42"/>
      <c r="W340" s="42"/>
      <c r="X340" s="42"/>
      <c r="Y340" s="42"/>
    </row>
    <row r="341" spans="2:25" s="17" customFormat="1" x14ac:dyDescent="0.25">
      <c r="B341" s="15"/>
      <c r="C341" s="15"/>
      <c r="F341" s="16"/>
      <c r="G341" s="18"/>
      <c r="H341" s="16"/>
      <c r="J341" s="42"/>
      <c r="K341" s="42"/>
      <c r="L341" s="42"/>
      <c r="M341" s="42"/>
      <c r="N341" s="42"/>
      <c r="O341" s="42"/>
      <c r="P341" s="42"/>
      <c r="Q341" s="42"/>
      <c r="R341" s="16"/>
      <c r="S341" s="16"/>
      <c r="T341" s="42"/>
      <c r="U341" s="42"/>
      <c r="V341" s="42"/>
      <c r="W341" s="42"/>
      <c r="X341" s="42"/>
      <c r="Y341" s="42"/>
    </row>
    <row r="342" spans="2:25" s="17" customFormat="1" x14ac:dyDescent="0.25">
      <c r="B342" s="15"/>
      <c r="C342" s="15"/>
      <c r="F342" s="16"/>
      <c r="G342" s="18"/>
      <c r="H342" s="16"/>
      <c r="J342" s="42"/>
      <c r="K342" s="42"/>
      <c r="L342" s="42"/>
      <c r="M342" s="42"/>
      <c r="N342" s="42"/>
      <c r="O342" s="42"/>
      <c r="P342" s="42"/>
      <c r="Q342" s="42"/>
      <c r="R342" s="16"/>
      <c r="S342" s="16"/>
      <c r="T342" s="42"/>
      <c r="U342" s="42"/>
      <c r="V342" s="42"/>
      <c r="W342" s="42"/>
      <c r="X342" s="42"/>
      <c r="Y342" s="42"/>
    </row>
    <row r="343" spans="2:25" s="17" customFormat="1" x14ac:dyDescent="0.25">
      <c r="B343" s="15"/>
      <c r="C343" s="15"/>
      <c r="F343" s="16"/>
      <c r="G343" s="18"/>
      <c r="H343" s="16"/>
      <c r="J343" s="42"/>
      <c r="K343" s="42"/>
      <c r="L343" s="42"/>
      <c r="M343" s="42"/>
      <c r="N343" s="42"/>
      <c r="O343" s="42"/>
      <c r="P343" s="42"/>
      <c r="Q343" s="42"/>
      <c r="R343" s="16"/>
      <c r="S343" s="16"/>
      <c r="T343" s="42"/>
      <c r="U343" s="42"/>
      <c r="V343" s="42"/>
      <c r="W343" s="42"/>
      <c r="X343" s="42"/>
      <c r="Y343" s="42"/>
    </row>
    <row r="344" spans="2:25" s="17" customFormat="1" x14ac:dyDescent="0.25">
      <c r="B344" s="15"/>
      <c r="C344" s="15"/>
      <c r="F344" s="16"/>
      <c r="G344" s="18"/>
      <c r="H344" s="16"/>
      <c r="J344" s="42"/>
      <c r="K344" s="42"/>
      <c r="L344" s="42"/>
      <c r="M344" s="42"/>
      <c r="N344" s="42"/>
      <c r="O344" s="42"/>
      <c r="P344" s="42"/>
      <c r="Q344" s="42"/>
      <c r="R344" s="16"/>
      <c r="S344" s="16"/>
      <c r="T344" s="42"/>
      <c r="U344" s="42"/>
      <c r="V344" s="42"/>
      <c r="W344" s="42"/>
      <c r="X344" s="42"/>
      <c r="Y344" s="42"/>
    </row>
    <row r="345" spans="2:25" s="17" customFormat="1" x14ac:dyDescent="0.25">
      <c r="B345" s="15"/>
      <c r="C345" s="15"/>
      <c r="F345" s="16"/>
      <c r="G345" s="18"/>
      <c r="H345" s="16"/>
      <c r="J345" s="42"/>
      <c r="K345" s="42"/>
      <c r="L345" s="42"/>
      <c r="M345" s="42"/>
      <c r="N345" s="42"/>
      <c r="O345" s="42"/>
      <c r="P345" s="42"/>
      <c r="Q345" s="42"/>
      <c r="R345" s="16"/>
      <c r="S345" s="16"/>
      <c r="T345" s="42"/>
      <c r="U345" s="42"/>
      <c r="V345" s="42"/>
      <c r="W345" s="42"/>
      <c r="X345" s="42"/>
      <c r="Y345" s="42"/>
    </row>
    <row r="346" spans="2:25" s="17" customFormat="1" x14ac:dyDescent="0.25">
      <c r="B346" s="15"/>
      <c r="C346" s="15"/>
      <c r="F346" s="16"/>
      <c r="G346" s="18"/>
      <c r="H346" s="16"/>
      <c r="J346" s="42"/>
      <c r="K346" s="42"/>
      <c r="L346" s="42"/>
      <c r="M346" s="42"/>
      <c r="N346" s="42"/>
      <c r="O346" s="42"/>
      <c r="P346" s="42"/>
      <c r="Q346" s="42"/>
      <c r="R346" s="16"/>
      <c r="S346" s="16"/>
      <c r="T346" s="42"/>
      <c r="U346" s="42"/>
      <c r="V346" s="42"/>
      <c r="W346" s="42"/>
      <c r="X346" s="42"/>
      <c r="Y346" s="42"/>
    </row>
    <row r="347" spans="2:25" s="17" customFormat="1" x14ac:dyDescent="0.25">
      <c r="B347" s="15"/>
      <c r="C347" s="15"/>
      <c r="F347" s="16"/>
      <c r="G347" s="18"/>
      <c r="H347" s="16"/>
      <c r="J347" s="42"/>
      <c r="K347" s="42"/>
      <c r="L347" s="42"/>
      <c r="M347" s="42"/>
      <c r="N347" s="42"/>
      <c r="O347" s="42"/>
      <c r="P347" s="42"/>
      <c r="Q347" s="42"/>
      <c r="R347" s="16"/>
      <c r="S347" s="16"/>
      <c r="T347" s="42"/>
      <c r="U347" s="42"/>
      <c r="V347" s="42"/>
      <c r="W347" s="42"/>
      <c r="X347" s="42"/>
      <c r="Y347" s="42"/>
    </row>
    <row r="348" spans="2:25" s="17" customFormat="1" x14ac:dyDescent="0.25">
      <c r="B348" s="15"/>
      <c r="C348" s="15"/>
      <c r="F348" s="16"/>
      <c r="G348" s="18"/>
      <c r="H348" s="16"/>
      <c r="J348" s="42"/>
      <c r="K348" s="42"/>
      <c r="L348" s="42"/>
      <c r="M348" s="42"/>
      <c r="N348" s="42"/>
      <c r="O348" s="42"/>
      <c r="P348" s="42"/>
      <c r="Q348" s="42"/>
      <c r="R348" s="16"/>
      <c r="S348" s="16"/>
      <c r="T348" s="42"/>
      <c r="U348" s="42"/>
      <c r="V348" s="42"/>
      <c r="W348" s="42"/>
      <c r="X348" s="42"/>
      <c r="Y348" s="42"/>
    </row>
    <row r="349" spans="2:25" s="17" customFormat="1" x14ac:dyDescent="0.25">
      <c r="B349" s="15"/>
      <c r="C349" s="15"/>
      <c r="F349" s="16"/>
      <c r="G349" s="18"/>
      <c r="H349" s="16"/>
      <c r="J349" s="42"/>
      <c r="K349" s="42"/>
      <c r="L349" s="42"/>
      <c r="M349" s="42"/>
      <c r="N349" s="42"/>
      <c r="O349" s="42"/>
      <c r="P349" s="42"/>
      <c r="Q349" s="42"/>
      <c r="R349" s="16"/>
      <c r="S349" s="16"/>
      <c r="T349" s="42"/>
      <c r="U349" s="42"/>
      <c r="V349" s="42"/>
      <c r="W349" s="42"/>
      <c r="X349" s="42"/>
      <c r="Y349" s="42"/>
    </row>
    <row r="350" spans="2:25" s="17" customFormat="1" x14ac:dyDescent="0.25">
      <c r="B350" s="15"/>
      <c r="C350" s="15"/>
      <c r="F350" s="16"/>
      <c r="G350" s="18"/>
      <c r="H350" s="16"/>
      <c r="J350" s="42"/>
      <c r="K350" s="42"/>
      <c r="L350" s="42"/>
      <c r="M350" s="42"/>
      <c r="N350" s="42"/>
      <c r="O350" s="42"/>
      <c r="P350" s="42"/>
      <c r="Q350" s="42"/>
      <c r="R350" s="16"/>
      <c r="S350" s="16"/>
      <c r="T350" s="42"/>
      <c r="U350" s="42"/>
      <c r="V350" s="42"/>
      <c r="W350" s="42"/>
      <c r="X350" s="42"/>
      <c r="Y350" s="42"/>
    </row>
    <row r="351" spans="2:25" s="17" customFormat="1" x14ac:dyDescent="0.25">
      <c r="B351" s="15"/>
      <c r="C351" s="15"/>
      <c r="F351" s="16"/>
      <c r="G351" s="18"/>
      <c r="H351" s="16"/>
      <c r="J351" s="42"/>
      <c r="K351" s="42"/>
      <c r="L351" s="42"/>
      <c r="M351" s="42"/>
      <c r="N351" s="42"/>
      <c r="O351" s="42"/>
      <c r="P351" s="42"/>
      <c r="Q351" s="42"/>
      <c r="R351" s="16"/>
      <c r="S351" s="16"/>
      <c r="T351" s="42"/>
      <c r="U351" s="42"/>
      <c r="V351" s="42"/>
      <c r="W351" s="42"/>
      <c r="X351" s="42"/>
      <c r="Y351" s="42"/>
    </row>
    <row r="352" spans="2:25" s="17" customFormat="1" x14ac:dyDescent="0.25">
      <c r="B352" s="15"/>
      <c r="C352" s="15"/>
      <c r="F352" s="16"/>
      <c r="G352" s="18"/>
      <c r="H352" s="16"/>
      <c r="J352" s="42"/>
      <c r="K352" s="42"/>
      <c r="L352" s="42"/>
      <c r="M352" s="42"/>
      <c r="N352" s="42"/>
      <c r="O352" s="42"/>
      <c r="P352" s="42"/>
      <c r="Q352" s="42"/>
      <c r="R352" s="16"/>
      <c r="S352" s="16"/>
      <c r="T352" s="42"/>
      <c r="U352" s="42"/>
      <c r="V352" s="42"/>
      <c r="W352" s="42"/>
      <c r="X352" s="42"/>
      <c r="Y352" s="42"/>
    </row>
    <row r="353" spans="2:25" s="17" customFormat="1" x14ac:dyDescent="0.25">
      <c r="B353" s="15"/>
      <c r="C353" s="15"/>
      <c r="F353" s="16"/>
      <c r="G353" s="18"/>
      <c r="H353" s="16"/>
      <c r="J353" s="42"/>
      <c r="K353" s="42"/>
      <c r="L353" s="42"/>
      <c r="M353" s="42"/>
      <c r="N353" s="42"/>
      <c r="O353" s="42"/>
      <c r="P353" s="42"/>
      <c r="Q353" s="42"/>
      <c r="R353" s="16"/>
      <c r="S353" s="16"/>
      <c r="T353" s="42"/>
      <c r="U353" s="42"/>
      <c r="V353" s="42"/>
      <c r="W353" s="42"/>
      <c r="X353" s="42"/>
      <c r="Y353" s="42"/>
    </row>
    <row r="354" spans="2:25" s="17" customFormat="1" x14ac:dyDescent="0.25">
      <c r="B354" s="15"/>
      <c r="C354" s="15"/>
      <c r="F354" s="16"/>
      <c r="G354" s="18"/>
      <c r="H354" s="16"/>
      <c r="J354" s="42"/>
      <c r="K354" s="42"/>
      <c r="L354" s="42"/>
      <c r="M354" s="42"/>
      <c r="N354" s="42"/>
      <c r="O354" s="42"/>
      <c r="P354" s="42"/>
      <c r="Q354" s="42"/>
      <c r="R354" s="16"/>
      <c r="S354" s="16"/>
      <c r="T354" s="42"/>
      <c r="U354" s="42"/>
      <c r="V354" s="42"/>
      <c r="W354" s="42"/>
      <c r="X354" s="42"/>
      <c r="Y354" s="42"/>
    </row>
    <row r="355" spans="2:25" s="17" customFormat="1" x14ac:dyDescent="0.25">
      <c r="B355" s="15"/>
      <c r="C355" s="15"/>
      <c r="F355" s="16"/>
      <c r="G355" s="18"/>
      <c r="H355" s="16"/>
      <c r="J355" s="42"/>
      <c r="K355" s="42"/>
      <c r="L355" s="42"/>
      <c r="M355" s="42"/>
      <c r="N355" s="42"/>
      <c r="O355" s="42"/>
      <c r="P355" s="42"/>
      <c r="Q355" s="42"/>
      <c r="R355" s="16"/>
      <c r="S355" s="16"/>
      <c r="T355" s="42"/>
      <c r="U355" s="42"/>
      <c r="V355" s="42"/>
      <c r="W355" s="42"/>
      <c r="X355" s="42"/>
      <c r="Y355" s="42"/>
    </row>
    <row r="356" spans="2:25" s="17" customFormat="1" x14ac:dyDescent="0.25">
      <c r="B356" s="15"/>
      <c r="C356" s="15"/>
      <c r="F356" s="16"/>
      <c r="G356" s="18"/>
      <c r="H356" s="16"/>
      <c r="J356" s="42"/>
      <c r="K356" s="42"/>
      <c r="L356" s="42"/>
      <c r="M356" s="42"/>
      <c r="N356" s="42"/>
      <c r="O356" s="42"/>
      <c r="P356" s="42"/>
      <c r="Q356" s="42"/>
      <c r="R356" s="16"/>
      <c r="S356" s="16"/>
      <c r="T356" s="42"/>
      <c r="U356" s="42"/>
      <c r="V356" s="42"/>
      <c r="W356" s="42"/>
      <c r="X356" s="42"/>
      <c r="Y356" s="42"/>
    </row>
    <row r="357" spans="2:25" s="17" customFormat="1" x14ac:dyDescent="0.25">
      <c r="B357" s="15"/>
      <c r="C357" s="15"/>
      <c r="F357" s="16"/>
      <c r="G357" s="18"/>
      <c r="H357" s="16"/>
      <c r="J357" s="42"/>
      <c r="K357" s="42"/>
      <c r="L357" s="42"/>
      <c r="M357" s="42"/>
      <c r="N357" s="42"/>
      <c r="O357" s="42"/>
      <c r="P357" s="42"/>
      <c r="Q357" s="42"/>
      <c r="R357" s="16"/>
      <c r="S357" s="16"/>
      <c r="T357" s="42"/>
      <c r="U357" s="42"/>
      <c r="V357" s="42"/>
      <c r="W357" s="42"/>
      <c r="X357" s="42"/>
      <c r="Y357" s="42"/>
    </row>
    <row r="358" spans="2:25" s="17" customFormat="1" x14ac:dyDescent="0.25">
      <c r="B358" s="15"/>
      <c r="C358" s="15"/>
      <c r="F358" s="16"/>
      <c r="G358" s="18"/>
      <c r="H358" s="16"/>
      <c r="J358" s="42"/>
      <c r="K358" s="42"/>
      <c r="L358" s="42"/>
      <c r="M358" s="42"/>
      <c r="N358" s="42"/>
      <c r="O358" s="42"/>
      <c r="P358" s="42"/>
      <c r="Q358" s="42"/>
      <c r="R358" s="16"/>
      <c r="S358" s="16"/>
      <c r="T358" s="42"/>
      <c r="U358" s="42"/>
      <c r="V358" s="42"/>
      <c r="W358" s="42"/>
      <c r="X358" s="42"/>
      <c r="Y358" s="42"/>
    </row>
    <row r="359" spans="2:25" s="17" customFormat="1" x14ac:dyDescent="0.25">
      <c r="B359" s="15"/>
      <c r="C359" s="15"/>
      <c r="F359" s="16"/>
      <c r="G359" s="18"/>
      <c r="H359" s="16"/>
      <c r="J359" s="42"/>
      <c r="K359" s="42"/>
      <c r="L359" s="42"/>
      <c r="M359" s="42"/>
      <c r="N359" s="42"/>
      <c r="O359" s="42"/>
      <c r="P359" s="42"/>
      <c r="Q359" s="42"/>
      <c r="R359" s="16"/>
      <c r="S359" s="16"/>
      <c r="T359" s="42"/>
      <c r="U359" s="42"/>
      <c r="V359" s="42"/>
      <c r="W359" s="42"/>
      <c r="X359" s="42"/>
      <c r="Y359" s="42"/>
    </row>
    <row r="360" spans="2:25" s="17" customFormat="1" x14ac:dyDescent="0.25">
      <c r="B360" s="15"/>
      <c r="C360" s="15"/>
      <c r="F360" s="16"/>
      <c r="G360" s="18"/>
      <c r="H360" s="16"/>
      <c r="J360" s="42"/>
      <c r="K360" s="42"/>
      <c r="L360" s="42"/>
      <c r="M360" s="42"/>
      <c r="N360" s="42"/>
      <c r="O360" s="42"/>
      <c r="P360" s="42"/>
      <c r="Q360" s="42"/>
      <c r="R360" s="16"/>
      <c r="S360" s="16"/>
      <c r="T360" s="42"/>
      <c r="U360" s="42"/>
      <c r="V360" s="42"/>
      <c r="W360" s="42"/>
      <c r="X360" s="42"/>
      <c r="Y360" s="42"/>
    </row>
    <row r="361" spans="2:25" s="17" customFormat="1" x14ac:dyDescent="0.25">
      <c r="B361" s="15"/>
      <c r="C361" s="15"/>
      <c r="F361" s="16"/>
      <c r="G361" s="18"/>
      <c r="H361" s="16"/>
      <c r="J361" s="42"/>
      <c r="K361" s="42"/>
      <c r="L361" s="42"/>
      <c r="M361" s="42"/>
      <c r="N361" s="42"/>
      <c r="O361" s="42"/>
      <c r="P361" s="42"/>
      <c r="Q361" s="42"/>
      <c r="R361" s="16"/>
      <c r="S361" s="16"/>
      <c r="T361" s="42"/>
      <c r="U361" s="42"/>
      <c r="V361" s="42"/>
      <c r="W361" s="42"/>
      <c r="X361" s="42"/>
      <c r="Y361" s="42"/>
    </row>
    <row r="362" spans="2:25" s="17" customFormat="1" x14ac:dyDescent="0.25">
      <c r="B362" s="15"/>
      <c r="C362" s="15"/>
      <c r="F362" s="16"/>
      <c r="G362" s="18"/>
      <c r="H362" s="16"/>
      <c r="J362" s="42"/>
      <c r="K362" s="42"/>
      <c r="L362" s="42"/>
      <c r="M362" s="42"/>
      <c r="N362" s="42"/>
      <c r="O362" s="42"/>
      <c r="P362" s="42"/>
      <c r="Q362" s="42"/>
      <c r="R362" s="16"/>
      <c r="S362" s="16"/>
      <c r="T362" s="42"/>
      <c r="U362" s="42"/>
      <c r="V362" s="42"/>
      <c r="W362" s="42"/>
      <c r="X362" s="42"/>
      <c r="Y362" s="42"/>
    </row>
    <row r="363" spans="2:25" s="17" customFormat="1" x14ac:dyDescent="0.25">
      <c r="B363" s="15"/>
      <c r="C363" s="15"/>
      <c r="F363" s="16"/>
      <c r="G363" s="18"/>
      <c r="H363" s="16"/>
      <c r="J363" s="42"/>
      <c r="K363" s="42"/>
      <c r="L363" s="42"/>
      <c r="M363" s="42"/>
      <c r="N363" s="42"/>
      <c r="O363" s="42"/>
      <c r="P363" s="42"/>
      <c r="Q363" s="42"/>
      <c r="R363" s="16"/>
      <c r="S363" s="16"/>
      <c r="T363" s="42"/>
      <c r="U363" s="42"/>
      <c r="V363" s="42"/>
      <c r="W363" s="42"/>
      <c r="X363" s="42"/>
      <c r="Y363" s="42"/>
    </row>
    <row r="364" spans="2:25" s="17" customFormat="1" x14ac:dyDescent="0.25">
      <c r="B364" s="15"/>
      <c r="C364" s="15"/>
      <c r="F364" s="16"/>
      <c r="G364" s="18"/>
      <c r="H364" s="16"/>
      <c r="J364" s="42"/>
      <c r="K364" s="42"/>
      <c r="L364" s="42"/>
      <c r="M364" s="42"/>
      <c r="N364" s="42"/>
      <c r="O364" s="42"/>
      <c r="P364" s="42"/>
      <c r="Q364" s="42"/>
      <c r="R364" s="16"/>
      <c r="S364" s="16"/>
      <c r="T364" s="42"/>
      <c r="U364" s="42"/>
      <c r="V364" s="42"/>
      <c r="W364" s="42"/>
      <c r="X364" s="42"/>
      <c r="Y364" s="42"/>
    </row>
    <row r="365" spans="2:25" s="17" customFormat="1" x14ac:dyDescent="0.25">
      <c r="B365" s="15"/>
      <c r="C365" s="15"/>
      <c r="F365" s="16"/>
      <c r="G365" s="18"/>
      <c r="H365" s="16"/>
      <c r="J365" s="42"/>
      <c r="K365" s="42"/>
      <c r="L365" s="42"/>
      <c r="M365" s="42"/>
      <c r="N365" s="42"/>
      <c r="O365" s="42"/>
      <c r="P365" s="42"/>
      <c r="Q365" s="42"/>
      <c r="R365" s="16"/>
      <c r="S365" s="16"/>
      <c r="T365" s="42"/>
      <c r="U365" s="42"/>
      <c r="V365" s="42"/>
      <c r="W365" s="42"/>
      <c r="X365" s="42"/>
      <c r="Y365" s="42"/>
    </row>
    <row r="366" spans="2:25" s="17" customFormat="1" x14ac:dyDescent="0.25">
      <c r="B366" s="15"/>
      <c r="C366" s="15"/>
      <c r="F366" s="16"/>
      <c r="G366" s="18"/>
      <c r="H366" s="16"/>
      <c r="J366" s="42"/>
      <c r="K366" s="42"/>
      <c r="L366" s="42"/>
      <c r="M366" s="42"/>
      <c r="N366" s="42"/>
      <c r="O366" s="42"/>
      <c r="P366" s="42"/>
      <c r="Q366" s="42"/>
      <c r="R366" s="16"/>
      <c r="S366" s="16"/>
      <c r="T366" s="42"/>
      <c r="U366" s="42"/>
      <c r="V366" s="42"/>
      <c r="W366" s="42"/>
      <c r="X366" s="42"/>
      <c r="Y366" s="42"/>
    </row>
    <row r="367" spans="2:25" s="17" customFormat="1" x14ac:dyDescent="0.25">
      <c r="B367" s="15"/>
      <c r="C367" s="15"/>
      <c r="F367" s="16"/>
      <c r="G367" s="18"/>
      <c r="H367" s="16"/>
      <c r="J367" s="42"/>
      <c r="K367" s="42"/>
      <c r="L367" s="42"/>
      <c r="M367" s="42"/>
      <c r="N367" s="42"/>
      <c r="O367" s="42"/>
      <c r="P367" s="42"/>
      <c r="Q367" s="42"/>
      <c r="R367" s="16"/>
      <c r="S367" s="16"/>
      <c r="T367" s="42"/>
      <c r="U367" s="42"/>
      <c r="V367" s="42"/>
      <c r="W367" s="42"/>
      <c r="X367" s="42"/>
      <c r="Y367" s="42"/>
    </row>
    <row r="368" spans="2:25" s="17" customFormat="1" x14ac:dyDescent="0.25">
      <c r="B368" s="15"/>
      <c r="C368" s="15"/>
      <c r="F368" s="16"/>
      <c r="G368" s="18"/>
      <c r="H368" s="16"/>
      <c r="J368" s="42"/>
      <c r="K368" s="42"/>
      <c r="L368" s="42"/>
      <c r="M368" s="42"/>
      <c r="N368" s="42"/>
      <c r="O368" s="42"/>
      <c r="P368" s="42"/>
      <c r="Q368" s="42"/>
      <c r="R368" s="16"/>
      <c r="S368" s="16"/>
      <c r="T368" s="42"/>
      <c r="U368" s="42"/>
      <c r="V368" s="42"/>
      <c r="W368" s="42"/>
      <c r="X368" s="42"/>
      <c r="Y368" s="42"/>
    </row>
    <row r="369" spans="2:25" s="17" customFormat="1" x14ac:dyDescent="0.25">
      <c r="B369" s="15"/>
      <c r="C369" s="15"/>
      <c r="F369" s="16"/>
      <c r="G369" s="18"/>
      <c r="H369" s="16"/>
      <c r="J369" s="42"/>
      <c r="K369" s="42"/>
      <c r="L369" s="42"/>
      <c r="M369" s="42"/>
      <c r="N369" s="42"/>
      <c r="O369" s="42"/>
      <c r="P369" s="42"/>
      <c r="Q369" s="42"/>
      <c r="R369" s="16"/>
      <c r="S369" s="16"/>
      <c r="T369" s="42"/>
      <c r="U369" s="42"/>
      <c r="V369" s="42"/>
      <c r="W369" s="42"/>
      <c r="X369" s="42"/>
      <c r="Y369" s="42"/>
    </row>
    <row r="370" spans="2:25" s="17" customFormat="1" x14ac:dyDescent="0.25">
      <c r="B370" s="15"/>
      <c r="C370" s="15"/>
      <c r="F370" s="16"/>
      <c r="G370" s="18"/>
      <c r="H370" s="16"/>
      <c r="J370" s="42"/>
      <c r="K370" s="42"/>
      <c r="L370" s="42"/>
      <c r="M370" s="42"/>
      <c r="N370" s="42"/>
      <c r="O370" s="42"/>
      <c r="P370" s="42"/>
      <c r="Q370" s="42"/>
      <c r="R370" s="16"/>
      <c r="S370" s="16"/>
      <c r="T370" s="42"/>
      <c r="U370" s="42"/>
      <c r="V370" s="42"/>
      <c r="W370" s="42"/>
      <c r="X370" s="42"/>
      <c r="Y370" s="42"/>
    </row>
    <row r="371" spans="2:25" s="17" customFormat="1" x14ac:dyDescent="0.25">
      <c r="B371" s="15"/>
      <c r="C371" s="15"/>
      <c r="F371" s="16"/>
      <c r="G371" s="18"/>
      <c r="H371" s="16"/>
      <c r="J371" s="42"/>
      <c r="K371" s="42"/>
      <c r="L371" s="42"/>
      <c r="M371" s="42"/>
      <c r="N371" s="42"/>
      <c r="O371" s="42"/>
      <c r="P371" s="42"/>
      <c r="Q371" s="42"/>
      <c r="R371" s="16"/>
      <c r="S371" s="16"/>
      <c r="T371" s="42"/>
      <c r="U371" s="42"/>
      <c r="V371" s="42"/>
      <c r="W371" s="42"/>
      <c r="X371" s="42"/>
      <c r="Y371" s="42"/>
    </row>
    <row r="372" spans="2:25" s="17" customFormat="1" x14ac:dyDescent="0.25">
      <c r="B372" s="15"/>
      <c r="C372" s="15"/>
      <c r="F372" s="16"/>
      <c r="G372" s="18"/>
      <c r="H372" s="16"/>
      <c r="J372" s="42"/>
      <c r="K372" s="42"/>
      <c r="L372" s="42"/>
      <c r="M372" s="42"/>
      <c r="N372" s="42"/>
      <c r="O372" s="42"/>
      <c r="P372" s="42"/>
      <c r="Q372" s="42"/>
      <c r="R372" s="16"/>
      <c r="S372" s="16"/>
      <c r="T372" s="42"/>
      <c r="U372" s="42"/>
      <c r="V372" s="42"/>
      <c r="W372" s="42"/>
      <c r="X372" s="42"/>
      <c r="Y372" s="42"/>
    </row>
    <row r="373" spans="2:25" s="17" customFormat="1" x14ac:dyDescent="0.25">
      <c r="B373" s="15"/>
      <c r="C373" s="15"/>
      <c r="F373" s="16"/>
      <c r="G373" s="18"/>
      <c r="H373" s="16"/>
      <c r="J373" s="42"/>
      <c r="K373" s="42"/>
      <c r="L373" s="42"/>
      <c r="M373" s="42"/>
      <c r="N373" s="42"/>
      <c r="O373" s="42"/>
      <c r="P373" s="42"/>
      <c r="Q373" s="42"/>
      <c r="R373" s="16"/>
      <c r="S373" s="16"/>
      <c r="T373" s="42"/>
      <c r="U373" s="42"/>
      <c r="V373" s="42"/>
      <c r="W373" s="42"/>
      <c r="X373" s="42"/>
      <c r="Y373" s="42"/>
    </row>
    <row r="374" spans="2:25" s="17" customFormat="1" x14ac:dyDescent="0.25">
      <c r="B374" s="15"/>
      <c r="C374" s="15"/>
      <c r="F374" s="16"/>
      <c r="G374" s="18"/>
      <c r="H374" s="16"/>
      <c r="J374" s="42"/>
      <c r="K374" s="42"/>
      <c r="L374" s="42"/>
      <c r="M374" s="42"/>
      <c r="N374" s="42"/>
      <c r="O374" s="42"/>
      <c r="P374" s="42"/>
      <c r="Q374" s="42"/>
      <c r="R374" s="16"/>
      <c r="S374" s="16"/>
      <c r="T374" s="42"/>
      <c r="U374" s="42"/>
      <c r="V374" s="42"/>
      <c r="W374" s="42"/>
      <c r="X374" s="42"/>
      <c r="Y374" s="42"/>
    </row>
    <row r="375" spans="2:25" s="17" customFormat="1" x14ac:dyDescent="0.25">
      <c r="B375" s="15"/>
      <c r="C375" s="15"/>
      <c r="F375" s="16"/>
      <c r="G375" s="18"/>
      <c r="H375" s="16"/>
      <c r="J375" s="42"/>
      <c r="K375" s="42"/>
      <c r="L375" s="42"/>
      <c r="M375" s="42"/>
      <c r="N375" s="42"/>
      <c r="O375" s="42"/>
      <c r="P375" s="42"/>
      <c r="Q375" s="42"/>
      <c r="R375" s="16"/>
      <c r="S375" s="16"/>
      <c r="T375" s="42"/>
      <c r="U375" s="42"/>
      <c r="V375" s="42"/>
      <c r="W375" s="42"/>
      <c r="X375" s="42"/>
      <c r="Y375" s="42"/>
    </row>
    <row r="376" spans="2:25" s="17" customFormat="1" x14ac:dyDescent="0.25">
      <c r="B376" s="15"/>
      <c r="C376" s="15"/>
      <c r="F376" s="16"/>
      <c r="G376" s="18"/>
      <c r="H376" s="16"/>
      <c r="J376" s="42"/>
      <c r="K376" s="42"/>
      <c r="L376" s="42"/>
      <c r="M376" s="42"/>
      <c r="N376" s="42"/>
      <c r="O376" s="42"/>
      <c r="P376" s="42"/>
      <c r="Q376" s="42"/>
      <c r="R376" s="16"/>
      <c r="S376" s="16"/>
      <c r="T376" s="42"/>
      <c r="U376" s="42"/>
      <c r="V376" s="42"/>
      <c r="W376" s="42"/>
      <c r="X376" s="42"/>
      <c r="Y376" s="42"/>
    </row>
    <row r="377" spans="2:25" s="17" customFormat="1" x14ac:dyDescent="0.25">
      <c r="B377" s="15"/>
      <c r="C377" s="15"/>
      <c r="F377" s="16"/>
      <c r="G377" s="18"/>
      <c r="H377" s="16"/>
      <c r="J377" s="42"/>
      <c r="K377" s="42"/>
      <c r="L377" s="42"/>
      <c r="M377" s="42"/>
      <c r="N377" s="42"/>
      <c r="O377" s="42"/>
      <c r="P377" s="42"/>
      <c r="Q377" s="42"/>
      <c r="R377" s="16"/>
      <c r="S377" s="16"/>
      <c r="T377" s="42"/>
      <c r="U377" s="42"/>
      <c r="V377" s="42"/>
      <c r="W377" s="42"/>
      <c r="X377" s="42"/>
      <c r="Y377" s="42"/>
    </row>
    <row r="378" spans="2:25" s="17" customFormat="1" x14ac:dyDescent="0.25">
      <c r="B378" s="15"/>
      <c r="C378" s="15"/>
      <c r="F378" s="16"/>
      <c r="G378" s="18"/>
      <c r="H378" s="16"/>
      <c r="J378" s="42"/>
      <c r="K378" s="42"/>
      <c r="L378" s="42"/>
      <c r="M378" s="42"/>
      <c r="N378" s="42"/>
      <c r="O378" s="42"/>
      <c r="P378" s="42"/>
      <c r="Q378" s="42"/>
      <c r="R378" s="16"/>
      <c r="S378" s="16"/>
      <c r="T378" s="42"/>
      <c r="U378" s="42"/>
      <c r="V378" s="42"/>
      <c r="W378" s="42"/>
      <c r="X378" s="42"/>
      <c r="Y378" s="42"/>
    </row>
    <row r="379" spans="2:25" s="17" customFormat="1" x14ac:dyDescent="0.25">
      <c r="B379" s="15"/>
      <c r="C379" s="15"/>
      <c r="F379" s="16"/>
      <c r="G379" s="18"/>
      <c r="H379" s="16"/>
      <c r="J379" s="42"/>
      <c r="K379" s="42"/>
      <c r="L379" s="42"/>
      <c r="M379" s="42"/>
      <c r="N379" s="42"/>
      <c r="O379" s="42"/>
      <c r="P379" s="42"/>
      <c r="Q379" s="42"/>
      <c r="R379" s="16"/>
      <c r="S379" s="16"/>
      <c r="T379" s="42"/>
      <c r="U379" s="42"/>
      <c r="V379" s="42"/>
      <c r="W379" s="42"/>
      <c r="X379" s="42"/>
      <c r="Y379" s="42"/>
    </row>
    <row r="380" spans="2:25" s="17" customFormat="1" x14ac:dyDescent="0.25">
      <c r="B380" s="15"/>
      <c r="C380" s="15"/>
      <c r="F380" s="16"/>
      <c r="G380" s="18"/>
      <c r="H380" s="16"/>
      <c r="J380" s="42"/>
      <c r="K380" s="42"/>
      <c r="L380" s="42"/>
      <c r="M380" s="42"/>
      <c r="N380" s="42"/>
      <c r="O380" s="42"/>
      <c r="P380" s="42"/>
      <c r="Q380" s="42"/>
      <c r="R380" s="16"/>
      <c r="S380" s="16"/>
      <c r="T380" s="42"/>
      <c r="U380" s="42"/>
      <c r="V380" s="42"/>
      <c r="W380" s="42"/>
      <c r="X380" s="42"/>
      <c r="Y380" s="42"/>
    </row>
    <row r="381" spans="2:25" s="17" customFormat="1" x14ac:dyDescent="0.25">
      <c r="B381" s="15"/>
      <c r="C381" s="15"/>
      <c r="F381" s="16"/>
      <c r="G381" s="18"/>
      <c r="H381" s="16"/>
      <c r="J381" s="42"/>
      <c r="K381" s="42"/>
      <c r="L381" s="42"/>
      <c r="M381" s="42"/>
      <c r="N381" s="42"/>
      <c r="O381" s="42"/>
      <c r="P381" s="42"/>
      <c r="Q381" s="42"/>
      <c r="R381" s="16"/>
      <c r="S381" s="16"/>
      <c r="T381" s="42"/>
      <c r="U381" s="42"/>
      <c r="V381" s="42"/>
      <c r="W381" s="42"/>
      <c r="X381" s="42"/>
      <c r="Y381" s="42"/>
    </row>
    <row r="382" spans="2:25" s="17" customFormat="1" x14ac:dyDescent="0.25">
      <c r="B382" s="15"/>
      <c r="C382" s="15"/>
      <c r="F382" s="16"/>
      <c r="G382" s="18"/>
      <c r="H382" s="16"/>
      <c r="J382" s="42"/>
      <c r="K382" s="42"/>
      <c r="L382" s="42"/>
      <c r="M382" s="42"/>
      <c r="N382" s="42"/>
      <c r="O382" s="42"/>
      <c r="P382" s="42"/>
      <c r="Q382" s="42"/>
      <c r="R382" s="16"/>
      <c r="S382" s="16"/>
      <c r="T382" s="42"/>
      <c r="U382" s="42"/>
      <c r="V382" s="42"/>
      <c r="W382" s="42"/>
      <c r="X382" s="42"/>
      <c r="Y382" s="42"/>
    </row>
    <row r="383" spans="2:25" s="17" customFormat="1" x14ac:dyDescent="0.25">
      <c r="B383" s="15"/>
      <c r="C383" s="15"/>
      <c r="F383" s="16"/>
      <c r="G383" s="18"/>
      <c r="H383" s="16"/>
      <c r="J383" s="42"/>
      <c r="K383" s="42"/>
      <c r="L383" s="42"/>
      <c r="M383" s="42"/>
      <c r="N383" s="42"/>
      <c r="O383" s="42"/>
      <c r="P383" s="42"/>
      <c r="Q383" s="42"/>
      <c r="R383" s="16"/>
      <c r="S383" s="16"/>
      <c r="T383" s="42"/>
      <c r="U383" s="42"/>
      <c r="V383" s="42"/>
      <c r="W383" s="42"/>
      <c r="X383" s="42"/>
      <c r="Y383" s="42"/>
    </row>
    <row r="384" spans="2:25" s="17" customFormat="1" x14ac:dyDescent="0.25">
      <c r="B384" s="15"/>
      <c r="C384" s="15"/>
      <c r="F384" s="16"/>
      <c r="G384" s="18"/>
      <c r="H384" s="16"/>
      <c r="J384" s="42"/>
      <c r="K384" s="42"/>
      <c r="L384" s="42"/>
      <c r="M384" s="42"/>
      <c r="N384" s="42"/>
      <c r="O384" s="42"/>
      <c r="P384" s="42"/>
      <c r="Q384" s="42"/>
      <c r="R384" s="16"/>
      <c r="S384" s="16"/>
      <c r="T384" s="42"/>
      <c r="U384" s="42"/>
      <c r="V384" s="42"/>
      <c r="W384" s="42"/>
      <c r="X384" s="42"/>
      <c r="Y384" s="42"/>
    </row>
    <row r="385" spans="2:25" s="17" customFormat="1" x14ac:dyDescent="0.25">
      <c r="B385" s="15"/>
      <c r="C385" s="15"/>
      <c r="F385" s="16"/>
      <c r="G385" s="18"/>
      <c r="H385" s="16"/>
      <c r="J385" s="42"/>
      <c r="K385" s="42"/>
      <c r="L385" s="42"/>
      <c r="M385" s="42"/>
      <c r="N385" s="42"/>
      <c r="O385" s="42"/>
      <c r="P385" s="42"/>
      <c r="Q385" s="42"/>
      <c r="R385" s="16"/>
      <c r="S385" s="16"/>
      <c r="T385" s="42"/>
      <c r="U385" s="42"/>
      <c r="V385" s="42"/>
      <c r="W385" s="42"/>
      <c r="X385" s="42"/>
      <c r="Y385" s="42"/>
    </row>
    <row r="386" spans="2:25" s="17" customFormat="1" x14ac:dyDescent="0.25">
      <c r="B386" s="15"/>
      <c r="C386" s="15"/>
      <c r="F386" s="16"/>
      <c r="G386" s="18"/>
      <c r="H386" s="16"/>
      <c r="J386" s="42"/>
      <c r="K386" s="42"/>
      <c r="L386" s="42"/>
      <c r="M386" s="42"/>
      <c r="N386" s="42"/>
      <c r="O386" s="42"/>
      <c r="P386" s="42"/>
      <c r="Q386" s="42"/>
      <c r="R386" s="16"/>
      <c r="S386" s="16"/>
      <c r="T386" s="42"/>
      <c r="U386" s="42"/>
      <c r="V386" s="42"/>
      <c r="W386" s="42"/>
      <c r="X386" s="42"/>
      <c r="Y386" s="42"/>
    </row>
    <row r="387" spans="2:25" s="17" customFormat="1" x14ac:dyDescent="0.25">
      <c r="B387" s="15"/>
      <c r="C387" s="15"/>
      <c r="F387" s="16"/>
      <c r="G387" s="18"/>
      <c r="H387" s="16"/>
      <c r="J387" s="42"/>
      <c r="K387" s="42"/>
      <c r="L387" s="42"/>
      <c r="M387" s="42"/>
      <c r="N387" s="42"/>
      <c r="O387" s="42"/>
      <c r="P387" s="42"/>
      <c r="Q387" s="42"/>
      <c r="R387" s="16"/>
      <c r="S387" s="16"/>
      <c r="T387" s="42"/>
      <c r="U387" s="42"/>
      <c r="V387" s="42"/>
      <c r="W387" s="42"/>
      <c r="X387" s="42"/>
      <c r="Y387" s="42"/>
    </row>
    <row r="388" spans="2:25" s="17" customFormat="1" x14ac:dyDescent="0.25">
      <c r="B388" s="15"/>
      <c r="C388" s="15"/>
      <c r="F388" s="16"/>
      <c r="G388" s="18"/>
      <c r="H388" s="16"/>
      <c r="J388" s="42"/>
      <c r="K388" s="42"/>
      <c r="L388" s="42"/>
      <c r="M388" s="42"/>
      <c r="N388" s="42"/>
      <c r="O388" s="42"/>
      <c r="P388" s="42"/>
      <c r="Q388" s="42"/>
      <c r="R388" s="16"/>
      <c r="S388" s="16"/>
      <c r="T388" s="42"/>
      <c r="U388" s="42"/>
      <c r="V388" s="42"/>
      <c r="W388" s="42"/>
      <c r="X388" s="42"/>
      <c r="Y388" s="42"/>
    </row>
    <row r="389" spans="2:25" s="17" customFormat="1" x14ac:dyDescent="0.25">
      <c r="B389" s="15"/>
      <c r="C389" s="15"/>
      <c r="F389" s="16"/>
      <c r="G389" s="18"/>
      <c r="H389" s="16"/>
      <c r="J389" s="42"/>
      <c r="K389" s="42"/>
      <c r="L389" s="42"/>
      <c r="M389" s="42"/>
      <c r="N389" s="42"/>
      <c r="O389" s="42"/>
      <c r="P389" s="42"/>
      <c r="Q389" s="42"/>
      <c r="R389" s="16"/>
      <c r="S389" s="16"/>
      <c r="T389" s="42"/>
      <c r="U389" s="42"/>
      <c r="V389" s="42"/>
      <c r="W389" s="42"/>
      <c r="X389" s="42"/>
      <c r="Y389" s="42"/>
    </row>
    <row r="390" spans="2:25" s="17" customFormat="1" x14ac:dyDescent="0.25">
      <c r="B390" s="15"/>
      <c r="C390" s="15"/>
      <c r="F390" s="16"/>
      <c r="G390" s="18"/>
      <c r="H390" s="16"/>
      <c r="J390" s="42"/>
      <c r="K390" s="42"/>
      <c r="L390" s="42"/>
      <c r="M390" s="42"/>
      <c r="N390" s="42"/>
      <c r="O390" s="42"/>
      <c r="P390" s="42"/>
      <c r="Q390" s="42"/>
      <c r="R390" s="16"/>
      <c r="S390" s="16"/>
      <c r="T390" s="42"/>
      <c r="U390" s="42"/>
      <c r="V390" s="42"/>
      <c r="W390" s="42"/>
      <c r="X390" s="42"/>
      <c r="Y390" s="42"/>
    </row>
    <row r="391" spans="2:25" s="17" customFormat="1" x14ac:dyDescent="0.25">
      <c r="B391" s="15"/>
      <c r="C391" s="15"/>
      <c r="F391" s="16"/>
      <c r="G391" s="18"/>
      <c r="H391" s="16"/>
      <c r="J391" s="42"/>
      <c r="K391" s="42"/>
      <c r="L391" s="42"/>
      <c r="M391" s="42"/>
      <c r="N391" s="42"/>
      <c r="O391" s="42"/>
      <c r="P391" s="42"/>
      <c r="Q391" s="42"/>
      <c r="R391" s="16"/>
      <c r="S391" s="16"/>
      <c r="T391" s="42"/>
      <c r="U391" s="42"/>
      <c r="V391" s="42"/>
      <c r="W391" s="42"/>
      <c r="X391" s="42"/>
      <c r="Y391" s="42"/>
    </row>
    <row r="392" spans="2:25" s="17" customFormat="1" x14ac:dyDescent="0.25">
      <c r="B392" s="15"/>
      <c r="C392" s="15"/>
      <c r="F392" s="16"/>
      <c r="G392" s="18"/>
      <c r="H392" s="16"/>
      <c r="J392" s="42"/>
      <c r="K392" s="42"/>
      <c r="L392" s="42"/>
      <c r="M392" s="42"/>
      <c r="N392" s="42"/>
      <c r="O392" s="42"/>
      <c r="P392" s="42"/>
      <c r="Q392" s="42"/>
      <c r="R392" s="16"/>
      <c r="S392" s="16"/>
      <c r="T392" s="42"/>
      <c r="U392" s="42"/>
      <c r="V392" s="42"/>
      <c r="W392" s="42"/>
      <c r="X392" s="42"/>
      <c r="Y392" s="42"/>
    </row>
    <row r="393" spans="2:25" s="17" customFormat="1" x14ac:dyDescent="0.25">
      <c r="B393" s="15"/>
      <c r="C393" s="15"/>
      <c r="F393" s="16"/>
      <c r="G393" s="18"/>
      <c r="H393" s="16"/>
      <c r="J393" s="42"/>
      <c r="K393" s="42"/>
      <c r="L393" s="42"/>
      <c r="M393" s="42"/>
      <c r="N393" s="42"/>
      <c r="O393" s="42"/>
      <c r="P393" s="42"/>
      <c r="Q393" s="42"/>
      <c r="R393" s="16"/>
      <c r="S393" s="16"/>
      <c r="T393" s="42"/>
      <c r="U393" s="42"/>
      <c r="V393" s="42"/>
      <c r="W393" s="42"/>
      <c r="X393" s="42"/>
      <c r="Y393" s="42"/>
    </row>
    <row r="394" spans="2:25" s="17" customFormat="1" x14ac:dyDescent="0.25">
      <c r="B394" s="15"/>
      <c r="C394" s="15"/>
      <c r="F394" s="16"/>
      <c r="G394" s="18"/>
      <c r="H394" s="16"/>
      <c r="J394" s="42"/>
      <c r="K394" s="42"/>
      <c r="L394" s="42"/>
      <c r="M394" s="42"/>
      <c r="N394" s="42"/>
      <c r="O394" s="42"/>
      <c r="P394" s="42"/>
      <c r="Q394" s="42"/>
      <c r="R394" s="16"/>
      <c r="S394" s="16"/>
      <c r="T394" s="42"/>
      <c r="U394" s="42"/>
      <c r="V394" s="42"/>
      <c r="W394" s="42"/>
      <c r="X394" s="42"/>
      <c r="Y394" s="42"/>
    </row>
    <row r="395" spans="2:25" s="17" customFormat="1" x14ac:dyDescent="0.25">
      <c r="B395" s="15"/>
      <c r="C395" s="15"/>
      <c r="F395" s="16"/>
      <c r="G395" s="18"/>
      <c r="H395" s="16"/>
      <c r="J395" s="42"/>
      <c r="K395" s="42"/>
      <c r="L395" s="42"/>
      <c r="M395" s="42"/>
      <c r="N395" s="42"/>
      <c r="O395" s="42"/>
      <c r="P395" s="42"/>
      <c r="Q395" s="42"/>
      <c r="R395" s="16"/>
      <c r="S395" s="16"/>
      <c r="T395" s="42"/>
      <c r="U395" s="42"/>
      <c r="V395" s="42"/>
      <c r="W395" s="42"/>
      <c r="X395" s="42"/>
      <c r="Y395" s="42"/>
    </row>
    <row r="396" spans="2:25" s="17" customFormat="1" x14ac:dyDescent="0.25">
      <c r="B396" s="15"/>
      <c r="C396" s="15"/>
      <c r="F396" s="16"/>
      <c r="G396" s="18"/>
      <c r="H396" s="16"/>
      <c r="J396" s="42"/>
      <c r="K396" s="42"/>
      <c r="L396" s="42"/>
      <c r="M396" s="42"/>
      <c r="N396" s="42"/>
      <c r="O396" s="42"/>
      <c r="P396" s="42"/>
      <c r="Q396" s="42"/>
      <c r="R396" s="16"/>
      <c r="S396" s="16"/>
      <c r="T396" s="42"/>
      <c r="U396" s="42"/>
      <c r="V396" s="42"/>
      <c r="W396" s="42"/>
      <c r="X396" s="42"/>
      <c r="Y396" s="42"/>
    </row>
    <row r="397" spans="2:25" s="17" customFormat="1" x14ac:dyDescent="0.25">
      <c r="B397" s="15"/>
      <c r="C397" s="15"/>
      <c r="F397" s="16"/>
      <c r="G397" s="18"/>
      <c r="H397" s="16"/>
      <c r="J397" s="42"/>
      <c r="K397" s="42"/>
      <c r="L397" s="42"/>
      <c r="M397" s="42"/>
      <c r="N397" s="42"/>
      <c r="O397" s="42"/>
      <c r="P397" s="42"/>
      <c r="Q397" s="42"/>
      <c r="R397" s="16"/>
      <c r="S397" s="16"/>
      <c r="T397" s="42"/>
      <c r="U397" s="42"/>
      <c r="V397" s="42"/>
      <c r="W397" s="42"/>
      <c r="X397" s="42"/>
      <c r="Y397" s="42"/>
    </row>
    <row r="398" spans="2:25" s="17" customFormat="1" x14ac:dyDescent="0.25">
      <c r="B398" s="15"/>
      <c r="C398" s="15"/>
      <c r="F398" s="16"/>
      <c r="G398" s="18"/>
      <c r="H398" s="16"/>
      <c r="J398" s="42"/>
      <c r="K398" s="42"/>
      <c r="L398" s="42"/>
      <c r="M398" s="42"/>
      <c r="N398" s="42"/>
      <c r="O398" s="42"/>
      <c r="P398" s="42"/>
      <c r="Q398" s="42"/>
      <c r="R398" s="16"/>
      <c r="S398" s="16"/>
      <c r="T398" s="42"/>
      <c r="U398" s="42"/>
      <c r="V398" s="42"/>
      <c r="W398" s="42"/>
      <c r="X398" s="42"/>
      <c r="Y398" s="42"/>
    </row>
    <row r="399" spans="2:25" s="17" customFormat="1" x14ac:dyDescent="0.25">
      <c r="B399" s="15"/>
      <c r="C399" s="15"/>
      <c r="F399" s="16"/>
      <c r="G399" s="18"/>
      <c r="H399" s="16"/>
      <c r="J399" s="42"/>
      <c r="K399" s="42"/>
      <c r="L399" s="42"/>
      <c r="M399" s="42"/>
      <c r="N399" s="42"/>
      <c r="O399" s="42"/>
      <c r="P399" s="42"/>
      <c r="Q399" s="42"/>
      <c r="R399" s="16"/>
      <c r="S399" s="16"/>
      <c r="T399" s="42"/>
      <c r="U399" s="42"/>
      <c r="V399" s="42"/>
      <c r="W399" s="42"/>
      <c r="X399" s="42"/>
      <c r="Y399" s="42"/>
    </row>
    <row r="400" spans="2:25" s="17" customFormat="1" x14ac:dyDescent="0.25">
      <c r="B400" s="15"/>
      <c r="C400" s="15"/>
      <c r="F400" s="16"/>
      <c r="G400" s="18"/>
      <c r="H400" s="16"/>
      <c r="J400" s="42"/>
      <c r="K400" s="42"/>
      <c r="L400" s="42"/>
      <c r="M400" s="42"/>
      <c r="N400" s="42"/>
      <c r="O400" s="42"/>
      <c r="P400" s="42"/>
      <c r="Q400" s="42"/>
      <c r="R400" s="16"/>
      <c r="S400" s="16"/>
      <c r="T400" s="42"/>
      <c r="U400" s="42"/>
      <c r="V400" s="42"/>
      <c r="W400" s="42"/>
      <c r="X400" s="42"/>
      <c r="Y400" s="42"/>
    </row>
    <row r="401" spans="2:25" s="17" customFormat="1" x14ac:dyDescent="0.25">
      <c r="B401" s="15"/>
      <c r="C401" s="15"/>
      <c r="F401" s="16"/>
      <c r="G401" s="18"/>
      <c r="H401" s="16"/>
      <c r="J401" s="42"/>
      <c r="K401" s="42"/>
      <c r="L401" s="42"/>
      <c r="M401" s="42"/>
      <c r="N401" s="42"/>
      <c r="O401" s="42"/>
      <c r="P401" s="42"/>
      <c r="Q401" s="42"/>
      <c r="R401" s="16"/>
      <c r="S401" s="16"/>
      <c r="T401" s="42"/>
      <c r="U401" s="42"/>
      <c r="V401" s="42"/>
      <c r="W401" s="42"/>
      <c r="X401" s="42"/>
      <c r="Y401" s="42"/>
    </row>
    <row r="402" spans="2:25" s="17" customFormat="1" x14ac:dyDescent="0.25">
      <c r="B402" s="15"/>
      <c r="C402" s="15"/>
      <c r="F402" s="16"/>
      <c r="G402" s="18"/>
      <c r="H402" s="16"/>
      <c r="J402" s="42"/>
      <c r="K402" s="42"/>
      <c r="L402" s="42"/>
      <c r="M402" s="42"/>
      <c r="N402" s="42"/>
      <c r="O402" s="42"/>
      <c r="P402" s="42"/>
      <c r="Q402" s="42"/>
      <c r="R402" s="16"/>
      <c r="S402" s="16"/>
      <c r="T402" s="42"/>
      <c r="U402" s="42"/>
      <c r="V402" s="42"/>
      <c r="W402" s="42"/>
      <c r="X402" s="42"/>
      <c r="Y402" s="42"/>
    </row>
    <row r="403" spans="2:25" s="17" customFormat="1" x14ac:dyDescent="0.25">
      <c r="B403" s="15"/>
      <c r="C403" s="15"/>
      <c r="F403" s="16"/>
      <c r="G403" s="18"/>
      <c r="H403" s="16"/>
      <c r="J403" s="42"/>
      <c r="K403" s="42"/>
      <c r="L403" s="42"/>
      <c r="M403" s="42"/>
      <c r="N403" s="42"/>
      <c r="O403" s="42"/>
      <c r="P403" s="42"/>
      <c r="Q403" s="42"/>
      <c r="R403" s="16"/>
      <c r="S403" s="16"/>
      <c r="T403" s="42"/>
      <c r="U403" s="42"/>
      <c r="V403" s="42"/>
      <c r="W403" s="42"/>
      <c r="X403" s="42"/>
      <c r="Y403" s="42"/>
    </row>
    <row r="404" spans="2:25" s="17" customFormat="1" x14ac:dyDescent="0.25">
      <c r="B404" s="15"/>
      <c r="C404" s="15"/>
      <c r="F404" s="16"/>
      <c r="G404" s="18"/>
      <c r="H404" s="16"/>
      <c r="J404" s="42"/>
      <c r="K404" s="42"/>
      <c r="L404" s="42"/>
      <c r="M404" s="42"/>
      <c r="N404" s="42"/>
      <c r="O404" s="42"/>
      <c r="P404" s="42"/>
      <c r="Q404" s="42"/>
      <c r="R404" s="16"/>
      <c r="S404" s="16"/>
      <c r="T404" s="42"/>
      <c r="U404" s="42"/>
      <c r="V404" s="42"/>
      <c r="W404" s="42"/>
      <c r="X404" s="42"/>
      <c r="Y404" s="42"/>
    </row>
    <row r="405" spans="2:25" s="17" customFormat="1" x14ac:dyDescent="0.25">
      <c r="B405" s="15"/>
      <c r="C405" s="15"/>
      <c r="F405" s="16"/>
      <c r="G405" s="18"/>
      <c r="H405" s="16"/>
      <c r="J405" s="42"/>
      <c r="K405" s="42"/>
      <c r="L405" s="42"/>
      <c r="M405" s="42"/>
      <c r="N405" s="42"/>
      <c r="O405" s="42"/>
      <c r="P405" s="42"/>
      <c r="Q405" s="42"/>
      <c r="R405" s="16"/>
      <c r="S405" s="16"/>
      <c r="T405" s="42"/>
      <c r="U405" s="42"/>
      <c r="V405" s="42"/>
      <c r="W405" s="42"/>
      <c r="X405" s="42"/>
      <c r="Y405" s="42"/>
    </row>
    <row r="406" spans="2:25" s="17" customFormat="1" x14ac:dyDescent="0.25">
      <c r="B406" s="15"/>
      <c r="C406" s="15"/>
      <c r="F406" s="16"/>
      <c r="G406" s="18"/>
      <c r="H406" s="16"/>
      <c r="J406" s="42"/>
      <c r="K406" s="42"/>
      <c r="L406" s="42"/>
      <c r="M406" s="42"/>
      <c r="N406" s="42"/>
      <c r="O406" s="42"/>
      <c r="P406" s="42"/>
      <c r="Q406" s="42"/>
      <c r="R406" s="16"/>
      <c r="S406" s="16"/>
      <c r="T406" s="42"/>
      <c r="U406" s="42"/>
      <c r="V406" s="42"/>
      <c r="W406" s="42"/>
      <c r="X406" s="42"/>
      <c r="Y406" s="42"/>
    </row>
    <row r="407" spans="2:25" s="17" customFormat="1" x14ac:dyDescent="0.25">
      <c r="B407" s="15"/>
      <c r="C407" s="15"/>
      <c r="F407" s="16"/>
      <c r="G407" s="18"/>
      <c r="H407" s="16"/>
      <c r="J407" s="42"/>
      <c r="K407" s="42"/>
      <c r="L407" s="42"/>
      <c r="M407" s="42"/>
      <c r="N407" s="42"/>
      <c r="O407" s="42"/>
      <c r="P407" s="42"/>
      <c r="Q407" s="42"/>
      <c r="R407" s="16"/>
      <c r="S407" s="16"/>
      <c r="T407" s="42"/>
      <c r="U407" s="42"/>
      <c r="V407" s="42"/>
      <c r="W407" s="42"/>
      <c r="X407" s="42"/>
      <c r="Y407" s="42"/>
    </row>
    <row r="408" spans="2:25" s="17" customFormat="1" x14ac:dyDescent="0.25">
      <c r="B408" s="15"/>
      <c r="C408" s="15"/>
      <c r="F408" s="16"/>
      <c r="G408" s="18"/>
      <c r="H408" s="16"/>
      <c r="J408" s="42"/>
      <c r="K408" s="42"/>
      <c r="L408" s="42"/>
      <c r="M408" s="42"/>
      <c r="N408" s="42"/>
      <c r="O408" s="42"/>
      <c r="P408" s="42"/>
      <c r="Q408" s="42"/>
      <c r="R408" s="16"/>
      <c r="S408" s="16"/>
      <c r="T408" s="42"/>
      <c r="U408" s="42"/>
      <c r="V408" s="42"/>
      <c r="W408" s="42"/>
      <c r="X408" s="42"/>
      <c r="Y408" s="42"/>
    </row>
    <row r="409" spans="2:25" s="17" customFormat="1" x14ac:dyDescent="0.25">
      <c r="B409" s="15"/>
      <c r="C409" s="15"/>
      <c r="F409" s="16"/>
      <c r="G409" s="18"/>
      <c r="H409" s="16"/>
      <c r="J409" s="42"/>
      <c r="K409" s="42"/>
      <c r="L409" s="42"/>
      <c r="M409" s="42"/>
      <c r="N409" s="42"/>
      <c r="O409" s="42"/>
      <c r="P409" s="42"/>
      <c r="Q409" s="42"/>
      <c r="R409" s="16"/>
      <c r="S409" s="16"/>
      <c r="T409" s="42"/>
      <c r="U409" s="42"/>
      <c r="V409" s="42"/>
      <c r="W409" s="42"/>
      <c r="X409" s="42"/>
      <c r="Y409" s="42"/>
    </row>
    <row r="410" spans="2:25" s="17" customFormat="1" x14ac:dyDescent="0.25">
      <c r="B410" s="15"/>
      <c r="C410" s="15"/>
      <c r="F410" s="16"/>
      <c r="G410" s="18"/>
      <c r="H410" s="16"/>
      <c r="J410" s="42"/>
      <c r="K410" s="42"/>
      <c r="L410" s="42"/>
      <c r="M410" s="42"/>
      <c r="N410" s="42"/>
      <c r="O410" s="42"/>
      <c r="P410" s="42"/>
      <c r="Q410" s="42"/>
      <c r="R410" s="16"/>
      <c r="S410" s="16"/>
      <c r="T410" s="42"/>
      <c r="U410" s="42"/>
      <c r="V410" s="42"/>
      <c r="W410" s="42"/>
      <c r="X410" s="42"/>
      <c r="Y410" s="42"/>
    </row>
    <row r="411" spans="2:25" s="17" customFormat="1" x14ac:dyDescent="0.25">
      <c r="B411" s="15"/>
      <c r="C411" s="15"/>
      <c r="F411" s="16"/>
      <c r="G411" s="18"/>
      <c r="H411" s="16"/>
      <c r="J411" s="42"/>
      <c r="K411" s="42"/>
      <c r="L411" s="42"/>
      <c r="M411" s="42"/>
      <c r="N411" s="42"/>
      <c r="O411" s="42"/>
      <c r="P411" s="42"/>
      <c r="Q411" s="42"/>
      <c r="R411" s="16"/>
      <c r="S411" s="16"/>
      <c r="T411" s="42"/>
      <c r="U411" s="42"/>
      <c r="V411" s="42"/>
      <c r="W411" s="42"/>
      <c r="X411" s="42"/>
      <c r="Y411" s="42"/>
    </row>
    <row r="412" spans="2:25" s="17" customFormat="1" x14ac:dyDescent="0.25">
      <c r="B412" s="15"/>
      <c r="C412" s="15"/>
      <c r="F412" s="16"/>
      <c r="G412" s="18"/>
      <c r="H412" s="16"/>
      <c r="J412" s="42"/>
      <c r="K412" s="42"/>
      <c r="L412" s="42"/>
      <c r="M412" s="42"/>
      <c r="N412" s="42"/>
      <c r="O412" s="42"/>
      <c r="P412" s="42"/>
      <c r="Q412" s="42"/>
      <c r="R412" s="16"/>
      <c r="S412" s="16"/>
      <c r="T412" s="42"/>
      <c r="U412" s="42"/>
      <c r="V412" s="42"/>
      <c r="W412" s="42"/>
      <c r="X412" s="42"/>
      <c r="Y412" s="42"/>
    </row>
    <row r="413" spans="2:25" s="17" customFormat="1" x14ac:dyDescent="0.25">
      <c r="B413" s="15"/>
      <c r="C413" s="15"/>
      <c r="F413" s="16"/>
      <c r="G413" s="18"/>
      <c r="H413" s="16"/>
      <c r="J413" s="42"/>
      <c r="K413" s="42"/>
      <c r="L413" s="42"/>
      <c r="M413" s="42"/>
      <c r="N413" s="42"/>
      <c r="O413" s="42"/>
      <c r="P413" s="42"/>
      <c r="Q413" s="42"/>
      <c r="R413" s="16"/>
      <c r="S413" s="16"/>
      <c r="T413" s="42"/>
      <c r="U413" s="42"/>
      <c r="V413" s="42"/>
      <c r="W413" s="42"/>
      <c r="X413" s="42"/>
      <c r="Y413" s="42"/>
    </row>
    <row r="414" spans="2:25" s="17" customFormat="1" x14ac:dyDescent="0.25">
      <c r="B414" s="15"/>
      <c r="C414" s="15"/>
      <c r="F414" s="16"/>
      <c r="G414" s="18"/>
      <c r="H414" s="16"/>
      <c r="J414" s="42"/>
      <c r="K414" s="42"/>
      <c r="L414" s="42"/>
      <c r="M414" s="42"/>
      <c r="N414" s="42"/>
      <c r="O414" s="42"/>
      <c r="P414" s="42"/>
      <c r="Q414" s="42"/>
      <c r="R414" s="16"/>
      <c r="S414" s="16"/>
      <c r="T414" s="42"/>
      <c r="U414" s="42"/>
      <c r="V414" s="42"/>
      <c r="W414" s="42"/>
      <c r="X414" s="42"/>
      <c r="Y414" s="42"/>
    </row>
    <row r="415" spans="2:25" s="17" customFormat="1" x14ac:dyDescent="0.25">
      <c r="B415" s="15"/>
      <c r="C415" s="15"/>
      <c r="F415" s="16"/>
      <c r="G415" s="18"/>
      <c r="H415" s="16"/>
      <c r="J415" s="42"/>
      <c r="K415" s="42"/>
      <c r="L415" s="42"/>
      <c r="M415" s="42"/>
      <c r="N415" s="42"/>
      <c r="O415" s="42"/>
      <c r="P415" s="42"/>
      <c r="Q415" s="42"/>
      <c r="R415" s="16"/>
      <c r="S415" s="16"/>
      <c r="T415" s="42"/>
      <c r="U415" s="42"/>
      <c r="V415" s="42"/>
      <c r="W415" s="42"/>
      <c r="X415" s="42"/>
      <c r="Y415" s="42"/>
    </row>
    <row r="416" spans="2:25" s="17" customFormat="1" x14ac:dyDescent="0.25">
      <c r="B416" s="15"/>
      <c r="C416" s="15"/>
      <c r="F416" s="16"/>
      <c r="G416" s="18"/>
      <c r="H416" s="16"/>
      <c r="J416" s="42"/>
      <c r="K416" s="42"/>
      <c r="L416" s="42"/>
      <c r="M416" s="42"/>
      <c r="N416" s="42"/>
      <c r="O416" s="42"/>
      <c r="P416" s="42"/>
      <c r="Q416" s="42"/>
      <c r="R416" s="16"/>
      <c r="S416" s="16"/>
      <c r="T416" s="42"/>
      <c r="U416" s="42"/>
      <c r="V416" s="42"/>
      <c r="W416" s="42"/>
      <c r="X416" s="42"/>
      <c r="Y416" s="42"/>
    </row>
    <row r="417" spans="2:25" s="17" customFormat="1" x14ac:dyDescent="0.25">
      <c r="B417" s="15"/>
      <c r="C417" s="15"/>
      <c r="F417" s="16"/>
      <c r="G417" s="18"/>
      <c r="H417" s="16"/>
      <c r="J417" s="42"/>
      <c r="K417" s="42"/>
      <c r="L417" s="42"/>
      <c r="M417" s="42"/>
      <c r="N417" s="42"/>
      <c r="O417" s="42"/>
      <c r="P417" s="42"/>
      <c r="Q417" s="42"/>
      <c r="R417" s="16"/>
      <c r="S417" s="16"/>
      <c r="T417" s="42"/>
      <c r="U417" s="42"/>
      <c r="V417" s="42"/>
      <c r="W417" s="42"/>
      <c r="X417" s="42"/>
      <c r="Y417" s="42"/>
    </row>
    <row r="418" spans="2:25" s="17" customFormat="1" x14ac:dyDescent="0.25">
      <c r="B418" s="15"/>
      <c r="C418" s="15"/>
      <c r="F418" s="16"/>
      <c r="G418" s="18"/>
      <c r="H418" s="16"/>
      <c r="J418" s="42"/>
      <c r="K418" s="42"/>
      <c r="L418" s="42"/>
      <c r="M418" s="42"/>
      <c r="N418" s="42"/>
      <c r="O418" s="42"/>
      <c r="P418" s="42"/>
      <c r="Q418" s="42"/>
      <c r="R418" s="16"/>
      <c r="S418" s="16"/>
      <c r="T418" s="42"/>
      <c r="U418" s="42"/>
      <c r="V418" s="42"/>
      <c r="W418" s="42"/>
      <c r="X418" s="42"/>
      <c r="Y418" s="42"/>
    </row>
    <row r="419" spans="2:25" s="17" customFormat="1" x14ac:dyDescent="0.25">
      <c r="B419" s="15"/>
      <c r="C419" s="15"/>
      <c r="F419" s="16"/>
      <c r="G419" s="18"/>
      <c r="H419" s="16"/>
      <c r="J419" s="42"/>
      <c r="K419" s="42"/>
      <c r="L419" s="42"/>
      <c r="M419" s="42"/>
      <c r="N419" s="42"/>
      <c r="O419" s="42"/>
      <c r="P419" s="42"/>
      <c r="Q419" s="42"/>
      <c r="R419" s="16"/>
      <c r="S419" s="16"/>
      <c r="T419" s="42"/>
      <c r="U419" s="42"/>
      <c r="V419" s="42"/>
      <c r="W419" s="42"/>
      <c r="X419" s="42"/>
      <c r="Y419" s="42"/>
    </row>
    <row r="420" spans="2:25" s="17" customFormat="1" x14ac:dyDescent="0.25">
      <c r="B420" s="15"/>
      <c r="C420" s="15"/>
      <c r="F420" s="16"/>
      <c r="G420" s="18"/>
      <c r="H420" s="16"/>
      <c r="J420" s="42"/>
      <c r="K420" s="42"/>
      <c r="L420" s="42"/>
      <c r="M420" s="42"/>
      <c r="N420" s="42"/>
      <c r="O420" s="42"/>
      <c r="P420" s="42"/>
      <c r="Q420" s="42"/>
      <c r="R420" s="16"/>
      <c r="S420" s="16"/>
      <c r="T420" s="42"/>
      <c r="U420" s="42"/>
      <c r="V420" s="42"/>
      <c r="W420" s="42"/>
      <c r="X420" s="42"/>
      <c r="Y420" s="42"/>
    </row>
    <row r="421" spans="2:25" s="17" customFormat="1" x14ac:dyDescent="0.25">
      <c r="B421" s="15"/>
      <c r="C421" s="15"/>
      <c r="F421" s="16"/>
      <c r="G421" s="18"/>
      <c r="H421" s="16"/>
      <c r="J421" s="42"/>
      <c r="K421" s="42"/>
      <c r="L421" s="42"/>
      <c r="M421" s="42"/>
      <c r="N421" s="42"/>
      <c r="O421" s="42"/>
      <c r="P421" s="42"/>
      <c r="Q421" s="42"/>
      <c r="R421" s="16"/>
      <c r="S421" s="16"/>
      <c r="T421" s="42"/>
      <c r="U421" s="42"/>
      <c r="V421" s="42"/>
      <c r="W421" s="42"/>
      <c r="X421" s="42"/>
      <c r="Y421" s="42"/>
    </row>
    <row r="422" spans="2:25" s="17" customFormat="1" x14ac:dyDescent="0.25">
      <c r="B422" s="15"/>
      <c r="C422" s="15"/>
      <c r="F422" s="16"/>
      <c r="G422" s="18"/>
      <c r="H422" s="16"/>
      <c r="J422" s="42"/>
      <c r="K422" s="42"/>
      <c r="L422" s="42"/>
      <c r="M422" s="42"/>
      <c r="N422" s="42"/>
      <c r="O422" s="42"/>
      <c r="P422" s="42"/>
      <c r="Q422" s="42"/>
      <c r="R422" s="16"/>
      <c r="S422" s="16"/>
      <c r="T422" s="42"/>
      <c r="U422" s="42"/>
      <c r="V422" s="42"/>
      <c r="W422" s="42"/>
      <c r="X422" s="42"/>
      <c r="Y422" s="42"/>
    </row>
    <row r="423" spans="2:25" s="17" customFormat="1" x14ac:dyDescent="0.25">
      <c r="B423" s="15"/>
      <c r="C423" s="15"/>
      <c r="F423" s="16"/>
      <c r="G423" s="18"/>
      <c r="H423" s="16"/>
      <c r="J423" s="42"/>
      <c r="K423" s="42"/>
      <c r="L423" s="42"/>
      <c r="M423" s="42"/>
      <c r="N423" s="42"/>
      <c r="O423" s="42"/>
      <c r="P423" s="42"/>
      <c r="Q423" s="42"/>
      <c r="R423" s="16"/>
      <c r="S423" s="16"/>
      <c r="T423" s="42"/>
      <c r="U423" s="42"/>
      <c r="V423" s="42"/>
      <c r="W423" s="42"/>
      <c r="X423" s="42"/>
      <c r="Y423" s="42"/>
    </row>
    <row r="424" spans="2:25" s="17" customFormat="1" x14ac:dyDescent="0.25">
      <c r="B424" s="15"/>
      <c r="C424" s="15"/>
      <c r="F424" s="16"/>
      <c r="G424" s="18"/>
      <c r="H424" s="16"/>
      <c r="J424" s="42"/>
      <c r="K424" s="42"/>
      <c r="L424" s="42"/>
      <c r="M424" s="42"/>
      <c r="N424" s="42"/>
      <c r="O424" s="42"/>
      <c r="P424" s="42"/>
      <c r="Q424" s="42"/>
      <c r="R424" s="16"/>
      <c r="S424" s="16"/>
      <c r="T424" s="42"/>
      <c r="U424" s="42"/>
      <c r="V424" s="42"/>
      <c r="W424" s="42"/>
      <c r="X424" s="42"/>
      <c r="Y424" s="42"/>
    </row>
    <row r="425" spans="2:25" s="17" customFormat="1" x14ac:dyDescent="0.25">
      <c r="B425" s="15"/>
      <c r="C425" s="15"/>
      <c r="F425" s="16"/>
      <c r="G425" s="18"/>
      <c r="H425" s="16"/>
      <c r="J425" s="42"/>
      <c r="K425" s="42"/>
      <c r="L425" s="42"/>
      <c r="M425" s="42"/>
      <c r="N425" s="42"/>
      <c r="O425" s="42"/>
      <c r="P425" s="42"/>
      <c r="Q425" s="42"/>
      <c r="R425" s="16"/>
      <c r="S425" s="16"/>
      <c r="T425" s="42"/>
      <c r="U425" s="42"/>
      <c r="V425" s="42"/>
      <c r="W425" s="42"/>
      <c r="X425" s="42"/>
      <c r="Y425" s="42"/>
    </row>
    <row r="426" spans="2:25" s="17" customFormat="1" x14ac:dyDescent="0.25">
      <c r="B426" s="15"/>
      <c r="C426" s="15"/>
      <c r="F426" s="16"/>
      <c r="G426" s="18"/>
      <c r="H426" s="16"/>
      <c r="J426" s="42"/>
      <c r="K426" s="42"/>
      <c r="L426" s="42"/>
      <c r="M426" s="42"/>
      <c r="N426" s="42"/>
      <c r="O426" s="42"/>
      <c r="P426" s="42"/>
      <c r="Q426" s="42"/>
      <c r="R426" s="16"/>
      <c r="S426" s="16"/>
      <c r="T426" s="42"/>
      <c r="U426" s="42"/>
      <c r="V426" s="42"/>
      <c r="W426" s="42"/>
      <c r="X426" s="42"/>
      <c r="Y426" s="42"/>
    </row>
    <row r="427" spans="2:25" s="17" customFormat="1" x14ac:dyDescent="0.25">
      <c r="B427" s="15"/>
      <c r="C427" s="15"/>
      <c r="F427" s="16"/>
      <c r="G427" s="18"/>
      <c r="H427" s="16"/>
      <c r="J427" s="42"/>
      <c r="K427" s="42"/>
      <c r="L427" s="42"/>
      <c r="M427" s="42"/>
      <c r="N427" s="42"/>
      <c r="O427" s="42"/>
      <c r="P427" s="42"/>
      <c r="Q427" s="42"/>
      <c r="R427" s="16"/>
      <c r="S427" s="16"/>
      <c r="T427" s="42"/>
      <c r="U427" s="42"/>
      <c r="V427" s="42"/>
      <c r="W427" s="42"/>
      <c r="X427" s="42"/>
      <c r="Y427" s="42"/>
    </row>
    <row r="428" spans="2:25" s="17" customFormat="1" x14ac:dyDescent="0.25">
      <c r="B428" s="15"/>
      <c r="C428" s="15"/>
      <c r="F428" s="16"/>
      <c r="G428" s="18"/>
      <c r="H428" s="16"/>
      <c r="J428" s="42"/>
      <c r="K428" s="42"/>
      <c r="L428" s="42"/>
      <c r="M428" s="42"/>
      <c r="N428" s="42"/>
      <c r="O428" s="42"/>
      <c r="P428" s="42"/>
      <c r="Q428" s="42"/>
      <c r="R428" s="16"/>
      <c r="S428" s="16"/>
      <c r="T428" s="42"/>
      <c r="U428" s="42"/>
      <c r="V428" s="42"/>
      <c r="W428" s="42"/>
      <c r="X428" s="42"/>
      <c r="Y428" s="42"/>
    </row>
    <row r="429" spans="2:25" s="17" customFormat="1" x14ac:dyDescent="0.25">
      <c r="B429" s="15"/>
      <c r="C429" s="15"/>
      <c r="F429" s="16"/>
      <c r="G429" s="18"/>
      <c r="H429" s="16"/>
      <c r="J429" s="42"/>
      <c r="K429" s="42"/>
      <c r="L429" s="42"/>
      <c r="M429" s="42"/>
      <c r="N429" s="42"/>
      <c r="O429" s="42"/>
      <c r="P429" s="42"/>
      <c r="Q429" s="42"/>
      <c r="R429" s="16"/>
      <c r="S429" s="16"/>
      <c r="T429" s="42"/>
      <c r="U429" s="42"/>
      <c r="V429" s="42"/>
      <c r="W429" s="42"/>
      <c r="X429" s="42"/>
      <c r="Y429" s="42"/>
    </row>
    <row r="430" spans="2:25" s="17" customFormat="1" x14ac:dyDescent="0.25">
      <c r="B430" s="15"/>
      <c r="C430" s="15"/>
      <c r="F430" s="16"/>
      <c r="G430" s="18"/>
      <c r="H430" s="16"/>
      <c r="J430" s="42"/>
      <c r="K430" s="42"/>
      <c r="L430" s="42"/>
      <c r="M430" s="42"/>
      <c r="N430" s="42"/>
      <c r="O430" s="42"/>
      <c r="P430" s="42"/>
      <c r="Q430" s="42"/>
      <c r="R430" s="16"/>
      <c r="S430" s="16"/>
      <c r="T430" s="42"/>
      <c r="U430" s="42"/>
      <c r="V430" s="42"/>
      <c r="W430" s="42"/>
      <c r="X430" s="42"/>
      <c r="Y430" s="42"/>
    </row>
    <row r="431" spans="2:25" s="17" customFormat="1" x14ac:dyDescent="0.25">
      <c r="B431" s="15"/>
      <c r="C431" s="15"/>
      <c r="F431" s="16"/>
      <c r="G431" s="18"/>
      <c r="H431" s="16"/>
      <c r="J431" s="42"/>
      <c r="K431" s="42"/>
      <c r="L431" s="42"/>
      <c r="M431" s="42"/>
      <c r="N431" s="42"/>
      <c r="O431" s="42"/>
      <c r="P431" s="42"/>
      <c r="Q431" s="42"/>
      <c r="R431" s="16"/>
      <c r="S431" s="16"/>
      <c r="T431" s="42"/>
      <c r="U431" s="42"/>
      <c r="V431" s="42"/>
      <c r="W431" s="42"/>
      <c r="X431" s="42"/>
      <c r="Y431" s="42"/>
    </row>
    <row r="432" spans="2:25" s="17" customFormat="1" x14ac:dyDescent="0.25">
      <c r="B432" s="15"/>
      <c r="C432" s="15"/>
      <c r="F432" s="16"/>
      <c r="G432" s="18"/>
      <c r="H432" s="16"/>
      <c r="J432" s="42"/>
      <c r="K432" s="42"/>
      <c r="L432" s="42"/>
      <c r="M432" s="42"/>
      <c r="N432" s="42"/>
      <c r="O432" s="42"/>
      <c r="P432" s="42"/>
      <c r="Q432" s="42"/>
      <c r="R432" s="16"/>
      <c r="S432" s="16"/>
      <c r="T432" s="42"/>
      <c r="U432" s="42"/>
      <c r="V432" s="42"/>
      <c r="W432" s="42"/>
      <c r="X432" s="42"/>
      <c r="Y432" s="42"/>
    </row>
    <row r="433" spans="2:25" s="17" customFormat="1" x14ac:dyDescent="0.25">
      <c r="B433" s="15"/>
      <c r="C433" s="15"/>
      <c r="F433" s="16"/>
      <c r="G433" s="18"/>
      <c r="H433" s="16"/>
      <c r="J433" s="42"/>
      <c r="K433" s="42"/>
      <c r="L433" s="42"/>
      <c r="M433" s="42"/>
      <c r="N433" s="42"/>
      <c r="O433" s="42"/>
      <c r="P433" s="42"/>
      <c r="Q433" s="42"/>
      <c r="R433" s="16"/>
      <c r="S433" s="16"/>
      <c r="T433" s="42"/>
      <c r="U433" s="42"/>
      <c r="V433" s="42"/>
      <c r="W433" s="42"/>
      <c r="X433" s="42"/>
      <c r="Y433" s="42"/>
    </row>
    <row r="434" spans="2:25" s="17" customFormat="1" x14ac:dyDescent="0.25">
      <c r="B434" s="15"/>
      <c r="C434" s="15"/>
      <c r="F434" s="16"/>
      <c r="G434" s="18"/>
      <c r="H434" s="16"/>
      <c r="J434" s="42"/>
      <c r="K434" s="42"/>
      <c r="L434" s="42"/>
      <c r="M434" s="42"/>
      <c r="N434" s="42"/>
      <c r="O434" s="42"/>
      <c r="P434" s="42"/>
      <c r="Q434" s="42"/>
      <c r="R434" s="16"/>
      <c r="S434" s="16"/>
      <c r="T434" s="42"/>
      <c r="U434" s="42"/>
      <c r="V434" s="42"/>
      <c r="W434" s="42"/>
      <c r="X434" s="42"/>
      <c r="Y434" s="42"/>
    </row>
    <row r="435" spans="2:25" s="17" customFormat="1" x14ac:dyDescent="0.25">
      <c r="B435" s="15"/>
      <c r="C435" s="15"/>
      <c r="F435" s="16"/>
      <c r="G435" s="18"/>
      <c r="H435" s="16"/>
      <c r="J435" s="42"/>
      <c r="K435" s="42"/>
      <c r="L435" s="42"/>
      <c r="M435" s="42"/>
      <c r="N435" s="42"/>
      <c r="O435" s="42"/>
      <c r="P435" s="42"/>
      <c r="Q435" s="42"/>
      <c r="R435" s="16"/>
      <c r="S435" s="16"/>
      <c r="T435" s="42"/>
      <c r="U435" s="42"/>
      <c r="V435" s="42"/>
      <c r="W435" s="42"/>
      <c r="X435" s="42"/>
      <c r="Y435" s="42"/>
    </row>
    <row r="436" spans="2:25" s="17" customFormat="1" x14ac:dyDescent="0.25">
      <c r="B436" s="15"/>
      <c r="C436" s="15"/>
      <c r="F436" s="16"/>
      <c r="G436" s="18"/>
      <c r="H436" s="16"/>
      <c r="J436" s="42"/>
      <c r="K436" s="42"/>
      <c r="L436" s="42"/>
      <c r="M436" s="42"/>
      <c r="N436" s="42"/>
      <c r="O436" s="42"/>
      <c r="P436" s="42"/>
      <c r="Q436" s="42"/>
      <c r="R436" s="16"/>
      <c r="S436" s="16"/>
      <c r="T436" s="42"/>
      <c r="U436" s="42"/>
      <c r="V436" s="42"/>
      <c r="W436" s="42"/>
      <c r="X436" s="42"/>
      <c r="Y436" s="42"/>
    </row>
    <row r="437" spans="2:25" s="17" customFormat="1" x14ac:dyDescent="0.25">
      <c r="B437" s="15"/>
      <c r="C437" s="15"/>
      <c r="F437" s="16"/>
      <c r="G437" s="18"/>
      <c r="H437" s="16"/>
      <c r="J437" s="42"/>
      <c r="K437" s="42"/>
      <c r="L437" s="42"/>
      <c r="M437" s="42"/>
      <c r="N437" s="42"/>
      <c r="O437" s="42"/>
      <c r="P437" s="42"/>
      <c r="Q437" s="42"/>
      <c r="R437" s="16"/>
      <c r="S437" s="16"/>
      <c r="T437" s="42"/>
      <c r="U437" s="42"/>
      <c r="V437" s="42"/>
      <c r="W437" s="42"/>
      <c r="X437" s="42"/>
      <c r="Y437" s="42"/>
    </row>
    <row r="438" spans="2:25" s="17" customFormat="1" x14ac:dyDescent="0.25">
      <c r="B438" s="15"/>
      <c r="C438" s="15"/>
      <c r="F438" s="16"/>
      <c r="G438" s="18"/>
      <c r="H438" s="16"/>
      <c r="J438" s="42"/>
      <c r="K438" s="42"/>
      <c r="L438" s="42"/>
      <c r="M438" s="42"/>
      <c r="N438" s="42"/>
      <c r="O438" s="42"/>
      <c r="P438" s="42"/>
      <c r="Q438" s="42"/>
      <c r="R438" s="16"/>
      <c r="S438" s="16"/>
      <c r="T438" s="42"/>
      <c r="U438" s="42"/>
      <c r="V438" s="42"/>
      <c r="W438" s="42"/>
      <c r="X438" s="42"/>
      <c r="Y438" s="42"/>
    </row>
    <row r="439" spans="2:25" s="17" customFormat="1" x14ac:dyDescent="0.25">
      <c r="B439" s="15"/>
      <c r="C439" s="15"/>
      <c r="F439" s="16"/>
      <c r="G439" s="18"/>
      <c r="H439" s="16"/>
      <c r="J439" s="42"/>
      <c r="K439" s="42"/>
      <c r="L439" s="42"/>
      <c r="M439" s="42"/>
      <c r="N439" s="42"/>
      <c r="O439" s="42"/>
      <c r="P439" s="42"/>
      <c r="Q439" s="42"/>
      <c r="R439" s="16"/>
      <c r="S439" s="16"/>
      <c r="T439" s="42"/>
      <c r="U439" s="42"/>
      <c r="V439" s="42"/>
      <c r="W439" s="42"/>
      <c r="X439" s="42"/>
      <c r="Y439" s="42"/>
    </row>
    <row r="440" spans="2:25" s="17" customFormat="1" x14ac:dyDescent="0.25">
      <c r="B440" s="15"/>
      <c r="C440" s="15"/>
      <c r="F440" s="16"/>
      <c r="G440" s="18"/>
      <c r="H440" s="16"/>
      <c r="J440" s="42"/>
      <c r="K440" s="42"/>
      <c r="L440" s="42"/>
      <c r="M440" s="42"/>
      <c r="N440" s="42"/>
      <c r="O440" s="42"/>
      <c r="P440" s="42"/>
      <c r="Q440" s="42"/>
      <c r="R440" s="16"/>
      <c r="S440" s="16"/>
      <c r="T440" s="42"/>
      <c r="U440" s="42"/>
      <c r="V440" s="42"/>
      <c r="W440" s="42"/>
      <c r="X440" s="42"/>
      <c r="Y440" s="42"/>
    </row>
    <row r="441" spans="2:25" s="17" customFormat="1" x14ac:dyDescent="0.25">
      <c r="B441" s="15"/>
      <c r="C441" s="15"/>
      <c r="F441" s="16"/>
      <c r="G441" s="18"/>
      <c r="H441" s="16"/>
      <c r="J441" s="42"/>
      <c r="K441" s="42"/>
      <c r="L441" s="42"/>
      <c r="M441" s="42"/>
      <c r="N441" s="42"/>
      <c r="O441" s="42"/>
      <c r="P441" s="42"/>
      <c r="Q441" s="42"/>
      <c r="R441" s="16"/>
      <c r="S441" s="16"/>
      <c r="T441" s="42"/>
      <c r="U441" s="42"/>
      <c r="V441" s="42"/>
      <c r="W441" s="42"/>
      <c r="X441" s="42"/>
      <c r="Y441" s="42"/>
    </row>
    <row r="442" spans="2:25" s="17" customFormat="1" x14ac:dyDescent="0.25">
      <c r="B442" s="15"/>
      <c r="C442" s="15"/>
      <c r="F442" s="16"/>
      <c r="G442" s="18"/>
      <c r="H442" s="16"/>
      <c r="J442" s="42"/>
      <c r="K442" s="42"/>
      <c r="L442" s="42"/>
      <c r="M442" s="42"/>
      <c r="N442" s="42"/>
      <c r="O442" s="42"/>
      <c r="P442" s="42"/>
      <c r="Q442" s="42"/>
      <c r="R442" s="16"/>
      <c r="S442" s="16"/>
      <c r="T442" s="42"/>
      <c r="U442" s="42"/>
      <c r="V442" s="42"/>
      <c r="W442" s="42"/>
      <c r="X442" s="42"/>
      <c r="Y442" s="42"/>
    </row>
    <row r="443" spans="2:25" s="17" customFormat="1" x14ac:dyDescent="0.25">
      <c r="B443" s="15"/>
      <c r="C443" s="15"/>
      <c r="F443" s="16"/>
      <c r="G443" s="18"/>
      <c r="H443" s="16"/>
      <c r="J443" s="42"/>
      <c r="K443" s="42"/>
      <c r="L443" s="42"/>
      <c r="M443" s="42"/>
      <c r="N443" s="42"/>
      <c r="O443" s="42"/>
      <c r="P443" s="42"/>
      <c r="Q443" s="42"/>
      <c r="R443" s="16"/>
      <c r="S443" s="16"/>
      <c r="T443" s="42"/>
      <c r="U443" s="42"/>
      <c r="V443" s="42"/>
      <c r="W443" s="42"/>
      <c r="X443" s="42"/>
      <c r="Y443" s="42"/>
    </row>
    <row r="444" spans="2:25" s="17" customFormat="1" x14ac:dyDescent="0.25">
      <c r="B444" s="15"/>
      <c r="C444" s="15"/>
      <c r="F444" s="16"/>
      <c r="G444" s="18"/>
      <c r="H444" s="16"/>
      <c r="J444" s="42"/>
      <c r="K444" s="42"/>
      <c r="L444" s="42"/>
      <c r="M444" s="42"/>
      <c r="N444" s="42"/>
      <c r="O444" s="42"/>
      <c r="P444" s="42"/>
      <c r="Q444" s="42"/>
      <c r="R444" s="16"/>
      <c r="S444" s="16"/>
      <c r="T444" s="42"/>
      <c r="U444" s="42"/>
      <c r="V444" s="42"/>
      <c r="W444" s="42"/>
      <c r="X444" s="42"/>
      <c r="Y444" s="42"/>
    </row>
    <row r="445" spans="2:25" s="17" customFormat="1" x14ac:dyDescent="0.25">
      <c r="B445" s="15"/>
      <c r="C445" s="15"/>
      <c r="F445" s="16"/>
      <c r="G445" s="18"/>
      <c r="H445" s="16"/>
      <c r="J445" s="42"/>
      <c r="K445" s="42"/>
      <c r="L445" s="42"/>
      <c r="M445" s="42"/>
      <c r="N445" s="42"/>
      <c r="O445" s="42"/>
      <c r="P445" s="42"/>
      <c r="Q445" s="42"/>
      <c r="R445" s="16"/>
      <c r="S445" s="16"/>
      <c r="T445" s="42"/>
      <c r="U445" s="42"/>
      <c r="V445" s="42"/>
      <c r="W445" s="42"/>
      <c r="X445" s="42"/>
      <c r="Y445" s="42"/>
    </row>
    <row r="446" spans="2:25" s="17" customFormat="1" x14ac:dyDescent="0.25">
      <c r="B446" s="15"/>
      <c r="C446" s="15"/>
      <c r="F446" s="16"/>
      <c r="G446" s="18"/>
      <c r="H446" s="16"/>
      <c r="J446" s="42"/>
      <c r="K446" s="42"/>
      <c r="L446" s="42"/>
      <c r="M446" s="42"/>
      <c r="N446" s="42"/>
      <c r="O446" s="42"/>
      <c r="P446" s="42"/>
      <c r="Q446" s="42"/>
      <c r="R446" s="16"/>
      <c r="S446" s="16"/>
      <c r="T446" s="42"/>
      <c r="U446" s="42"/>
      <c r="V446" s="42"/>
      <c r="W446" s="42"/>
      <c r="X446" s="42"/>
      <c r="Y446" s="42"/>
    </row>
    <row r="447" spans="2:25" s="17" customFormat="1" x14ac:dyDescent="0.25">
      <c r="B447" s="15"/>
      <c r="C447" s="15"/>
      <c r="F447" s="16"/>
      <c r="G447" s="18"/>
      <c r="H447" s="16"/>
      <c r="J447" s="42"/>
      <c r="K447" s="42"/>
      <c r="L447" s="42"/>
      <c r="M447" s="42"/>
      <c r="N447" s="42"/>
      <c r="O447" s="42"/>
      <c r="P447" s="42"/>
      <c r="Q447" s="42"/>
      <c r="R447" s="16"/>
      <c r="S447" s="16"/>
      <c r="T447" s="42"/>
      <c r="U447" s="42"/>
      <c r="V447" s="42"/>
      <c r="W447" s="42"/>
      <c r="X447" s="42"/>
      <c r="Y447" s="42"/>
    </row>
    <row r="448" spans="2:25" s="17" customFormat="1" x14ac:dyDescent="0.25">
      <c r="B448" s="15"/>
      <c r="C448" s="15"/>
      <c r="F448" s="16"/>
      <c r="G448" s="18"/>
      <c r="H448" s="16"/>
      <c r="J448" s="42"/>
      <c r="K448" s="42"/>
      <c r="L448" s="42"/>
      <c r="M448" s="42"/>
      <c r="N448" s="42"/>
      <c r="O448" s="42"/>
      <c r="P448" s="42"/>
      <c r="Q448" s="42"/>
      <c r="R448" s="16"/>
      <c r="S448" s="16"/>
      <c r="T448" s="42"/>
      <c r="U448" s="42"/>
      <c r="V448" s="42"/>
      <c r="W448" s="42"/>
      <c r="X448" s="42"/>
      <c r="Y448" s="42"/>
    </row>
    <row r="449" spans="2:25" s="17" customFormat="1" x14ac:dyDescent="0.25">
      <c r="B449" s="15"/>
      <c r="C449" s="15"/>
      <c r="F449" s="16"/>
      <c r="G449" s="18"/>
      <c r="H449" s="16"/>
      <c r="J449" s="42"/>
      <c r="K449" s="42"/>
      <c r="L449" s="42"/>
      <c r="M449" s="42"/>
      <c r="N449" s="42"/>
      <c r="O449" s="42"/>
      <c r="P449" s="42"/>
      <c r="Q449" s="42"/>
      <c r="R449" s="16"/>
      <c r="S449" s="16"/>
      <c r="T449" s="42"/>
      <c r="U449" s="42"/>
      <c r="V449" s="42"/>
      <c r="W449" s="42"/>
      <c r="X449" s="42"/>
      <c r="Y449" s="42"/>
    </row>
    <row r="450" spans="2:25" s="17" customFormat="1" x14ac:dyDescent="0.25">
      <c r="B450" s="15"/>
      <c r="C450" s="15"/>
      <c r="F450" s="16"/>
      <c r="G450" s="18"/>
      <c r="H450" s="16"/>
      <c r="J450" s="42"/>
      <c r="K450" s="42"/>
      <c r="L450" s="42"/>
      <c r="M450" s="42"/>
      <c r="N450" s="42"/>
      <c r="O450" s="42"/>
      <c r="P450" s="42"/>
      <c r="Q450" s="42"/>
      <c r="R450" s="16"/>
      <c r="S450" s="16"/>
      <c r="T450" s="42"/>
      <c r="U450" s="42"/>
      <c r="V450" s="42"/>
      <c r="W450" s="42"/>
      <c r="X450" s="42"/>
      <c r="Y450" s="42"/>
    </row>
    <row r="451" spans="2:25" s="17" customFormat="1" x14ac:dyDescent="0.25">
      <c r="B451" s="15"/>
      <c r="C451" s="15"/>
      <c r="F451" s="16"/>
      <c r="G451" s="18"/>
      <c r="H451" s="16"/>
      <c r="J451" s="42"/>
      <c r="K451" s="42"/>
      <c r="L451" s="42"/>
      <c r="M451" s="42"/>
      <c r="N451" s="42"/>
      <c r="O451" s="42"/>
      <c r="P451" s="42"/>
      <c r="Q451" s="42"/>
      <c r="R451" s="16"/>
      <c r="S451" s="16"/>
      <c r="T451" s="42"/>
      <c r="U451" s="42"/>
      <c r="V451" s="42"/>
      <c r="W451" s="42"/>
      <c r="X451" s="42"/>
      <c r="Y451" s="42"/>
    </row>
    <row r="452" spans="2:25" s="17" customFormat="1" x14ac:dyDescent="0.25">
      <c r="B452" s="15"/>
      <c r="C452" s="15"/>
      <c r="F452" s="16"/>
      <c r="G452" s="18"/>
      <c r="H452" s="16"/>
      <c r="J452" s="42"/>
      <c r="K452" s="42"/>
      <c r="L452" s="42"/>
      <c r="M452" s="42"/>
      <c r="N452" s="42"/>
      <c r="O452" s="42"/>
      <c r="P452" s="42"/>
      <c r="Q452" s="42"/>
      <c r="R452" s="16"/>
      <c r="S452" s="16"/>
      <c r="T452" s="42"/>
      <c r="U452" s="42"/>
      <c r="V452" s="42"/>
      <c r="W452" s="42"/>
      <c r="X452" s="42"/>
      <c r="Y452" s="42"/>
    </row>
    <row r="453" spans="2:25" s="17" customFormat="1" x14ac:dyDescent="0.25">
      <c r="B453" s="15"/>
      <c r="C453" s="15"/>
      <c r="F453" s="16"/>
      <c r="G453" s="18"/>
      <c r="H453" s="16"/>
      <c r="J453" s="42"/>
      <c r="K453" s="42"/>
      <c r="L453" s="42"/>
      <c r="M453" s="42"/>
      <c r="N453" s="42"/>
      <c r="O453" s="42"/>
      <c r="P453" s="42"/>
      <c r="Q453" s="42"/>
      <c r="R453" s="16"/>
      <c r="S453" s="16"/>
      <c r="T453" s="42"/>
      <c r="U453" s="42"/>
      <c r="V453" s="42"/>
      <c r="W453" s="42"/>
      <c r="X453" s="42"/>
      <c r="Y453" s="42"/>
    </row>
    <row r="454" spans="2:25" s="17" customFormat="1" x14ac:dyDescent="0.25">
      <c r="B454" s="15"/>
      <c r="C454" s="15"/>
      <c r="F454" s="16"/>
      <c r="G454" s="18"/>
      <c r="H454" s="16"/>
      <c r="J454" s="42"/>
      <c r="K454" s="42"/>
      <c r="L454" s="42"/>
      <c r="M454" s="42"/>
      <c r="N454" s="42"/>
      <c r="O454" s="42"/>
      <c r="P454" s="42"/>
      <c r="Q454" s="42"/>
      <c r="R454" s="16"/>
      <c r="S454" s="16"/>
      <c r="T454" s="42"/>
      <c r="U454" s="42"/>
      <c r="V454" s="42"/>
      <c r="W454" s="42"/>
      <c r="X454" s="42"/>
      <c r="Y454" s="42"/>
    </row>
    <row r="455" spans="2:25" s="17" customFormat="1" x14ac:dyDescent="0.25">
      <c r="B455" s="15"/>
      <c r="C455" s="15"/>
      <c r="F455" s="16"/>
      <c r="G455" s="18"/>
      <c r="H455" s="16"/>
      <c r="J455" s="42"/>
      <c r="K455" s="42"/>
      <c r="L455" s="42"/>
      <c r="M455" s="42"/>
      <c r="N455" s="42"/>
      <c r="O455" s="42"/>
      <c r="P455" s="42"/>
      <c r="Q455" s="42"/>
      <c r="R455" s="16"/>
      <c r="S455" s="16"/>
      <c r="T455" s="42"/>
      <c r="U455" s="42"/>
      <c r="V455" s="42"/>
      <c r="W455" s="42"/>
      <c r="X455" s="42"/>
      <c r="Y455" s="42"/>
    </row>
    <row r="456" spans="2:25" s="17" customFormat="1" x14ac:dyDescent="0.25">
      <c r="B456" s="15"/>
      <c r="C456" s="15"/>
      <c r="F456" s="16"/>
      <c r="G456" s="18"/>
      <c r="H456" s="16"/>
      <c r="J456" s="42"/>
      <c r="K456" s="42"/>
      <c r="L456" s="42"/>
      <c r="M456" s="42"/>
      <c r="N456" s="42"/>
      <c r="O456" s="42"/>
      <c r="P456" s="42"/>
      <c r="Q456" s="42"/>
      <c r="R456" s="16"/>
      <c r="S456" s="16"/>
      <c r="T456" s="42"/>
      <c r="U456" s="42"/>
      <c r="V456" s="42"/>
      <c r="W456" s="42"/>
      <c r="X456" s="42"/>
      <c r="Y456" s="42"/>
    </row>
    <row r="457" spans="2:25" s="17" customFormat="1" x14ac:dyDescent="0.25">
      <c r="B457" s="15"/>
      <c r="C457" s="15"/>
      <c r="F457" s="16"/>
      <c r="G457" s="18"/>
      <c r="H457" s="16"/>
      <c r="J457" s="42"/>
      <c r="K457" s="42"/>
      <c r="L457" s="42"/>
      <c r="M457" s="42"/>
      <c r="N457" s="42"/>
      <c r="O457" s="42"/>
      <c r="P457" s="42"/>
      <c r="Q457" s="42"/>
      <c r="R457" s="16"/>
      <c r="S457" s="16"/>
      <c r="T457" s="42"/>
      <c r="U457" s="42"/>
      <c r="V457" s="42"/>
      <c r="W457" s="42"/>
      <c r="X457" s="42"/>
      <c r="Y457" s="42"/>
    </row>
    <row r="458" spans="2:25" s="17" customFormat="1" x14ac:dyDescent="0.25">
      <c r="B458" s="15"/>
      <c r="C458" s="15"/>
      <c r="F458" s="16"/>
      <c r="G458" s="18"/>
      <c r="H458" s="16"/>
      <c r="J458" s="42"/>
      <c r="K458" s="42"/>
      <c r="L458" s="42"/>
      <c r="M458" s="42"/>
      <c r="N458" s="42"/>
      <c r="O458" s="42"/>
      <c r="P458" s="42"/>
      <c r="Q458" s="42"/>
      <c r="R458" s="16"/>
      <c r="S458" s="16"/>
      <c r="T458" s="42"/>
      <c r="U458" s="42"/>
      <c r="V458" s="42"/>
      <c r="W458" s="42"/>
      <c r="X458" s="42"/>
      <c r="Y458" s="42"/>
    </row>
    <row r="459" spans="2:25" s="17" customFormat="1" x14ac:dyDescent="0.25">
      <c r="B459" s="15"/>
      <c r="C459" s="15"/>
      <c r="F459" s="16"/>
      <c r="G459" s="18"/>
      <c r="H459" s="16"/>
      <c r="J459" s="42"/>
      <c r="K459" s="42"/>
      <c r="L459" s="42"/>
      <c r="M459" s="42"/>
      <c r="N459" s="42"/>
      <c r="O459" s="42"/>
      <c r="P459" s="42"/>
      <c r="Q459" s="42"/>
      <c r="R459" s="16"/>
      <c r="S459" s="16"/>
      <c r="T459" s="42"/>
      <c r="U459" s="42"/>
      <c r="V459" s="42"/>
      <c r="W459" s="42"/>
      <c r="X459" s="42"/>
      <c r="Y459" s="42"/>
    </row>
    <row r="460" spans="2:25" s="17" customFormat="1" x14ac:dyDescent="0.25">
      <c r="B460" s="15"/>
      <c r="C460" s="15"/>
      <c r="F460" s="16"/>
      <c r="G460" s="18"/>
      <c r="H460" s="16"/>
      <c r="J460" s="42"/>
      <c r="K460" s="42"/>
      <c r="L460" s="42"/>
      <c r="M460" s="42"/>
      <c r="N460" s="42"/>
      <c r="O460" s="42"/>
      <c r="P460" s="42"/>
      <c r="Q460" s="42"/>
      <c r="R460" s="16"/>
      <c r="S460" s="16"/>
      <c r="T460" s="42"/>
      <c r="U460" s="42"/>
      <c r="V460" s="42"/>
      <c r="W460" s="42"/>
      <c r="X460" s="42"/>
      <c r="Y460" s="42"/>
    </row>
    <row r="461" spans="2:25" s="17" customFormat="1" x14ac:dyDescent="0.25">
      <c r="B461" s="15"/>
      <c r="C461" s="15"/>
      <c r="F461" s="16"/>
      <c r="G461" s="18"/>
      <c r="H461" s="16"/>
      <c r="J461" s="42"/>
      <c r="K461" s="42"/>
      <c r="L461" s="42"/>
      <c r="M461" s="42"/>
      <c r="N461" s="42"/>
      <c r="O461" s="42"/>
      <c r="P461" s="42"/>
      <c r="Q461" s="42"/>
      <c r="R461" s="16"/>
      <c r="S461" s="16"/>
      <c r="T461" s="42"/>
      <c r="U461" s="42"/>
      <c r="V461" s="42"/>
      <c r="W461" s="42"/>
      <c r="X461" s="42"/>
      <c r="Y461" s="42"/>
    </row>
    <row r="462" spans="2:25" s="17" customFormat="1" x14ac:dyDescent="0.25">
      <c r="B462" s="15"/>
      <c r="C462" s="15"/>
      <c r="F462" s="16"/>
      <c r="G462" s="18"/>
      <c r="H462" s="16"/>
      <c r="J462" s="42"/>
      <c r="K462" s="42"/>
      <c r="L462" s="42"/>
      <c r="M462" s="42"/>
      <c r="N462" s="42"/>
      <c r="O462" s="42"/>
      <c r="P462" s="42"/>
      <c r="Q462" s="42"/>
      <c r="R462" s="16"/>
      <c r="S462" s="16"/>
      <c r="T462" s="42"/>
      <c r="U462" s="42"/>
      <c r="V462" s="42"/>
      <c r="W462" s="42"/>
      <c r="X462" s="42"/>
      <c r="Y462" s="42"/>
    </row>
    <row r="463" spans="2:25" s="17" customFormat="1" x14ac:dyDescent="0.25">
      <c r="B463" s="15"/>
      <c r="C463" s="15"/>
      <c r="F463" s="16"/>
      <c r="G463" s="18"/>
      <c r="H463" s="16"/>
      <c r="J463" s="42"/>
      <c r="K463" s="42"/>
      <c r="L463" s="42"/>
      <c r="M463" s="42"/>
      <c r="N463" s="42"/>
      <c r="O463" s="42"/>
      <c r="P463" s="42"/>
      <c r="Q463" s="42"/>
      <c r="R463" s="16"/>
      <c r="S463" s="16"/>
      <c r="T463" s="42"/>
      <c r="U463" s="42"/>
      <c r="V463" s="42"/>
      <c r="W463" s="42"/>
      <c r="X463" s="42"/>
      <c r="Y463" s="42"/>
    </row>
    <row r="464" spans="2:25" s="17" customFormat="1" x14ac:dyDescent="0.25">
      <c r="B464" s="15"/>
      <c r="C464" s="15"/>
      <c r="F464" s="16"/>
      <c r="G464" s="18"/>
      <c r="H464" s="16"/>
      <c r="J464" s="42"/>
      <c r="K464" s="42"/>
      <c r="L464" s="42"/>
      <c r="M464" s="42"/>
      <c r="N464" s="42"/>
      <c r="O464" s="42"/>
      <c r="P464" s="42"/>
      <c r="Q464" s="42"/>
      <c r="R464" s="16"/>
      <c r="S464" s="16"/>
      <c r="T464" s="42"/>
      <c r="U464" s="42"/>
      <c r="V464" s="42"/>
      <c r="W464" s="42"/>
      <c r="X464" s="42"/>
      <c r="Y464" s="42"/>
    </row>
    <row r="465" spans="2:25" s="17" customFormat="1" x14ac:dyDescent="0.25">
      <c r="B465" s="15"/>
      <c r="C465" s="15"/>
      <c r="F465" s="16"/>
      <c r="G465" s="18"/>
      <c r="H465" s="16"/>
      <c r="J465" s="42"/>
      <c r="K465" s="42"/>
      <c r="L465" s="42"/>
      <c r="M465" s="42"/>
      <c r="N465" s="42"/>
      <c r="O465" s="42"/>
      <c r="P465" s="42"/>
      <c r="Q465" s="42"/>
      <c r="R465" s="16"/>
      <c r="S465" s="16"/>
      <c r="T465" s="42"/>
      <c r="U465" s="42"/>
      <c r="V465" s="42"/>
      <c r="W465" s="42"/>
      <c r="X465" s="42"/>
      <c r="Y465" s="42"/>
    </row>
    <row r="466" spans="2:25" s="17" customFormat="1" x14ac:dyDescent="0.25">
      <c r="B466" s="15"/>
      <c r="C466" s="15"/>
      <c r="F466" s="16"/>
      <c r="G466" s="18"/>
      <c r="H466" s="16"/>
      <c r="J466" s="42"/>
      <c r="K466" s="42"/>
      <c r="L466" s="42"/>
      <c r="M466" s="42"/>
      <c r="N466" s="42"/>
      <c r="O466" s="42"/>
      <c r="P466" s="42"/>
      <c r="Q466" s="42"/>
      <c r="R466" s="16"/>
      <c r="S466" s="16"/>
      <c r="T466" s="42"/>
      <c r="U466" s="42"/>
      <c r="V466" s="42"/>
      <c r="W466" s="42"/>
      <c r="X466" s="42"/>
      <c r="Y466" s="42"/>
    </row>
    <row r="467" spans="2:25" s="17" customFormat="1" x14ac:dyDescent="0.25">
      <c r="B467" s="15"/>
      <c r="C467" s="15"/>
      <c r="F467" s="16"/>
      <c r="G467" s="18"/>
      <c r="H467" s="16"/>
      <c r="J467" s="42"/>
      <c r="K467" s="42"/>
      <c r="L467" s="42"/>
      <c r="M467" s="42"/>
      <c r="N467" s="42"/>
      <c r="O467" s="42"/>
      <c r="P467" s="42"/>
      <c r="Q467" s="42"/>
      <c r="R467" s="16"/>
      <c r="S467" s="16"/>
      <c r="T467" s="42"/>
      <c r="U467" s="42"/>
      <c r="V467" s="42"/>
      <c r="W467" s="42"/>
      <c r="X467" s="42"/>
      <c r="Y467" s="42"/>
    </row>
    <row r="468" spans="2:25" s="17" customFormat="1" x14ac:dyDescent="0.25">
      <c r="B468" s="15"/>
      <c r="C468" s="15"/>
      <c r="F468" s="16"/>
      <c r="G468" s="18"/>
      <c r="H468" s="16"/>
      <c r="J468" s="42"/>
      <c r="K468" s="42"/>
      <c r="L468" s="42"/>
      <c r="M468" s="42"/>
      <c r="N468" s="42"/>
      <c r="O468" s="42"/>
      <c r="P468" s="42"/>
      <c r="Q468" s="42"/>
      <c r="R468" s="16"/>
      <c r="S468" s="16"/>
      <c r="T468" s="42"/>
      <c r="U468" s="42"/>
      <c r="V468" s="42"/>
      <c r="W468" s="42"/>
      <c r="X468" s="42"/>
      <c r="Y468" s="42"/>
    </row>
    <row r="469" spans="2:25" s="17" customFormat="1" x14ac:dyDescent="0.25">
      <c r="B469" s="15"/>
      <c r="C469" s="15"/>
      <c r="F469" s="16"/>
      <c r="G469" s="18"/>
      <c r="H469" s="16"/>
      <c r="J469" s="42"/>
      <c r="K469" s="42"/>
      <c r="L469" s="42"/>
      <c r="M469" s="42"/>
      <c r="N469" s="42"/>
      <c r="O469" s="42"/>
      <c r="P469" s="42"/>
      <c r="Q469" s="42"/>
      <c r="R469" s="16"/>
      <c r="S469" s="16"/>
      <c r="T469" s="42"/>
      <c r="U469" s="42"/>
      <c r="V469" s="42"/>
      <c r="W469" s="42"/>
      <c r="X469" s="42"/>
      <c r="Y469" s="42"/>
    </row>
    <row r="470" spans="2:25" s="17" customFormat="1" x14ac:dyDescent="0.25">
      <c r="B470" s="15"/>
      <c r="C470" s="15"/>
      <c r="F470" s="16"/>
      <c r="G470" s="18"/>
      <c r="H470" s="16"/>
      <c r="J470" s="42"/>
      <c r="K470" s="42"/>
      <c r="L470" s="42"/>
      <c r="M470" s="42"/>
      <c r="N470" s="42"/>
      <c r="O470" s="42"/>
      <c r="P470" s="42"/>
      <c r="Q470" s="42"/>
      <c r="R470" s="16"/>
      <c r="S470" s="16"/>
      <c r="T470" s="42"/>
      <c r="U470" s="42"/>
      <c r="V470" s="42"/>
      <c r="W470" s="42"/>
      <c r="X470" s="42"/>
      <c r="Y470" s="42"/>
    </row>
    <row r="471" spans="2:25" s="17" customFormat="1" x14ac:dyDescent="0.25">
      <c r="B471" s="15"/>
      <c r="C471" s="15"/>
      <c r="F471" s="16"/>
      <c r="G471" s="18"/>
      <c r="H471" s="16"/>
      <c r="J471" s="42"/>
      <c r="K471" s="42"/>
      <c r="L471" s="42"/>
      <c r="M471" s="42"/>
      <c r="N471" s="42"/>
      <c r="O471" s="42"/>
      <c r="P471" s="42"/>
      <c r="Q471" s="42"/>
      <c r="R471" s="16"/>
      <c r="S471" s="16"/>
      <c r="T471" s="42"/>
      <c r="U471" s="42"/>
      <c r="V471" s="42"/>
      <c r="W471" s="42"/>
      <c r="X471" s="42"/>
      <c r="Y471" s="42"/>
    </row>
    <row r="472" spans="2:25" s="17" customFormat="1" x14ac:dyDescent="0.25">
      <c r="B472" s="15"/>
      <c r="C472" s="15"/>
      <c r="F472" s="16"/>
      <c r="G472" s="18"/>
      <c r="H472" s="16"/>
      <c r="J472" s="42"/>
      <c r="K472" s="42"/>
      <c r="L472" s="42"/>
      <c r="M472" s="42"/>
      <c r="N472" s="42"/>
      <c r="O472" s="42"/>
      <c r="P472" s="42"/>
      <c r="Q472" s="42"/>
      <c r="R472" s="16"/>
      <c r="S472" s="16"/>
      <c r="T472" s="42"/>
      <c r="U472" s="42"/>
      <c r="V472" s="42"/>
      <c r="W472" s="42"/>
      <c r="X472" s="42"/>
      <c r="Y472" s="42"/>
    </row>
    <row r="473" spans="2:25" s="17" customFormat="1" x14ac:dyDescent="0.25">
      <c r="B473" s="15"/>
      <c r="C473" s="15"/>
      <c r="F473" s="16"/>
      <c r="G473" s="18"/>
      <c r="H473" s="16"/>
      <c r="J473" s="42"/>
      <c r="K473" s="42"/>
      <c r="L473" s="42"/>
      <c r="M473" s="42"/>
      <c r="N473" s="42"/>
      <c r="O473" s="42"/>
      <c r="P473" s="42"/>
      <c r="Q473" s="42"/>
      <c r="R473" s="16"/>
      <c r="S473" s="16"/>
      <c r="T473" s="42"/>
      <c r="U473" s="42"/>
      <c r="V473" s="42"/>
      <c r="W473" s="42"/>
      <c r="X473" s="42"/>
      <c r="Y473" s="42"/>
    </row>
    <row r="474" spans="2:25" s="17" customFormat="1" x14ac:dyDescent="0.25">
      <c r="B474" s="15"/>
      <c r="C474" s="15"/>
      <c r="F474" s="16"/>
      <c r="G474" s="18"/>
      <c r="H474" s="16"/>
      <c r="J474" s="42"/>
      <c r="K474" s="42"/>
      <c r="L474" s="42"/>
      <c r="M474" s="42"/>
      <c r="N474" s="42"/>
      <c r="O474" s="42"/>
      <c r="P474" s="42"/>
      <c r="Q474" s="42"/>
      <c r="R474" s="16"/>
      <c r="S474" s="16"/>
      <c r="T474" s="42"/>
      <c r="U474" s="42"/>
      <c r="V474" s="42"/>
      <c r="W474" s="42"/>
      <c r="X474" s="42"/>
      <c r="Y474" s="42"/>
    </row>
    <row r="475" spans="2:25" s="17" customFormat="1" x14ac:dyDescent="0.25">
      <c r="B475" s="15"/>
      <c r="C475" s="15"/>
      <c r="F475" s="16"/>
      <c r="G475" s="18"/>
      <c r="H475" s="16"/>
      <c r="J475" s="42"/>
      <c r="K475" s="42"/>
      <c r="L475" s="42"/>
      <c r="M475" s="42"/>
      <c r="N475" s="42"/>
      <c r="O475" s="42"/>
      <c r="P475" s="42"/>
      <c r="Q475" s="42"/>
      <c r="R475" s="16"/>
      <c r="S475" s="16"/>
      <c r="T475" s="42"/>
      <c r="U475" s="42"/>
      <c r="V475" s="42"/>
      <c r="W475" s="42"/>
      <c r="X475" s="42"/>
      <c r="Y475" s="42"/>
    </row>
    <row r="476" spans="2:25" s="17" customFormat="1" x14ac:dyDescent="0.25">
      <c r="B476" s="15"/>
      <c r="C476" s="15"/>
      <c r="F476" s="16"/>
      <c r="G476" s="18"/>
      <c r="H476" s="16"/>
      <c r="J476" s="42"/>
      <c r="K476" s="42"/>
      <c r="L476" s="42"/>
      <c r="M476" s="42"/>
      <c r="N476" s="42"/>
      <c r="O476" s="42"/>
      <c r="P476" s="42"/>
      <c r="Q476" s="42"/>
      <c r="R476" s="16"/>
      <c r="S476" s="16"/>
      <c r="T476" s="42"/>
      <c r="U476" s="42"/>
      <c r="V476" s="42"/>
      <c r="W476" s="42"/>
      <c r="X476" s="42"/>
      <c r="Y476" s="42"/>
    </row>
    <row r="477" spans="2:25" s="17" customFormat="1" x14ac:dyDescent="0.25">
      <c r="B477" s="15"/>
      <c r="C477" s="15"/>
      <c r="F477" s="16"/>
      <c r="G477" s="18"/>
      <c r="H477" s="16"/>
      <c r="J477" s="42"/>
      <c r="K477" s="42"/>
      <c r="L477" s="42"/>
      <c r="M477" s="42"/>
      <c r="N477" s="42"/>
      <c r="O477" s="42"/>
      <c r="P477" s="42"/>
      <c r="Q477" s="42"/>
      <c r="R477" s="16"/>
      <c r="S477" s="16"/>
      <c r="T477" s="42"/>
      <c r="U477" s="42"/>
      <c r="V477" s="42"/>
      <c r="W477" s="42"/>
      <c r="X477" s="42"/>
      <c r="Y477" s="42"/>
    </row>
    <row r="478" spans="2:25" s="17" customFormat="1" x14ac:dyDescent="0.25">
      <c r="B478" s="15"/>
      <c r="C478" s="15"/>
      <c r="F478" s="16"/>
      <c r="G478" s="18"/>
      <c r="H478" s="16"/>
      <c r="J478" s="42"/>
      <c r="K478" s="42"/>
      <c r="L478" s="42"/>
      <c r="M478" s="42"/>
      <c r="N478" s="42"/>
      <c r="O478" s="42"/>
      <c r="P478" s="42"/>
      <c r="Q478" s="42"/>
      <c r="R478" s="16"/>
      <c r="S478" s="16"/>
      <c r="T478" s="42"/>
      <c r="U478" s="42"/>
      <c r="V478" s="42"/>
      <c r="W478" s="42"/>
      <c r="X478" s="42"/>
      <c r="Y478" s="42"/>
    </row>
    <row r="479" spans="2:25" s="17" customFormat="1" x14ac:dyDescent="0.25">
      <c r="B479" s="15"/>
      <c r="C479" s="15"/>
      <c r="F479" s="16"/>
      <c r="G479" s="18"/>
      <c r="H479" s="16"/>
      <c r="J479" s="42"/>
      <c r="K479" s="42"/>
      <c r="L479" s="42"/>
      <c r="M479" s="42"/>
      <c r="N479" s="42"/>
      <c r="O479" s="42"/>
      <c r="P479" s="42"/>
      <c r="Q479" s="42"/>
      <c r="R479" s="16"/>
      <c r="S479" s="16"/>
      <c r="T479" s="42"/>
      <c r="U479" s="42"/>
      <c r="V479" s="42"/>
      <c r="W479" s="42"/>
      <c r="X479" s="42"/>
      <c r="Y479" s="42"/>
    </row>
    <row r="480" spans="2:25" s="17" customFormat="1" x14ac:dyDescent="0.25">
      <c r="B480" s="15"/>
      <c r="C480" s="15"/>
      <c r="F480" s="16"/>
      <c r="G480" s="18"/>
      <c r="H480" s="16"/>
      <c r="J480" s="42"/>
      <c r="K480" s="42"/>
      <c r="L480" s="42"/>
      <c r="M480" s="42"/>
      <c r="N480" s="42"/>
      <c r="O480" s="42"/>
      <c r="P480" s="42"/>
      <c r="Q480" s="42"/>
      <c r="R480" s="16"/>
      <c r="S480" s="16"/>
      <c r="T480" s="42"/>
      <c r="U480" s="42"/>
      <c r="V480" s="42"/>
      <c r="W480" s="42"/>
      <c r="X480" s="42"/>
      <c r="Y480" s="42"/>
    </row>
    <row r="481" spans="2:25" s="17" customFormat="1" x14ac:dyDescent="0.25">
      <c r="B481" s="15"/>
      <c r="C481" s="15"/>
      <c r="F481" s="16"/>
      <c r="G481" s="18"/>
      <c r="H481" s="16"/>
      <c r="J481" s="42"/>
      <c r="K481" s="42"/>
      <c r="L481" s="42"/>
      <c r="M481" s="42"/>
      <c r="N481" s="42"/>
      <c r="O481" s="42"/>
      <c r="P481" s="42"/>
      <c r="Q481" s="42"/>
      <c r="R481" s="16"/>
      <c r="S481" s="16"/>
      <c r="T481" s="42"/>
      <c r="U481" s="42"/>
      <c r="V481" s="42"/>
      <c r="W481" s="42"/>
      <c r="X481" s="42"/>
      <c r="Y481" s="42"/>
    </row>
    <row r="482" spans="2:25" s="17" customFormat="1" x14ac:dyDescent="0.25">
      <c r="B482" s="15"/>
      <c r="C482" s="15"/>
      <c r="F482" s="16"/>
      <c r="G482" s="18"/>
      <c r="H482" s="16"/>
      <c r="J482" s="42"/>
      <c r="K482" s="42"/>
      <c r="L482" s="42"/>
      <c r="M482" s="42"/>
      <c r="N482" s="42"/>
      <c r="O482" s="42"/>
      <c r="P482" s="42"/>
      <c r="Q482" s="42"/>
      <c r="R482" s="16"/>
      <c r="S482" s="16"/>
      <c r="T482" s="42"/>
      <c r="U482" s="42"/>
      <c r="V482" s="42"/>
      <c r="W482" s="42"/>
      <c r="X482" s="42"/>
      <c r="Y482" s="42"/>
    </row>
    <row r="483" spans="2:25" s="17" customFormat="1" x14ac:dyDescent="0.25">
      <c r="B483" s="15"/>
      <c r="C483" s="15"/>
      <c r="F483" s="16"/>
      <c r="G483" s="18"/>
      <c r="H483" s="16"/>
      <c r="J483" s="42"/>
      <c r="K483" s="42"/>
      <c r="L483" s="42"/>
      <c r="M483" s="42"/>
      <c r="N483" s="42"/>
      <c r="O483" s="42"/>
      <c r="P483" s="42"/>
      <c r="Q483" s="42"/>
      <c r="R483" s="16"/>
      <c r="S483" s="16"/>
      <c r="T483" s="42"/>
      <c r="U483" s="42"/>
      <c r="V483" s="42"/>
      <c r="W483" s="42"/>
      <c r="X483" s="42"/>
      <c r="Y483" s="42"/>
    </row>
    <row r="484" spans="2:25" s="17" customFormat="1" x14ac:dyDescent="0.25">
      <c r="B484" s="15"/>
      <c r="C484" s="15"/>
      <c r="F484" s="16"/>
      <c r="G484" s="18"/>
      <c r="H484" s="16"/>
      <c r="J484" s="42"/>
      <c r="K484" s="42"/>
      <c r="L484" s="42"/>
      <c r="M484" s="42"/>
      <c r="N484" s="42"/>
      <c r="O484" s="42"/>
      <c r="P484" s="42"/>
      <c r="Q484" s="42"/>
      <c r="R484" s="16"/>
      <c r="S484" s="16"/>
      <c r="T484" s="42"/>
      <c r="U484" s="42"/>
      <c r="V484" s="42"/>
      <c r="W484" s="42"/>
      <c r="X484" s="42"/>
      <c r="Y484" s="42"/>
    </row>
    <row r="485" spans="2:25" s="17" customFormat="1" x14ac:dyDescent="0.25">
      <c r="B485" s="15"/>
      <c r="C485" s="15"/>
      <c r="F485" s="16"/>
      <c r="G485" s="18"/>
      <c r="H485" s="16"/>
      <c r="J485" s="42"/>
      <c r="K485" s="42"/>
      <c r="L485" s="42"/>
      <c r="M485" s="42"/>
      <c r="N485" s="42"/>
      <c r="O485" s="42"/>
      <c r="P485" s="42"/>
      <c r="Q485" s="42"/>
      <c r="R485" s="16"/>
      <c r="S485" s="16"/>
      <c r="T485" s="42"/>
      <c r="U485" s="42"/>
      <c r="V485" s="42"/>
      <c r="W485" s="42"/>
      <c r="X485" s="42"/>
      <c r="Y485" s="42"/>
    </row>
    <row r="486" spans="2:25" s="17" customFormat="1" x14ac:dyDescent="0.25">
      <c r="B486" s="15"/>
      <c r="C486" s="15"/>
      <c r="F486" s="16"/>
      <c r="G486" s="18"/>
      <c r="H486" s="16"/>
      <c r="J486" s="42"/>
      <c r="K486" s="42"/>
      <c r="L486" s="42"/>
      <c r="M486" s="42"/>
      <c r="N486" s="42"/>
      <c r="O486" s="42"/>
      <c r="P486" s="42"/>
      <c r="Q486" s="42"/>
      <c r="R486" s="16"/>
      <c r="S486" s="16"/>
      <c r="T486" s="42"/>
      <c r="U486" s="42"/>
      <c r="V486" s="42"/>
      <c r="W486" s="42"/>
      <c r="X486" s="42"/>
      <c r="Y486" s="42"/>
    </row>
    <row r="487" spans="2:25" s="17" customFormat="1" x14ac:dyDescent="0.25">
      <c r="B487" s="15"/>
      <c r="C487" s="15"/>
      <c r="F487" s="16"/>
      <c r="G487" s="18"/>
      <c r="H487" s="16"/>
      <c r="J487" s="42"/>
      <c r="K487" s="42"/>
      <c r="L487" s="42"/>
      <c r="M487" s="42"/>
      <c r="N487" s="42"/>
      <c r="O487" s="42"/>
      <c r="P487" s="42"/>
      <c r="Q487" s="42"/>
      <c r="R487" s="16"/>
      <c r="S487" s="16"/>
      <c r="T487" s="42"/>
      <c r="U487" s="42"/>
      <c r="V487" s="42"/>
      <c r="W487" s="42"/>
      <c r="X487" s="42"/>
      <c r="Y487" s="42"/>
    </row>
    <row r="488" spans="2:25" s="17" customFormat="1" x14ac:dyDescent="0.25">
      <c r="B488" s="15"/>
      <c r="C488" s="15"/>
      <c r="F488" s="16"/>
      <c r="G488" s="18"/>
      <c r="H488" s="16"/>
      <c r="J488" s="42"/>
      <c r="K488" s="42"/>
      <c r="L488" s="42"/>
      <c r="M488" s="42"/>
      <c r="N488" s="42"/>
      <c r="O488" s="42"/>
      <c r="P488" s="42"/>
      <c r="Q488" s="42"/>
      <c r="R488" s="16"/>
      <c r="S488" s="16"/>
      <c r="T488" s="42"/>
      <c r="U488" s="42"/>
      <c r="V488" s="42"/>
      <c r="W488" s="42"/>
      <c r="X488" s="42"/>
      <c r="Y488" s="42"/>
    </row>
    <row r="489" spans="2:25" s="17" customFormat="1" x14ac:dyDescent="0.25">
      <c r="B489" s="15"/>
      <c r="C489" s="15"/>
      <c r="F489" s="16"/>
      <c r="G489" s="18"/>
      <c r="H489" s="16"/>
      <c r="J489" s="42"/>
      <c r="K489" s="42"/>
      <c r="L489" s="42"/>
      <c r="M489" s="42"/>
      <c r="N489" s="42"/>
      <c r="O489" s="42"/>
      <c r="P489" s="42"/>
      <c r="Q489" s="42"/>
      <c r="R489" s="16"/>
      <c r="S489" s="16"/>
      <c r="T489" s="42"/>
      <c r="U489" s="42"/>
      <c r="V489" s="42"/>
      <c r="W489" s="42"/>
      <c r="X489" s="42"/>
      <c r="Y489" s="42"/>
    </row>
    <row r="490" spans="2:25" s="17" customFormat="1" x14ac:dyDescent="0.25">
      <c r="B490" s="15"/>
      <c r="C490" s="15"/>
      <c r="F490" s="16"/>
      <c r="G490" s="18"/>
      <c r="H490" s="16"/>
      <c r="J490" s="42"/>
      <c r="K490" s="42"/>
      <c r="L490" s="42"/>
      <c r="M490" s="42"/>
      <c r="N490" s="42"/>
      <c r="O490" s="42"/>
      <c r="P490" s="42"/>
      <c r="Q490" s="42"/>
      <c r="R490" s="16"/>
      <c r="S490" s="16"/>
      <c r="T490" s="42"/>
      <c r="U490" s="42"/>
      <c r="V490" s="42"/>
      <c r="W490" s="42"/>
      <c r="X490" s="42"/>
      <c r="Y490" s="42"/>
    </row>
    <row r="491" spans="2:25" s="17" customFormat="1" x14ac:dyDescent="0.25">
      <c r="B491" s="15"/>
      <c r="C491" s="15"/>
      <c r="F491" s="16"/>
      <c r="G491" s="18"/>
      <c r="H491" s="16"/>
      <c r="J491" s="42"/>
      <c r="K491" s="42"/>
      <c r="L491" s="42"/>
      <c r="M491" s="42"/>
      <c r="N491" s="42"/>
      <c r="O491" s="42"/>
      <c r="P491" s="42"/>
      <c r="Q491" s="42"/>
      <c r="R491" s="16"/>
      <c r="S491" s="16"/>
      <c r="T491" s="42"/>
      <c r="U491" s="42"/>
      <c r="V491" s="42"/>
      <c r="W491" s="42"/>
      <c r="X491" s="42"/>
      <c r="Y491" s="42"/>
    </row>
    <row r="492" spans="2:25" s="17" customFormat="1" x14ac:dyDescent="0.25">
      <c r="B492" s="15"/>
      <c r="C492" s="15"/>
      <c r="F492" s="16"/>
      <c r="G492" s="18"/>
      <c r="H492" s="16"/>
      <c r="J492" s="42"/>
      <c r="K492" s="42"/>
      <c r="L492" s="42"/>
      <c r="M492" s="42"/>
      <c r="N492" s="42"/>
      <c r="O492" s="42"/>
      <c r="P492" s="42"/>
      <c r="Q492" s="42"/>
      <c r="R492" s="16"/>
      <c r="S492" s="16"/>
      <c r="T492" s="42"/>
      <c r="U492" s="42"/>
      <c r="V492" s="42"/>
      <c r="W492" s="42"/>
      <c r="X492" s="42"/>
      <c r="Y492" s="42"/>
    </row>
    <row r="493" spans="2:25" s="17" customFormat="1" x14ac:dyDescent="0.25">
      <c r="B493" s="15"/>
      <c r="C493" s="15"/>
      <c r="F493" s="16"/>
      <c r="G493" s="18"/>
      <c r="H493" s="16"/>
      <c r="J493" s="42"/>
      <c r="K493" s="42"/>
      <c r="L493" s="42"/>
      <c r="M493" s="42"/>
      <c r="N493" s="42"/>
      <c r="O493" s="42"/>
      <c r="P493" s="42"/>
      <c r="Q493" s="42"/>
      <c r="R493" s="16"/>
      <c r="S493" s="16"/>
      <c r="T493" s="42"/>
      <c r="U493" s="42"/>
      <c r="V493" s="42"/>
      <c r="W493" s="42"/>
      <c r="X493" s="42"/>
      <c r="Y493" s="42"/>
    </row>
    <row r="494" spans="2:25" s="17" customFormat="1" x14ac:dyDescent="0.25">
      <c r="B494" s="15"/>
      <c r="C494" s="15"/>
      <c r="F494" s="16"/>
      <c r="G494" s="18"/>
      <c r="H494" s="16"/>
      <c r="J494" s="42"/>
      <c r="K494" s="42"/>
      <c r="L494" s="42"/>
      <c r="M494" s="42"/>
      <c r="N494" s="42"/>
      <c r="O494" s="42"/>
      <c r="P494" s="42"/>
      <c r="Q494" s="42"/>
      <c r="R494" s="16"/>
      <c r="S494" s="16"/>
      <c r="T494" s="42"/>
      <c r="U494" s="42"/>
      <c r="V494" s="42"/>
      <c r="W494" s="42"/>
      <c r="X494" s="42"/>
      <c r="Y494" s="42"/>
    </row>
    <row r="495" spans="2:25" s="17" customFormat="1" x14ac:dyDescent="0.25">
      <c r="B495" s="15"/>
      <c r="C495" s="15"/>
      <c r="F495" s="16"/>
      <c r="G495" s="18"/>
      <c r="H495" s="16"/>
      <c r="J495" s="42"/>
      <c r="K495" s="42"/>
      <c r="L495" s="42"/>
      <c r="M495" s="42"/>
      <c r="N495" s="42"/>
      <c r="O495" s="42"/>
      <c r="P495" s="42"/>
      <c r="Q495" s="42"/>
      <c r="R495" s="16"/>
      <c r="S495" s="16"/>
      <c r="T495" s="42"/>
      <c r="U495" s="42"/>
      <c r="V495" s="42"/>
      <c r="W495" s="42"/>
      <c r="X495" s="42"/>
      <c r="Y495" s="42"/>
    </row>
    <row r="496" spans="2:25" s="17" customFormat="1" x14ac:dyDescent="0.25">
      <c r="B496" s="15"/>
      <c r="C496" s="15"/>
      <c r="F496" s="16"/>
      <c r="G496" s="18"/>
      <c r="H496" s="16"/>
      <c r="J496" s="42"/>
      <c r="K496" s="42"/>
      <c r="L496" s="42"/>
      <c r="M496" s="42"/>
      <c r="N496" s="42"/>
      <c r="O496" s="42"/>
      <c r="P496" s="42"/>
      <c r="Q496" s="42"/>
      <c r="R496" s="16"/>
      <c r="S496" s="16"/>
      <c r="T496" s="42"/>
      <c r="U496" s="42"/>
      <c r="V496" s="42"/>
      <c r="W496" s="42"/>
      <c r="X496" s="42"/>
      <c r="Y496" s="42"/>
    </row>
    <row r="497" spans="2:25" s="17" customFormat="1" x14ac:dyDescent="0.25">
      <c r="B497" s="15"/>
      <c r="C497" s="15"/>
      <c r="F497" s="16"/>
      <c r="G497" s="18"/>
      <c r="H497" s="16"/>
      <c r="J497" s="42"/>
      <c r="K497" s="42"/>
      <c r="L497" s="42"/>
      <c r="M497" s="42"/>
      <c r="N497" s="42"/>
      <c r="O497" s="42"/>
      <c r="P497" s="42"/>
      <c r="Q497" s="42"/>
      <c r="R497" s="16"/>
      <c r="S497" s="16"/>
      <c r="T497" s="42"/>
      <c r="U497" s="42"/>
      <c r="V497" s="42"/>
      <c r="W497" s="42"/>
      <c r="X497" s="42"/>
      <c r="Y497" s="42"/>
    </row>
    <row r="498" spans="2:25" s="17" customFormat="1" x14ac:dyDescent="0.25">
      <c r="B498" s="15"/>
      <c r="C498" s="15"/>
      <c r="F498" s="16"/>
      <c r="G498" s="18"/>
      <c r="H498" s="16"/>
      <c r="J498" s="42"/>
      <c r="K498" s="42"/>
      <c r="L498" s="42"/>
      <c r="M498" s="42"/>
      <c r="N498" s="42"/>
      <c r="O498" s="42"/>
      <c r="P498" s="42"/>
      <c r="Q498" s="42"/>
      <c r="R498" s="16"/>
      <c r="S498" s="16"/>
      <c r="T498" s="42"/>
      <c r="U498" s="42"/>
      <c r="V498" s="42"/>
      <c r="W498" s="42"/>
      <c r="X498" s="42"/>
      <c r="Y498" s="42"/>
    </row>
    <row r="499" spans="2:25" s="17" customFormat="1" x14ac:dyDescent="0.25">
      <c r="B499" s="15"/>
      <c r="C499" s="15"/>
      <c r="F499" s="16"/>
      <c r="G499" s="18"/>
      <c r="H499" s="16"/>
      <c r="J499" s="42"/>
      <c r="K499" s="42"/>
      <c r="L499" s="42"/>
      <c r="M499" s="42"/>
      <c r="N499" s="42"/>
      <c r="O499" s="42"/>
      <c r="P499" s="42"/>
      <c r="Q499" s="42"/>
      <c r="R499" s="16"/>
      <c r="S499" s="16"/>
      <c r="T499" s="42"/>
      <c r="U499" s="42"/>
      <c r="V499" s="42"/>
      <c r="W499" s="42"/>
      <c r="X499" s="42"/>
      <c r="Y499" s="42"/>
    </row>
    <row r="500" spans="2:25" s="17" customFormat="1" x14ac:dyDescent="0.25">
      <c r="B500" s="15"/>
      <c r="C500" s="15"/>
      <c r="F500" s="16"/>
      <c r="G500" s="18"/>
      <c r="H500" s="16"/>
      <c r="J500" s="42"/>
      <c r="K500" s="42"/>
      <c r="L500" s="42"/>
      <c r="M500" s="42"/>
      <c r="N500" s="42"/>
      <c r="O500" s="42"/>
      <c r="P500" s="42"/>
      <c r="Q500" s="42"/>
      <c r="R500" s="16"/>
      <c r="S500" s="16"/>
      <c r="T500" s="42"/>
      <c r="U500" s="42"/>
      <c r="V500" s="42"/>
      <c r="W500" s="42"/>
      <c r="X500" s="42"/>
      <c r="Y500" s="42"/>
    </row>
    <row r="501" spans="2:25" s="17" customFormat="1" x14ac:dyDescent="0.25">
      <c r="B501" s="15"/>
      <c r="C501" s="15"/>
      <c r="F501" s="16"/>
      <c r="G501" s="18"/>
      <c r="H501" s="16"/>
      <c r="J501" s="42"/>
      <c r="K501" s="42"/>
      <c r="L501" s="42"/>
      <c r="M501" s="42"/>
      <c r="N501" s="42"/>
      <c r="O501" s="42"/>
      <c r="P501" s="42"/>
      <c r="Q501" s="42"/>
      <c r="R501" s="16"/>
      <c r="S501" s="16"/>
      <c r="T501" s="42"/>
      <c r="U501" s="42"/>
      <c r="V501" s="42"/>
      <c r="W501" s="42"/>
      <c r="X501" s="42"/>
      <c r="Y501" s="42"/>
    </row>
    <row r="502" spans="2:25" s="17" customFormat="1" x14ac:dyDescent="0.25">
      <c r="B502" s="15"/>
      <c r="C502" s="15"/>
      <c r="F502" s="16"/>
      <c r="G502" s="18"/>
      <c r="H502" s="16"/>
      <c r="J502" s="42"/>
      <c r="K502" s="42"/>
      <c r="L502" s="42"/>
      <c r="M502" s="42"/>
      <c r="N502" s="42"/>
      <c r="O502" s="42"/>
      <c r="P502" s="42"/>
      <c r="Q502" s="42"/>
      <c r="R502" s="16"/>
      <c r="S502" s="16"/>
      <c r="T502" s="42"/>
      <c r="U502" s="42"/>
      <c r="V502" s="42"/>
      <c r="W502" s="42"/>
      <c r="X502" s="42"/>
      <c r="Y502" s="42"/>
    </row>
    <row r="503" spans="2:25" s="17" customFormat="1" x14ac:dyDescent="0.25">
      <c r="B503" s="15"/>
      <c r="C503" s="15"/>
      <c r="F503" s="16"/>
      <c r="G503" s="18"/>
      <c r="H503" s="16"/>
      <c r="J503" s="42"/>
      <c r="K503" s="42"/>
      <c r="L503" s="42"/>
      <c r="M503" s="42"/>
      <c r="N503" s="42"/>
      <c r="O503" s="42"/>
      <c r="P503" s="42"/>
      <c r="Q503" s="42"/>
      <c r="R503" s="16"/>
      <c r="S503" s="16"/>
      <c r="T503" s="42"/>
      <c r="U503" s="42"/>
      <c r="V503" s="42"/>
      <c r="W503" s="42"/>
      <c r="X503" s="42"/>
      <c r="Y503" s="42"/>
    </row>
    <row r="504" spans="2:25" s="17" customFormat="1" x14ac:dyDescent="0.25">
      <c r="B504" s="15"/>
      <c r="C504" s="15"/>
      <c r="F504" s="16"/>
      <c r="G504" s="18"/>
      <c r="H504" s="16"/>
      <c r="J504" s="42"/>
      <c r="K504" s="42"/>
      <c r="L504" s="42"/>
      <c r="M504" s="42"/>
      <c r="N504" s="42"/>
      <c r="O504" s="42"/>
      <c r="P504" s="42"/>
      <c r="Q504" s="42"/>
      <c r="R504" s="16"/>
      <c r="S504" s="16"/>
      <c r="T504" s="42"/>
      <c r="U504" s="42"/>
      <c r="V504" s="42"/>
      <c r="W504" s="42"/>
      <c r="X504" s="42"/>
      <c r="Y504" s="42"/>
    </row>
    <row r="505" spans="2:25" s="17" customFormat="1" x14ac:dyDescent="0.25">
      <c r="B505" s="15"/>
      <c r="C505" s="15"/>
      <c r="F505" s="16"/>
      <c r="G505" s="18"/>
      <c r="H505" s="16"/>
      <c r="J505" s="42"/>
      <c r="K505" s="42"/>
      <c r="L505" s="42"/>
      <c r="M505" s="42"/>
      <c r="N505" s="42"/>
      <c r="O505" s="42"/>
      <c r="P505" s="42"/>
      <c r="Q505" s="42"/>
      <c r="R505" s="16"/>
      <c r="S505" s="16"/>
      <c r="T505" s="42"/>
      <c r="U505" s="42"/>
      <c r="V505" s="42"/>
      <c r="W505" s="42"/>
      <c r="X505" s="42"/>
      <c r="Y505" s="42"/>
    </row>
    <row r="506" spans="2:25" s="17" customFormat="1" x14ac:dyDescent="0.25">
      <c r="B506" s="15"/>
      <c r="C506" s="15"/>
      <c r="F506" s="16"/>
      <c r="G506" s="18"/>
      <c r="H506" s="16"/>
      <c r="J506" s="42"/>
      <c r="K506" s="42"/>
      <c r="L506" s="42"/>
      <c r="M506" s="42"/>
      <c r="N506" s="42"/>
      <c r="O506" s="42"/>
      <c r="P506" s="42"/>
      <c r="Q506" s="42"/>
      <c r="R506" s="16"/>
      <c r="S506" s="16"/>
      <c r="T506" s="42"/>
      <c r="U506" s="42"/>
      <c r="V506" s="42"/>
      <c r="W506" s="42"/>
      <c r="X506" s="42"/>
      <c r="Y506" s="42"/>
    </row>
    <row r="507" spans="2:25" s="17" customFormat="1" x14ac:dyDescent="0.25">
      <c r="B507" s="15"/>
      <c r="C507" s="15"/>
      <c r="F507" s="16"/>
      <c r="G507" s="18"/>
      <c r="H507" s="16"/>
      <c r="J507" s="42"/>
      <c r="K507" s="42"/>
      <c r="L507" s="42"/>
      <c r="M507" s="42"/>
      <c r="N507" s="42"/>
      <c r="O507" s="42"/>
      <c r="P507" s="42"/>
      <c r="Q507" s="42"/>
      <c r="R507" s="16"/>
      <c r="S507" s="16"/>
      <c r="T507" s="42"/>
      <c r="U507" s="42"/>
      <c r="V507" s="42"/>
      <c r="W507" s="42"/>
      <c r="X507" s="42"/>
      <c r="Y507" s="42"/>
    </row>
    <row r="508" spans="2:25" s="17" customFormat="1" x14ac:dyDescent="0.25">
      <c r="B508" s="15"/>
      <c r="C508" s="15"/>
      <c r="F508" s="16"/>
      <c r="G508" s="18"/>
      <c r="H508" s="16"/>
      <c r="J508" s="42"/>
      <c r="K508" s="42"/>
      <c r="L508" s="42"/>
      <c r="M508" s="42"/>
      <c r="N508" s="42"/>
      <c r="O508" s="42"/>
      <c r="P508" s="42"/>
      <c r="Q508" s="42"/>
      <c r="R508" s="16"/>
      <c r="S508" s="16"/>
      <c r="T508" s="42"/>
      <c r="U508" s="42"/>
      <c r="V508" s="42"/>
      <c r="W508" s="42"/>
      <c r="X508" s="42"/>
      <c r="Y508" s="42"/>
    </row>
    <row r="509" spans="2:25" s="17" customFormat="1" x14ac:dyDescent="0.25">
      <c r="B509" s="15"/>
      <c r="C509" s="15"/>
      <c r="F509" s="16"/>
      <c r="G509" s="18"/>
      <c r="H509" s="16"/>
      <c r="J509" s="42"/>
      <c r="K509" s="42"/>
      <c r="L509" s="42"/>
      <c r="M509" s="42"/>
      <c r="N509" s="42"/>
      <c r="O509" s="42"/>
      <c r="P509" s="42"/>
      <c r="Q509" s="42"/>
      <c r="R509" s="16"/>
      <c r="S509" s="16"/>
      <c r="T509" s="42"/>
      <c r="U509" s="42"/>
      <c r="V509" s="42"/>
      <c r="W509" s="42"/>
      <c r="X509" s="42"/>
      <c r="Y509" s="42"/>
    </row>
    <row r="510" spans="2:25" s="17" customFormat="1" x14ac:dyDescent="0.25">
      <c r="B510" s="15"/>
      <c r="C510" s="15"/>
      <c r="F510" s="16"/>
      <c r="G510" s="18"/>
      <c r="H510" s="16"/>
      <c r="J510" s="42"/>
      <c r="K510" s="42"/>
      <c r="L510" s="42"/>
      <c r="M510" s="42"/>
      <c r="N510" s="42"/>
      <c r="O510" s="42"/>
      <c r="P510" s="42"/>
      <c r="Q510" s="42"/>
      <c r="R510" s="16"/>
      <c r="S510" s="16"/>
      <c r="T510" s="42"/>
      <c r="U510" s="42"/>
      <c r="V510" s="42"/>
      <c r="W510" s="42"/>
      <c r="X510" s="42"/>
      <c r="Y510" s="42"/>
    </row>
    <row r="511" spans="2:25" s="17" customFormat="1" x14ac:dyDescent="0.25">
      <c r="B511" s="15"/>
      <c r="C511" s="15"/>
      <c r="F511" s="16"/>
      <c r="G511" s="18"/>
      <c r="H511" s="16"/>
      <c r="J511" s="42"/>
      <c r="K511" s="42"/>
      <c r="L511" s="42"/>
      <c r="M511" s="42"/>
      <c r="N511" s="42"/>
      <c r="O511" s="42"/>
      <c r="P511" s="42"/>
      <c r="Q511" s="42"/>
      <c r="R511" s="16"/>
      <c r="S511" s="16"/>
      <c r="T511" s="42"/>
      <c r="U511" s="42"/>
      <c r="V511" s="42"/>
      <c r="W511" s="42"/>
      <c r="X511" s="42"/>
      <c r="Y511" s="42"/>
    </row>
    <row r="512" spans="2:25" s="17" customFormat="1" x14ac:dyDescent="0.25">
      <c r="B512" s="15"/>
      <c r="C512" s="15"/>
      <c r="F512" s="16"/>
      <c r="G512" s="18"/>
      <c r="H512" s="16"/>
      <c r="J512" s="42"/>
      <c r="K512" s="42"/>
      <c r="L512" s="42"/>
      <c r="M512" s="42"/>
      <c r="N512" s="42"/>
      <c r="O512" s="42"/>
      <c r="P512" s="42"/>
      <c r="Q512" s="42"/>
      <c r="R512" s="16"/>
      <c r="S512" s="16"/>
      <c r="T512" s="42"/>
      <c r="U512" s="42"/>
      <c r="V512" s="42"/>
      <c r="W512" s="42"/>
      <c r="X512" s="42"/>
      <c r="Y512" s="42"/>
    </row>
    <row r="513" spans="2:25" s="17" customFormat="1" x14ac:dyDescent="0.25">
      <c r="B513" s="15"/>
      <c r="C513" s="15"/>
      <c r="F513" s="16"/>
      <c r="G513" s="18"/>
      <c r="H513" s="16"/>
      <c r="J513" s="42"/>
      <c r="K513" s="42"/>
      <c r="L513" s="42"/>
      <c r="M513" s="42"/>
      <c r="N513" s="42"/>
      <c r="O513" s="42"/>
      <c r="P513" s="42"/>
      <c r="Q513" s="42"/>
      <c r="R513" s="16"/>
      <c r="S513" s="16"/>
      <c r="T513" s="42"/>
      <c r="U513" s="42"/>
      <c r="V513" s="42"/>
      <c r="W513" s="42"/>
      <c r="X513" s="42"/>
      <c r="Y513" s="42"/>
    </row>
    <row r="514" spans="2:25" s="17" customFormat="1" x14ac:dyDescent="0.25">
      <c r="B514" s="15"/>
      <c r="C514" s="15"/>
      <c r="F514" s="16"/>
      <c r="G514" s="18"/>
      <c r="H514" s="16"/>
      <c r="J514" s="42"/>
      <c r="K514" s="42"/>
      <c r="L514" s="42"/>
      <c r="M514" s="42"/>
      <c r="N514" s="42"/>
      <c r="O514" s="42"/>
      <c r="P514" s="42"/>
      <c r="Q514" s="42"/>
      <c r="R514" s="16"/>
      <c r="S514" s="16"/>
      <c r="T514" s="42"/>
      <c r="U514" s="42"/>
      <c r="V514" s="42"/>
      <c r="W514" s="42"/>
      <c r="X514" s="42"/>
      <c r="Y514" s="42"/>
    </row>
    <row r="515" spans="2:25" s="17" customFormat="1" x14ac:dyDescent="0.25">
      <c r="B515" s="15"/>
      <c r="C515" s="15"/>
      <c r="F515" s="16"/>
      <c r="G515" s="18"/>
      <c r="H515" s="16"/>
      <c r="J515" s="42"/>
      <c r="K515" s="42"/>
      <c r="L515" s="42"/>
      <c r="M515" s="42"/>
      <c r="N515" s="42"/>
      <c r="O515" s="42"/>
      <c r="P515" s="42"/>
      <c r="Q515" s="42"/>
      <c r="R515" s="16"/>
      <c r="S515" s="16"/>
      <c r="T515" s="42"/>
      <c r="U515" s="42"/>
      <c r="V515" s="42"/>
      <c r="W515" s="42"/>
      <c r="X515" s="42"/>
      <c r="Y515" s="42"/>
    </row>
    <row r="516" spans="2:25" s="17" customFormat="1" x14ac:dyDescent="0.25">
      <c r="B516" s="15"/>
      <c r="C516" s="15"/>
      <c r="F516" s="16"/>
      <c r="G516" s="18"/>
      <c r="H516" s="16"/>
      <c r="J516" s="42"/>
      <c r="K516" s="42"/>
      <c r="L516" s="42"/>
      <c r="M516" s="42"/>
      <c r="N516" s="42"/>
      <c r="O516" s="42"/>
      <c r="P516" s="42"/>
      <c r="Q516" s="42"/>
      <c r="R516" s="16"/>
      <c r="S516" s="16"/>
      <c r="T516" s="42"/>
      <c r="U516" s="42"/>
      <c r="V516" s="42"/>
      <c r="W516" s="42"/>
      <c r="X516" s="42"/>
      <c r="Y516" s="42"/>
    </row>
    <row r="517" spans="2:25" s="17" customFormat="1" x14ac:dyDescent="0.25">
      <c r="B517" s="15"/>
      <c r="C517" s="15"/>
      <c r="F517" s="16"/>
      <c r="G517" s="18"/>
      <c r="H517" s="16"/>
      <c r="J517" s="42"/>
      <c r="K517" s="42"/>
      <c r="L517" s="42"/>
      <c r="M517" s="42"/>
      <c r="N517" s="42"/>
      <c r="O517" s="42"/>
      <c r="P517" s="42"/>
      <c r="Q517" s="42"/>
      <c r="R517" s="16"/>
      <c r="S517" s="16"/>
      <c r="T517" s="42"/>
      <c r="U517" s="42"/>
      <c r="V517" s="42"/>
      <c r="W517" s="42"/>
      <c r="X517" s="42"/>
      <c r="Y517" s="42"/>
    </row>
    <row r="518" spans="2:25" s="17" customFormat="1" x14ac:dyDescent="0.25">
      <c r="B518" s="15"/>
      <c r="C518" s="15"/>
      <c r="F518" s="16"/>
      <c r="G518" s="18"/>
      <c r="H518" s="16"/>
      <c r="J518" s="42"/>
      <c r="K518" s="42"/>
      <c r="L518" s="42"/>
      <c r="M518" s="42"/>
      <c r="N518" s="42"/>
      <c r="O518" s="42"/>
      <c r="P518" s="42"/>
      <c r="Q518" s="42"/>
      <c r="R518" s="16"/>
      <c r="S518" s="16"/>
      <c r="T518" s="42"/>
      <c r="U518" s="42"/>
      <c r="V518" s="42"/>
      <c r="W518" s="42"/>
      <c r="X518" s="42"/>
      <c r="Y518" s="42"/>
    </row>
    <row r="519" spans="2:25" s="17" customFormat="1" x14ac:dyDescent="0.25">
      <c r="B519" s="15"/>
      <c r="C519" s="15"/>
      <c r="F519" s="16"/>
      <c r="G519" s="18"/>
      <c r="H519" s="16"/>
      <c r="J519" s="42"/>
      <c r="K519" s="42"/>
      <c r="L519" s="42"/>
      <c r="M519" s="42"/>
      <c r="N519" s="42"/>
      <c r="O519" s="42"/>
      <c r="P519" s="42"/>
      <c r="Q519" s="42"/>
      <c r="R519" s="16"/>
      <c r="S519" s="16"/>
      <c r="T519" s="42"/>
      <c r="U519" s="42"/>
      <c r="V519" s="42"/>
      <c r="W519" s="42"/>
      <c r="X519" s="42"/>
      <c r="Y519" s="42"/>
    </row>
    <row r="520" spans="2:25" s="17" customFormat="1" x14ac:dyDescent="0.25">
      <c r="B520" s="15"/>
      <c r="C520" s="15"/>
      <c r="F520" s="16"/>
      <c r="G520" s="18"/>
      <c r="H520" s="16"/>
      <c r="J520" s="42"/>
      <c r="K520" s="42"/>
      <c r="L520" s="42"/>
      <c r="M520" s="42"/>
      <c r="N520" s="42"/>
      <c r="O520" s="42"/>
      <c r="P520" s="42"/>
      <c r="Q520" s="42"/>
      <c r="R520" s="16"/>
      <c r="S520" s="16"/>
      <c r="T520" s="42"/>
      <c r="U520" s="42"/>
      <c r="V520" s="42"/>
      <c r="W520" s="42"/>
      <c r="X520" s="42"/>
      <c r="Y520" s="42"/>
    </row>
    <row r="521" spans="2:25" s="17" customFormat="1" x14ac:dyDescent="0.25">
      <c r="B521" s="15"/>
      <c r="C521" s="15"/>
      <c r="F521" s="16"/>
      <c r="G521" s="18"/>
      <c r="H521" s="16"/>
      <c r="J521" s="42"/>
      <c r="K521" s="42"/>
      <c r="L521" s="42"/>
      <c r="M521" s="42"/>
      <c r="N521" s="42"/>
      <c r="O521" s="42"/>
      <c r="P521" s="42"/>
      <c r="Q521" s="42"/>
      <c r="R521" s="16"/>
      <c r="S521" s="16"/>
      <c r="T521" s="42"/>
      <c r="U521" s="42"/>
      <c r="V521" s="42"/>
      <c r="W521" s="42"/>
      <c r="X521" s="42"/>
      <c r="Y521" s="42"/>
    </row>
    <row r="522" spans="2:25" s="17" customFormat="1" x14ac:dyDescent="0.25">
      <c r="B522" s="15"/>
      <c r="C522" s="15"/>
      <c r="F522" s="16"/>
      <c r="G522" s="18"/>
      <c r="H522" s="16"/>
      <c r="J522" s="42"/>
      <c r="K522" s="42"/>
      <c r="L522" s="42"/>
      <c r="M522" s="42"/>
      <c r="N522" s="42"/>
      <c r="O522" s="42"/>
      <c r="P522" s="42"/>
      <c r="Q522" s="42"/>
      <c r="R522" s="16"/>
      <c r="S522" s="16"/>
      <c r="T522" s="42"/>
      <c r="U522" s="42"/>
      <c r="V522" s="42"/>
      <c r="W522" s="42"/>
      <c r="X522" s="42"/>
      <c r="Y522" s="42"/>
    </row>
    <row r="523" spans="2:25" s="17" customFormat="1" x14ac:dyDescent="0.25">
      <c r="B523" s="15"/>
      <c r="C523" s="15"/>
      <c r="F523" s="16"/>
      <c r="G523" s="18"/>
      <c r="H523" s="16"/>
      <c r="J523" s="42"/>
      <c r="K523" s="42"/>
      <c r="L523" s="42"/>
      <c r="M523" s="42"/>
      <c r="N523" s="42"/>
      <c r="O523" s="42"/>
      <c r="P523" s="42"/>
      <c r="Q523" s="42"/>
      <c r="R523" s="16"/>
      <c r="S523" s="16"/>
      <c r="T523" s="42"/>
      <c r="U523" s="42"/>
      <c r="V523" s="42"/>
      <c r="W523" s="42"/>
      <c r="X523" s="42"/>
      <c r="Y523" s="42"/>
    </row>
    <row r="524" spans="2:25" s="17" customFormat="1" x14ac:dyDescent="0.25">
      <c r="B524" s="15"/>
      <c r="C524" s="15"/>
      <c r="F524" s="16"/>
      <c r="G524" s="18"/>
      <c r="H524" s="16"/>
      <c r="J524" s="42"/>
      <c r="K524" s="42"/>
      <c r="L524" s="42"/>
      <c r="M524" s="42"/>
      <c r="N524" s="42"/>
      <c r="O524" s="42"/>
      <c r="P524" s="42"/>
      <c r="Q524" s="42"/>
      <c r="R524" s="16"/>
      <c r="S524" s="16"/>
      <c r="T524" s="42"/>
      <c r="U524" s="42"/>
      <c r="V524" s="42"/>
      <c r="W524" s="42"/>
      <c r="X524" s="42"/>
      <c r="Y524" s="42"/>
    </row>
    <row r="525" spans="2:25" s="17" customFormat="1" x14ac:dyDescent="0.25">
      <c r="B525" s="15"/>
      <c r="C525" s="15"/>
      <c r="F525" s="16"/>
      <c r="G525" s="18"/>
      <c r="H525" s="16"/>
      <c r="J525" s="42"/>
      <c r="K525" s="42"/>
      <c r="L525" s="42"/>
      <c r="M525" s="42"/>
      <c r="N525" s="42"/>
      <c r="O525" s="42"/>
      <c r="P525" s="42"/>
      <c r="Q525" s="42"/>
      <c r="R525" s="16"/>
      <c r="S525" s="16"/>
      <c r="T525" s="42"/>
      <c r="U525" s="42"/>
      <c r="V525" s="42"/>
      <c r="W525" s="42"/>
      <c r="X525" s="42"/>
      <c r="Y525" s="42"/>
    </row>
    <row r="526" spans="2:25" s="17" customFormat="1" x14ac:dyDescent="0.25">
      <c r="B526" s="15"/>
      <c r="C526" s="15"/>
      <c r="F526" s="16"/>
      <c r="G526" s="18"/>
      <c r="H526" s="16"/>
      <c r="J526" s="42"/>
      <c r="K526" s="42"/>
      <c r="L526" s="42"/>
      <c r="M526" s="42"/>
      <c r="N526" s="42"/>
      <c r="O526" s="42"/>
      <c r="P526" s="42"/>
      <c r="Q526" s="42"/>
      <c r="R526" s="16"/>
      <c r="S526" s="16"/>
      <c r="T526" s="42"/>
      <c r="U526" s="42"/>
      <c r="V526" s="42"/>
      <c r="W526" s="42"/>
      <c r="X526" s="42"/>
      <c r="Y526" s="42"/>
    </row>
    <row r="527" spans="2:25" s="17" customFormat="1" x14ac:dyDescent="0.25">
      <c r="B527" s="15"/>
      <c r="C527" s="15"/>
      <c r="F527" s="16"/>
      <c r="G527" s="18"/>
      <c r="H527" s="16"/>
      <c r="J527" s="42"/>
      <c r="K527" s="42"/>
      <c r="L527" s="42"/>
      <c r="M527" s="42"/>
      <c r="N527" s="42"/>
      <c r="O527" s="42"/>
      <c r="P527" s="42"/>
      <c r="Q527" s="42"/>
      <c r="R527" s="16"/>
      <c r="S527" s="16"/>
      <c r="T527" s="42"/>
      <c r="U527" s="42"/>
      <c r="V527" s="42"/>
      <c r="W527" s="42"/>
      <c r="X527" s="42"/>
      <c r="Y527" s="42"/>
    </row>
    <row r="528" spans="2:25" s="17" customFormat="1" x14ac:dyDescent="0.25">
      <c r="B528" s="15"/>
      <c r="C528" s="15"/>
      <c r="F528" s="16"/>
      <c r="G528" s="18"/>
      <c r="H528" s="16"/>
      <c r="J528" s="42"/>
      <c r="K528" s="42"/>
      <c r="L528" s="42"/>
      <c r="M528" s="42"/>
      <c r="N528" s="42"/>
      <c r="O528" s="42"/>
      <c r="P528" s="42"/>
      <c r="Q528" s="42"/>
      <c r="R528" s="16"/>
      <c r="S528" s="16"/>
      <c r="T528" s="42"/>
      <c r="U528" s="42"/>
      <c r="V528" s="42"/>
      <c r="W528" s="42"/>
      <c r="X528" s="42"/>
      <c r="Y528" s="42"/>
    </row>
    <row r="529" spans="2:25" s="17" customFormat="1" x14ac:dyDescent="0.25">
      <c r="B529" s="15"/>
      <c r="C529" s="15"/>
      <c r="F529" s="16"/>
      <c r="G529" s="18"/>
      <c r="H529" s="16"/>
      <c r="J529" s="42"/>
      <c r="K529" s="42"/>
      <c r="L529" s="42"/>
      <c r="M529" s="42"/>
      <c r="N529" s="42"/>
      <c r="O529" s="42"/>
      <c r="P529" s="42"/>
      <c r="Q529" s="42"/>
      <c r="R529" s="16"/>
      <c r="S529" s="16"/>
      <c r="T529" s="42"/>
      <c r="U529" s="42"/>
      <c r="V529" s="42"/>
      <c r="W529" s="42"/>
      <c r="X529" s="42"/>
      <c r="Y529" s="42"/>
    </row>
    <row r="530" spans="2:25" s="17" customFormat="1" x14ac:dyDescent="0.25">
      <c r="B530" s="15"/>
      <c r="C530" s="15"/>
      <c r="F530" s="16"/>
      <c r="G530" s="18"/>
      <c r="H530" s="16"/>
      <c r="J530" s="42"/>
      <c r="K530" s="42"/>
      <c r="L530" s="42"/>
      <c r="M530" s="42"/>
      <c r="N530" s="42"/>
      <c r="O530" s="42"/>
      <c r="P530" s="42"/>
      <c r="Q530" s="42"/>
      <c r="R530" s="16"/>
      <c r="S530" s="16"/>
      <c r="T530" s="42"/>
      <c r="U530" s="42"/>
      <c r="V530" s="42"/>
      <c r="W530" s="42"/>
      <c r="X530" s="42"/>
      <c r="Y530" s="42"/>
    </row>
    <row r="531" spans="2:25" s="17" customFormat="1" x14ac:dyDescent="0.25">
      <c r="B531" s="15"/>
      <c r="C531" s="15"/>
      <c r="F531" s="16"/>
      <c r="G531" s="18"/>
      <c r="H531" s="16"/>
      <c r="J531" s="42"/>
      <c r="K531" s="42"/>
      <c r="L531" s="42"/>
      <c r="M531" s="42"/>
      <c r="N531" s="42"/>
      <c r="O531" s="42"/>
      <c r="P531" s="42"/>
      <c r="Q531" s="42"/>
      <c r="R531" s="16"/>
      <c r="S531" s="16"/>
      <c r="T531" s="42"/>
      <c r="U531" s="42"/>
      <c r="V531" s="42"/>
      <c r="W531" s="42"/>
      <c r="X531" s="42"/>
      <c r="Y531" s="42"/>
    </row>
    <row r="532" spans="2:25" s="17" customFormat="1" x14ac:dyDescent="0.25">
      <c r="B532" s="15"/>
      <c r="C532" s="15"/>
      <c r="F532" s="16"/>
      <c r="G532" s="18"/>
      <c r="H532" s="16"/>
      <c r="J532" s="42"/>
      <c r="K532" s="42"/>
      <c r="L532" s="42"/>
      <c r="M532" s="42"/>
      <c r="N532" s="42"/>
      <c r="O532" s="42"/>
      <c r="P532" s="42"/>
      <c r="Q532" s="42"/>
      <c r="R532" s="16"/>
      <c r="S532" s="16"/>
      <c r="T532" s="42"/>
      <c r="U532" s="42"/>
      <c r="V532" s="42"/>
      <c r="W532" s="42"/>
      <c r="X532" s="42"/>
      <c r="Y532" s="42"/>
    </row>
    <row r="533" spans="2:25" s="17" customFormat="1" x14ac:dyDescent="0.25">
      <c r="B533" s="15"/>
      <c r="C533" s="15"/>
      <c r="F533" s="16"/>
      <c r="G533" s="18"/>
      <c r="H533" s="16"/>
      <c r="J533" s="42"/>
      <c r="K533" s="42"/>
      <c r="L533" s="42"/>
      <c r="M533" s="42"/>
      <c r="N533" s="42"/>
      <c r="O533" s="42"/>
      <c r="P533" s="42"/>
      <c r="Q533" s="42"/>
      <c r="R533" s="16"/>
      <c r="S533" s="16"/>
      <c r="T533" s="42"/>
      <c r="U533" s="42"/>
      <c r="V533" s="42"/>
      <c r="W533" s="42"/>
      <c r="X533" s="42"/>
      <c r="Y533" s="42"/>
    </row>
    <row r="534" spans="2:25" s="17" customFormat="1" x14ac:dyDescent="0.25">
      <c r="B534" s="15"/>
      <c r="C534" s="15"/>
      <c r="F534" s="16"/>
      <c r="G534" s="18"/>
      <c r="H534" s="16"/>
      <c r="J534" s="42"/>
      <c r="K534" s="42"/>
      <c r="L534" s="42"/>
      <c r="M534" s="42"/>
      <c r="N534" s="42"/>
      <c r="O534" s="42"/>
      <c r="P534" s="42"/>
      <c r="Q534" s="42"/>
      <c r="R534" s="16"/>
      <c r="S534" s="16"/>
      <c r="T534" s="42"/>
      <c r="U534" s="42"/>
      <c r="V534" s="42"/>
      <c r="W534" s="42"/>
      <c r="X534" s="42"/>
      <c r="Y534" s="42"/>
    </row>
    <row r="535" spans="2:25" s="17" customFormat="1" x14ac:dyDescent="0.25">
      <c r="B535" s="15"/>
      <c r="C535" s="15"/>
      <c r="F535" s="16"/>
      <c r="G535" s="18"/>
      <c r="H535" s="16"/>
      <c r="J535" s="42"/>
      <c r="K535" s="42"/>
      <c r="L535" s="42"/>
      <c r="M535" s="42"/>
      <c r="N535" s="42"/>
      <c r="O535" s="42"/>
      <c r="P535" s="42"/>
      <c r="Q535" s="42"/>
      <c r="R535" s="16"/>
      <c r="S535" s="16"/>
      <c r="T535" s="42"/>
      <c r="U535" s="42"/>
      <c r="V535" s="42"/>
      <c r="W535" s="42"/>
      <c r="X535" s="42"/>
      <c r="Y535" s="42"/>
    </row>
    <row r="536" spans="2:25" s="17" customFormat="1" x14ac:dyDescent="0.25">
      <c r="B536" s="15"/>
      <c r="C536" s="15"/>
      <c r="F536" s="16"/>
      <c r="G536" s="18"/>
      <c r="H536" s="16"/>
      <c r="J536" s="42"/>
      <c r="K536" s="42"/>
      <c r="L536" s="42"/>
      <c r="M536" s="42"/>
      <c r="N536" s="42"/>
      <c r="O536" s="42"/>
      <c r="P536" s="42"/>
      <c r="Q536" s="42"/>
      <c r="R536" s="16"/>
      <c r="S536" s="16"/>
      <c r="T536" s="42"/>
      <c r="U536" s="42"/>
      <c r="V536" s="42"/>
      <c r="W536" s="42"/>
      <c r="X536" s="42"/>
      <c r="Y536" s="42"/>
    </row>
    <row r="537" spans="2:25" s="17" customFormat="1" x14ac:dyDescent="0.25">
      <c r="B537" s="15"/>
      <c r="C537" s="15"/>
      <c r="F537" s="16"/>
      <c r="G537" s="18"/>
      <c r="H537" s="16"/>
      <c r="J537" s="42"/>
      <c r="K537" s="42"/>
      <c r="L537" s="42"/>
      <c r="M537" s="42"/>
      <c r="N537" s="42"/>
      <c r="O537" s="42"/>
      <c r="P537" s="42"/>
      <c r="Q537" s="42"/>
      <c r="R537" s="16"/>
      <c r="S537" s="16"/>
      <c r="T537" s="42"/>
      <c r="U537" s="42"/>
      <c r="V537" s="42"/>
      <c r="W537" s="42"/>
      <c r="X537" s="42"/>
      <c r="Y537" s="42"/>
    </row>
    <row r="538" spans="2:25" s="17" customFormat="1" x14ac:dyDescent="0.25">
      <c r="B538" s="15"/>
      <c r="C538" s="15"/>
      <c r="F538" s="16"/>
      <c r="G538" s="18"/>
      <c r="H538" s="16"/>
      <c r="J538" s="42"/>
      <c r="K538" s="42"/>
      <c r="L538" s="42"/>
      <c r="M538" s="42"/>
      <c r="N538" s="42"/>
      <c r="O538" s="42"/>
      <c r="P538" s="42"/>
      <c r="Q538" s="42"/>
      <c r="R538" s="16"/>
      <c r="S538" s="16"/>
      <c r="T538" s="42"/>
      <c r="U538" s="42"/>
      <c r="V538" s="42"/>
      <c r="W538" s="42"/>
      <c r="X538" s="42"/>
      <c r="Y538" s="42"/>
    </row>
    <row r="539" spans="2:25" s="17" customFormat="1" x14ac:dyDescent="0.25">
      <c r="B539" s="15"/>
      <c r="C539" s="15"/>
      <c r="F539" s="16"/>
      <c r="G539" s="18"/>
      <c r="H539" s="16"/>
      <c r="J539" s="42"/>
      <c r="K539" s="42"/>
      <c r="L539" s="42"/>
      <c r="M539" s="42"/>
      <c r="N539" s="42"/>
      <c r="O539" s="42"/>
      <c r="P539" s="42"/>
      <c r="Q539" s="42"/>
      <c r="R539" s="16"/>
      <c r="S539" s="16"/>
      <c r="T539" s="42"/>
      <c r="U539" s="42"/>
      <c r="V539" s="42"/>
      <c r="W539" s="42"/>
      <c r="X539" s="42"/>
      <c r="Y539" s="42"/>
    </row>
    <row r="540" spans="2:25" s="17" customFormat="1" x14ac:dyDescent="0.25">
      <c r="B540" s="15"/>
      <c r="C540" s="15"/>
      <c r="F540" s="16"/>
      <c r="G540" s="18"/>
      <c r="H540" s="16"/>
      <c r="J540" s="42"/>
      <c r="K540" s="42"/>
      <c r="L540" s="42"/>
      <c r="M540" s="42"/>
      <c r="N540" s="42"/>
      <c r="O540" s="42"/>
      <c r="P540" s="42"/>
      <c r="Q540" s="42"/>
      <c r="R540" s="16"/>
      <c r="S540" s="16"/>
      <c r="T540" s="42"/>
      <c r="U540" s="42"/>
      <c r="V540" s="42"/>
      <c r="W540" s="42"/>
      <c r="X540" s="42"/>
      <c r="Y540" s="42"/>
    </row>
    <row r="541" spans="2:25" s="17" customFormat="1" x14ac:dyDescent="0.25">
      <c r="B541" s="15"/>
      <c r="C541" s="15"/>
      <c r="F541" s="16"/>
      <c r="G541" s="18"/>
      <c r="H541" s="16"/>
      <c r="J541" s="42"/>
      <c r="K541" s="42"/>
      <c r="L541" s="42"/>
      <c r="M541" s="42"/>
      <c r="N541" s="42"/>
      <c r="O541" s="42"/>
      <c r="P541" s="42"/>
      <c r="Q541" s="42"/>
      <c r="R541" s="16"/>
      <c r="S541" s="16"/>
      <c r="T541" s="42"/>
      <c r="U541" s="42"/>
      <c r="V541" s="42"/>
      <c r="W541" s="42"/>
      <c r="X541" s="42"/>
      <c r="Y541" s="42"/>
    </row>
    <row r="542" spans="2:25" s="17" customFormat="1" x14ac:dyDescent="0.25">
      <c r="B542" s="15"/>
      <c r="C542" s="15"/>
      <c r="F542" s="16"/>
      <c r="G542" s="18"/>
      <c r="H542" s="16"/>
      <c r="J542" s="42"/>
      <c r="K542" s="42"/>
      <c r="L542" s="42"/>
      <c r="M542" s="42"/>
      <c r="N542" s="42"/>
      <c r="O542" s="42"/>
      <c r="P542" s="42"/>
      <c r="Q542" s="42"/>
      <c r="R542" s="16"/>
      <c r="S542" s="16"/>
      <c r="T542" s="42"/>
      <c r="U542" s="42"/>
      <c r="V542" s="42"/>
      <c r="W542" s="42"/>
      <c r="X542" s="42"/>
      <c r="Y542" s="42"/>
    </row>
    <row r="543" spans="2:25" s="17" customFormat="1" x14ac:dyDescent="0.25">
      <c r="B543" s="15"/>
      <c r="C543" s="15"/>
      <c r="F543" s="16"/>
      <c r="G543" s="18"/>
      <c r="H543" s="16"/>
      <c r="J543" s="42"/>
      <c r="K543" s="42"/>
      <c r="L543" s="42"/>
      <c r="M543" s="42"/>
      <c r="N543" s="42"/>
      <c r="O543" s="42"/>
      <c r="P543" s="42"/>
      <c r="Q543" s="42"/>
      <c r="R543" s="16"/>
      <c r="S543" s="16"/>
      <c r="T543" s="42"/>
      <c r="U543" s="42"/>
      <c r="V543" s="42"/>
      <c r="W543" s="42"/>
      <c r="X543" s="42"/>
      <c r="Y543" s="42"/>
    </row>
    <row r="544" spans="2:25" s="17" customFormat="1" x14ac:dyDescent="0.25">
      <c r="B544" s="15"/>
      <c r="C544" s="15"/>
      <c r="F544" s="16"/>
      <c r="G544" s="18"/>
      <c r="H544" s="16"/>
      <c r="J544" s="42"/>
      <c r="K544" s="42"/>
      <c r="L544" s="42"/>
      <c r="M544" s="42"/>
      <c r="N544" s="42"/>
      <c r="O544" s="42"/>
      <c r="P544" s="42"/>
      <c r="Q544" s="42"/>
      <c r="R544" s="16"/>
      <c r="S544" s="16"/>
      <c r="T544" s="42"/>
      <c r="U544" s="42"/>
      <c r="V544" s="42"/>
      <c r="W544" s="42"/>
      <c r="X544" s="42"/>
      <c r="Y544" s="42"/>
    </row>
    <row r="545" spans="2:25" s="17" customFormat="1" x14ac:dyDescent="0.25">
      <c r="B545" s="15"/>
      <c r="C545" s="15"/>
      <c r="F545" s="16"/>
      <c r="G545" s="18"/>
      <c r="H545" s="16"/>
      <c r="J545" s="42"/>
      <c r="K545" s="42"/>
      <c r="L545" s="42"/>
      <c r="M545" s="42"/>
      <c r="N545" s="42"/>
      <c r="O545" s="42"/>
      <c r="P545" s="42"/>
      <c r="Q545" s="42"/>
      <c r="R545" s="16"/>
      <c r="S545" s="16"/>
      <c r="T545" s="42"/>
      <c r="U545" s="42"/>
      <c r="V545" s="42"/>
      <c r="W545" s="42"/>
      <c r="X545" s="42"/>
      <c r="Y545" s="42"/>
    </row>
    <row r="546" spans="2:25" s="17" customFormat="1" x14ac:dyDescent="0.25">
      <c r="B546" s="15"/>
      <c r="C546" s="15"/>
      <c r="F546" s="16"/>
      <c r="G546" s="18"/>
      <c r="H546" s="16"/>
      <c r="J546" s="42"/>
      <c r="K546" s="42"/>
      <c r="L546" s="42"/>
      <c r="M546" s="42"/>
      <c r="N546" s="42"/>
      <c r="O546" s="42"/>
      <c r="P546" s="42"/>
      <c r="Q546" s="42"/>
      <c r="R546" s="16"/>
      <c r="S546" s="16"/>
      <c r="T546" s="42"/>
      <c r="U546" s="42"/>
      <c r="V546" s="42"/>
      <c r="W546" s="42"/>
      <c r="X546" s="42"/>
      <c r="Y546" s="42"/>
    </row>
    <row r="547" spans="2:25" s="17" customFormat="1" x14ac:dyDescent="0.25">
      <c r="B547" s="15"/>
      <c r="C547" s="15"/>
      <c r="F547" s="16"/>
      <c r="G547" s="18"/>
      <c r="H547" s="16"/>
      <c r="J547" s="42"/>
      <c r="K547" s="42"/>
      <c r="L547" s="42"/>
      <c r="M547" s="42"/>
      <c r="N547" s="42"/>
      <c r="O547" s="42"/>
      <c r="P547" s="42"/>
      <c r="Q547" s="42"/>
      <c r="R547" s="16"/>
      <c r="S547" s="16"/>
      <c r="T547" s="42"/>
      <c r="U547" s="42"/>
      <c r="V547" s="42"/>
      <c r="W547" s="42"/>
      <c r="X547" s="42"/>
      <c r="Y547" s="42"/>
    </row>
    <row r="548" spans="2:25" s="17" customFormat="1" x14ac:dyDescent="0.25">
      <c r="B548" s="15"/>
      <c r="C548" s="15"/>
      <c r="F548" s="16"/>
      <c r="G548" s="18"/>
      <c r="H548" s="16"/>
      <c r="J548" s="42"/>
      <c r="K548" s="42"/>
      <c r="L548" s="42"/>
      <c r="M548" s="42"/>
      <c r="N548" s="42"/>
      <c r="O548" s="42"/>
      <c r="P548" s="42"/>
      <c r="Q548" s="42"/>
      <c r="R548" s="16"/>
      <c r="S548" s="16"/>
      <c r="T548" s="42"/>
      <c r="U548" s="42"/>
      <c r="V548" s="42"/>
      <c r="W548" s="42"/>
      <c r="X548" s="42"/>
      <c r="Y548" s="42"/>
    </row>
    <row r="549" spans="2:25" s="17" customFormat="1" x14ac:dyDescent="0.25">
      <c r="B549" s="15"/>
      <c r="C549" s="15"/>
      <c r="F549" s="16"/>
      <c r="G549" s="18"/>
      <c r="H549" s="16"/>
      <c r="J549" s="42"/>
      <c r="K549" s="42"/>
      <c r="L549" s="42"/>
      <c r="M549" s="42"/>
      <c r="N549" s="42"/>
      <c r="O549" s="42"/>
      <c r="P549" s="42"/>
      <c r="Q549" s="42"/>
      <c r="R549" s="16"/>
      <c r="S549" s="16"/>
      <c r="T549" s="42"/>
      <c r="U549" s="42"/>
      <c r="V549" s="42"/>
      <c r="W549" s="42"/>
      <c r="X549" s="42"/>
      <c r="Y549" s="42"/>
    </row>
    <row r="550" spans="2:25" s="17" customFormat="1" x14ac:dyDescent="0.25">
      <c r="B550" s="15"/>
      <c r="C550" s="15"/>
      <c r="F550" s="16"/>
      <c r="G550" s="18"/>
      <c r="H550" s="16"/>
      <c r="J550" s="42"/>
      <c r="K550" s="42"/>
      <c r="L550" s="42"/>
      <c r="M550" s="42"/>
      <c r="N550" s="42"/>
      <c r="O550" s="42"/>
      <c r="P550" s="42"/>
      <c r="Q550" s="42"/>
      <c r="R550" s="16"/>
      <c r="S550" s="16"/>
      <c r="T550" s="42"/>
      <c r="U550" s="42"/>
      <c r="V550" s="42"/>
      <c r="W550" s="42"/>
      <c r="X550" s="42"/>
      <c r="Y550" s="42"/>
    </row>
    <row r="551" spans="2:25" s="17" customFormat="1" x14ac:dyDescent="0.25">
      <c r="B551" s="15"/>
      <c r="C551" s="15"/>
      <c r="F551" s="16"/>
      <c r="G551" s="18"/>
      <c r="H551" s="16"/>
      <c r="J551" s="42"/>
      <c r="K551" s="42"/>
      <c r="L551" s="42"/>
      <c r="M551" s="42"/>
      <c r="N551" s="42"/>
      <c r="O551" s="42"/>
      <c r="P551" s="42"/>
      <c r="Q551" s="42"/>
      <c r="R551" s="16"/>
      <c r="S551" s="16"/>
      <c r="T551" s="42"/>
      <c r="U551" s="42"/>
      <c r="V551" s="42"/>
      <c r="W551" s="42"/>
      <c r="X551" s="42"/>
      <c r="Y551" s="42"/>
    </row>
    <row r="552" spans="2:25" s="17" customFormat="1" x14ac:dyDescent="0.25">
      <c r="B552" s="15"/>
      <c r="C552" s="15"/>
      <c r="F552" s="16"/>
      <c r="G552" s="18"/>
      <c r="H552" s="16"/>
      <c r="J552" s="42"/>
      <c r="K552" s="42"/>
      <c r="L552" s="42"/>
      <c r="M552" s="42"/>
      <c r="N552" s="42"/>
      <c r="O552" s="42"/>
      <c r="P552" s="42"/>
      <c r="Q552" s="42"/>
      <c r="R552" s="16"/>
      <c r="S552" s="16"/>
      <c r="T552" s="42"/>
      <c r="U552" s="42"/>
      <c r="V552" s="42"/>
      <c r="W552" s="42"/>
      <c r="X552" s="42"/>
      <c r="Y552" s="42"/>
    </row>
    <row r="553" spans="2:25" s="17" customFormat="1" x14ac:dyDescent="0.25">
      <c r="B553" s="15"/>
      <c r="C553" s="15"/>
      <c r="F553" s="16"/>
      <c r="G553" s="18"/>
      <c r="H553" s="16"/>
      <c r="J553" s="42"/>
      <c r="K553" s="42"/>
      <c r="L553" s="42"/>
      <c r="M553" s="42"/>
      <c r="N553" s="42"/>
      <c r="O553" s="42"/>
      <c r="P553" s="42"/>
      <c r="Q553" s="42"/>
      <c r="R553" s="16"/>
      <c r="S553" s="16"/>
      <c r="T553" s="42"/>
      <c r="U553" s="42"/>
      <c r="V553" s="42"/>
      <c r="W553" s="42"/>
      <c r="X553" s="42"/>
      <c r="Y553" s="42"/>
    </row>
    <row r="554" spans="2:25" s="17" customFormat="1" x14ac:dyDescent="0.25">
      <c r="B554" s="15"/>
      <c r="C554" s="15"/>
      <c r="F554" s="16"/>
      <c r="G554" s="18"/>
      <c r="H554" s="16"/>
      <c r="J554" s="42"/>
      <c r="K554" s="42"/>
      <c r="L554" s="42"/>
      <c r="M554" s="42"/>
      <c r="N554" s="42"/>
      <c r="O554" s="42"/>
      <c r="P554" s="42"/>
      <c r="Q554" s="42"/>
      <c r="R554" s="16"/>
      <c r="S554" s="16"/>
      <c r="T554" s="42"/>
      <c r="U554" s="42"/>
      <c r="V554" s="42"/>
      <c r="W554" s="42"/>
      <c r="X554" s="42"/>
      <c r="Y554" s="42"/>
    </row>
    <row r="555" spans="2:25" s="17" customFormat="1" x14ac:dyDescent="0.25">
      <c r="B555" s="15"/>
      <c r="C555" s="15"/>
      <c r="F555" s="16"/>
      <c r="G555" s="18"/>
      <c r="H555" s="16"/>
      <c r="J555" s="42"/>
      <c r="K555" s="42"/>
      <c r="L555" s="42"/>
      <c r="M555" s="42"/>
      <c r="N555" s="42"/>
      <c r="O555" s="42"/>
      <c r="P555" s="42"/>
      <c r="Q555" s="42"/>
      <c r="R555" s="16"/>
      <c r="S555" s="16"/>
      <c r="T555" s="42"/>
      <c r="U555" s="42"/>
      <c r="V555" s="42"/>
      <c r="W555" s="42"/>
      <c r="X555" s="42"/>
      <c r="Y555" s="42"/>
    </row>
    <row r="556" spans="2:25" s="17" customFormat="1" x14ac:dyDescent="0.25">
      <c r="B556" s="15"/>
      <c r="C556" s="15"/>
      <c r="F556" s="16"/>
      <c r="G556" s="18"/>
      <c r="H556" s="16"/>
      <c r="J556" s="42"/>
      <c r="K556" s="42"/>
      <c r="L556" s="42"/>
      <c r="M556" s="42"/>
      <c r="N556" s="42"/>
      <c r="O556" s="42"/>
      <c r="P556" s="42"/>
      <c r="Q556" s="42"/>
      <c r="R556" s="16"/>
      <c r="S556" s="16"/>
      <c r="T556" s="42"/>
      <c r="U556" s="42"/>
      <c r="V556" s="42"/>
      <c r="W556" s="42"/>
      <c r="X556" s="42"/>
      <c r="Y556" s="42"/>
    </row>
    <row r="557" spans="2:25" s="17" customFormat="1" x14ac:dyDescent="0.25">
      <c r="B557" s="15"/>
      <c r="C557" s="15"/>
      <c r="F557" s="16"/>
      <c r="G557" s="18"/>
      <c r="H557" s="16"/>
      <c r="J557" s="42"/>
      <c r="K557" s="42"/>
      <c r="L557" s="42"/>
      <c r="M557" s="42"/>
      <c r="N557" s="42"/>
      <c r="O557" s="42"/>
      <c r="P557" s="42"/>
      <c r="Q557" s="42"/>
      <c r="R557" s="16"/>
      <c r="S557" s="16"/>
      <c r="T557" s="42"/>
      <c r="U557" s="42"/>
      <c r="V557" s="42"/>
      <c r="W557" s="42"/>
      <c r="X557" s="42"/>
      <c r="Y557" s="42"/>
    </row>
    <row r="558" spans="2:25" s="17" customFormat="1" x14ac:dyDescent="0.25">
      <c r="B558" s="15"/>
      <c r="C558" s="15"/>
      <c r="F558" s="16"/>
      <c r="G558" s="18"/>
      <c r="H558" s="16"/>
      <c r="J558" s="42"/>
      <c r="K558" s="42"/>
      <c r="L558" s="42"/>
      <c r="M558" s="42"/>
      <c r="N558" s="42"/>
      <c r="O558" s="42"/>
      <c r="P558" s="42"/>
      <c r="Q558" s="42"/>
      <c r="R558" s="16"/>
      <c r="S558" s="16"/>
      <c r="T558" s="42"/>
      <c r="U558" s="42"/>
      <c r="V558" s="42"/>
      <c r="W558" s="42"/>
      <c r="X558" s="42"/>
      <c r="Y558" s="42"/>
    </row>
    <row r="559" spans="2:25" s="17" customFormat="1" x14ac:dyDescent="0.25">
      <c r="B559" s="15"/>
      <c r="C559" s="15"/>
      <c r="F559" s="16"/>
      <c r="G559" s="18"/>
      <c r="H559" s="16"/>
      <c r="J559" s="42"/>
      <c r="K559" s="42"/>
      <c r="L559" s="42"/>
      <c r="M559" s="42"/>
      <c r="N559" s="42"/>
      <c r="O559" s="42"/>
      <c r="P559" s="42"/>
      <c r="Q559" s="42"/>
      <c r="R559" s="16"/>
      <c r="S559" s="16"/>
      <c r="T559" s="42"/>
      <c r="U559" s="42"/>
      <c r="V559" s="42"/>
      <c r="W559" s="42"/>
      <c r="X559" s="42"/>
      <c r="Y559" s="42"/>
    </row>
    <row r="560" spans="2:25" s="17" customFormat="1" x14ac:dyDescent="0.25">
      <c r="B560" s="15"/>
      <c r="C560" s="15"/>
      <c r="F560" s="16"/>
      <c r="G560" s="18"/>
      <c r="H560" s="16"/>
      <c r="J560" s="42"/>
      <c r="K560" s="42"/>
      <c r="L560" s="42"/>
      <c r="M560" s="42"/>
      <c r="N560" s="42"/>
      <c r="O560" s="42"/>
      <c r="P560" s="42"/>
      <c r="Q560" s="42"/>
      <c r="R560" s="16"/>
      <c r="S560" s="16"/>
      <c r="T560" s="42"/>
      <c r="U560" s="42"/>
      <c r="V560" s="42"/>
      <c r="W560" s="42"/>
      <c r="X560" s="42"/>
      <c r="Y560" s="42"/>
    </row>
    <row r="561" spans="2:25" s="17" customFormat="1" x14ac:dyDescent="0.25">
      <c r="B561" s="15"/>
      <c r="C561" s="15"/>
      <c r="F561" s="16"/>
      <c r="G561" s="18"/>
      <c r="H561" s="16"/>
      <c r="J561" s="42"/>
      <c r="K561" s="42"/>
      <c r="L561" s="42"/>
      <c r="M561" s="42"/>
      <c r="N561" s="42"/>
      <c r="O561" s="42"/>
      <c r="P561" s="42"/>
      <c r="Q561" s="42"/>
      <c r="R561" s="16"/>
      <c r="S561" s="16"/>
      <c r="T561" s="42"/>
      <c r="U561" s="42"/>
      <c r="V561" s="42"/>
      <c r="W561" s="42"/>
      <c r="X561" s="42"/>
      <c r="Y561" s="42"/>
    </row>
    <row r="562" spans="2:25" s="17" customFormat="1" x14ac:dyDescent="0.25">
      <c r="B562" s="15"/>
      <c r="C562" s="15"/>
      <c r="F562" s="16"/>
      <c r="G562" s="18"/>
      <c r="H562" s="16"/>
      <c r="J562" s="42"/>
      <c r="K562" s="42"/>
      <c r="L562" s="42"/>
      <c r="M562" s="42"/>
      <c r="N562" s="42"/>
      <c r="O562" s="42"/>
      <c r="P562" s="42"/>
      <c r="Q562" s="42"/>
      <c r="R562" s="16"/>
      <c r="S562" s="16"/>
      <c r="T562" s="42"/>
      <c r="U562" s="42"/>
      <c r="V562" s="42"/>
      <c r="W562" s="42"/>
      <c r="X562" s="42"/>
      <c r="Y562" s="42"/>
    </row>
    <row r="563" spans="2:25" s="17" customFormat="1" x14ac:dyDescent="0.25">
      <c r="B563" s="15"/>
      <c r="C563" s="15"/>
      <c r="F563" s="16"/>
      <c r="G563" s="18"/>
      <c r="H563" s="16"/>
      <c r="J563" s="42"/>
      <c r="K563" s="42"/>
      <c r="L563" s="42"/>
      <c r="M563" s="42"/>
      <c r="N563" s="42"/>
      <c r="O563" s="42"/>
      <c r="P563" s="42"/>
      <c r="Q563" s="42"/>
      <c r="R563" s="16"/>
      <c r="S563" s="16"/>
      <c r="T563" s="42"/>
      <c r="U563" s="42"/>
      <c r="V563" s="42"/>
      <c r="W563" s="42"/>
      <c r="X563" s="42"/>
      <c r="Y563" s="42"/>
    </row>
    <row r="564" spans="2:25" s="17" customFormat="1" x14ac:dyDescent="0.25">
      <c r="B564" s="15"/>
      <c r="C564" s="15"/>
      <c r="F564" s="16"/>
      <c r="G564" s="18"/>
      <c r="H564" s="16"/>
      <c r="J564" s="42"/>
      <c r="K564" s="42"/>
      <c r="L564" s="42"/>
      <c r="M564" s="42"/>
      <c r="N564" s="42"/>
      <c r="O564" s="42"/>
      <c r="P564" s="42"/>
      <c r="Q564" s="42"/>
      <c r="R564" s="16"/>
      <c r="S564" s="16"/>
      <c r="T564" s="42"/>
      <c r="U564" s="42"/>
      <c r="V564" s="42"/>
      <c r="W564" s="42"/>
      <c r="X564" s="42"/>
      <c r="Y564" s="42"/>
    </row>
    <row r="565" spans="2:25" s="17" customFormat="1" x14ac:dyDescent="0.25">
      <c r="B565" s="15"/>
      <c r="C565" s="15"/>
      <c r="F565" s="16"/>
      <c r="G565" s="18"/>
      <c r="H565" s="16"/>
      <c r="J565" s="42"/>
      <c r="K565" s="42"/>
      <c r="L565" s="42"/>
      <c r="M565" s="42"/>
      <c r="N565" s="42"/>
      <c r="O565" s="42"/>
      <c r="P565" s="42"/>
      <c r="Q565" s="42"/>
      <c r="R565" s="16"/>
      <c r="S565" s="16"/>
      <c r="T565" s="42"/>
      <c r="U565" s="42"/>
      <c r="V565" s="42"/>
      <c r="W565" s="42"/>
      <c r="X565" s="42"/>
      <c r="Y565" s="42"/>
    </row>
    <row r="566" spans="2:25" s="17" customFormat="1" x14ac:dyDescent="0.25">
      <c r="B566" s="15"/>
      <c r="C566" s="15"/>
      <c r="F566" s="16"/>
      <c r="G566" s="18"/>
      <c r="H566" s="16"/>
      <c r="J566" s="42"/>
      <c r="K566" s="42"/>
      <c r="L566" s="42"/>
      <c r="M566" s="42"/>
      <c r="N566" s="42"/>
      <c r="O566" s="42"/>
      <c r="P566" s="42"/>
      <c r="Q566" s="42"/>
      <c r="R566" s="16"/>
      <c r="S566" s="16"/>
      <c r="T566" s="42"/>
      <c r="U566" s="42"/>
      <c r="V566" s="42"/>
      <c r="W566" s="42"/>
      <c r="X566" s="42"/>
      <c r="Y566" s="42"/>
    </row>
    <row r="567" spans="2:25" s="17" customFormat="1" x14ac:dyDescent="0.25">
      <c r="B567" s="15"/>
      <c r="C567" s="15"/>
      <c r="F567" s="16"/>
      <c r="G567" s="18"/>
      <c r="H567" s="16"/>
      <c r="J567" s="42"/>
      <c r="K567" s="42"/>
      <c r="L567" s="42"/>
      <c r="M567" s="42"/>
      <c r="N567" s="42"/>
      <c r="O567" s="42"/>
      <c r="P567" s="42"/>
      <c r="Q567" s="42"/>
      <c r="R567" s="16"/>
      <c r="S567" s="16"/>
      <c r="T567" s="42"/>
      <c r="U567" s="42"/>
      <c r="V567" s="42"/>
      <c r="W567" s="42"/>
      <c r="X567" s="42"/>
      <c r="Y567" s="42"/>
    </row>
    <row r="568" spans="2:25" s="17" customFormat="1" x14ac:dyDescent="0.25">
      <c r="B568" s="15"/>
      <c r="C568" s="15"/>
      <c r="F568" s="16"/>
      <c r="G568" s="18"/>
      <c r="H568" s="16"/>
      <c r="J568" s="42"/>
      <c r="K568" s="42"/>
      <c r="L568" s="42"/>
      <c r="M568" s="42"/>
      <c r="N568" s="42"/>
      <c r="O568" s="42"/>
      <c r="P568" s="42"/>
      <c r="Q568" s="42"/>
      <c r="R568" s="16"/>
      <c r="S568" s="16"/>
      <c r="T568" s="42"/>
      <c r="U568" s="42"/>
      <c r="V568" s="42"/>
      <c r="W568" s="42"/>
      <c r="X568" s="42"/>
      <c r="Y568" s="42"/>
    </row>
    <row r="569" spans="2:25" s="17" customFormat="1" x14ac:dyDescent="0.25">
      <c r="B569" s="15"/>
      <c r="C569" s="15"/>
      <c r="F569" s="16"/>
      <c r="G569" s="18"/>
      <c r="H569" s="16"/>
      <c r="J569" s="42"/>
      <c r="K569" s="42"/>
      <c r="L569" s="42"/>
      <c r="M569" s="42"/>
      <c r="N569" s="42"/>
      <c r="O569" s="42"/>
      <c r="P569" s="42"/>
      <c r="Q569" s="42"/>
      <c r="R569" s="16"/>
      <c r="S569" s="16"/>
      <c r="T569" s="42"/>
      <c r="U569" s="42"/>
      <c r="V569" s="42"/>
      <c r="W569" s="42"/>
      <c r="X569" s="42"/>
      <c r="Y569" s="42"/>
    </row>
    <row r="570" spans="2:25" s="17" customFormat="1" x14ac:dyDescent="0.25">
      <c r="B570" s="15"/>
      <c r="C570" s="15"/>
      <c r="F570" s="16"/>
      <c r="G570" s="18"/>
      <c r="H570" s="16"/>
      <c r="J570" s="42"/>
      <c r="K570" s="42"/>
      <c r="L570" s="42"/>
      <c r="M570" s="42"/>
      <c r="N570" s="42"/>
      <c r="O570" s="42"/>
      <c r="P570" s="42"/>
      <c r="Q570" s="42"/>
      <c r="R570" s="16"/>
      <c r="S570" s="16"/>
      <c r="T570" s="42"/>
      <c r="U570" s="42"/>
      <c r="V570" s="42"/>
      <c r="W570" s="42"/>
      <c r="X570" s="42"/>
      <c r="Y570" s="42"/>
    </row>
    <row r="571" spans="2:25" s="17" customFormat="1" x14ac:dyDescent="0.25">
      <c r="B571" s="15"/>
      <c r="C571" s="15"/>
      <c r="F571" s="16"/>
      <c r="G571" s="18"/>
      <c r="H571" s="16"/>
      <c r="J571" s="42"/>
      <c r="K571" s="42"/>
      <c r="L571" s="42"/>
      <c r="M571" s="42"/>
      <c r="N571" s="42"/>
      <c r="O571" s="42"/>
      <c r="P571" s="42"/>
      <c r="Q571" s="42"/>
      <c r="R571" s="16"/>
      <c r="S571" s="16"/>
      <c r="T571" s="42"/>
      <c r="U571" s="42"/>
      <c r="V571" s="42"/>
      <c r="W571" s="42"/>
      <c r="X571" s="42"/>
      <c r="Y571" s="42"/>
    </row>
    <row r="572" spans="2:25" s="17" customFormat="1" x14ac:dyDescent="0.25">
      <c r="B572" s="15"/>
      <c r="C572" s="15"/>
      <c r="F572" s="16"/>
      <c r="G572" s="18"/>
      <c r="H572" s="16"/>
      <c r="J572" s="42"/>
      <c r="K572" s="42"/>
      <c r="L572" s="42"/>
      <c r="M572" s="42"/>
      <c r="N572" s="42"/>
      <c r="O572" s="42"/>
      <c r="P572" s="42"/>
      <c r="Q572" s="42"/>
      <c r="R572" s="16"/>
      <c r="S572" s="16"/>
      <c r="T572" s="42"/>
      <c r="U572" s="42"/>
      <c r="V572" s="42"/>
      <c r="W572" s="42"/>
      <c r="X572" s="42"/>
      <c r="Y572" s="42"/>
    </row>
    <row r="573" spans="2:25" s="17" customFormat="1" x14ac:dyDescent="0.25">
      <c r="B573" s="15"/>
      <c r="C573" s="15"/>
      <c r="F573" s="16"/>
      <c r="G573" s="18"/>
      <c r="H573" s="16"/>
      <c r="J573" s="42"/>
      <c r="K573" s="42"/>
      <c r="L573" s="42"/>
      <c r="M573" s="42"/>
      <c r="N573" s="42"/>
      <c r="O573" s="42"/>
      <c r="P573" s="42"/>
      <c r="Q573" s="42"/>
      <c r="R573" s="16"/>
      <c r="S573" s="16"/>
      <c r="T573" s="42"/>
      <c r="U573" s="42"/>
      <c r="V573" s="42"/>
      <c r="W573" s="42"/>
      <c r="X573" s="42"/>
      <c r="Y573" s="42"/>
    </row>
    <row r="574" spans="2:25" s="17" customFormat="1" x14ac:dyDescent="0.25">
      <c r="B574" s="15"/>
      <c r="C574" s="15"/>
      <c r="F574" s="16"/>
      <c r="G574" s="18"/>
      <c r="H574" s="16"/>
      <c r="J574" s="42"/>
      <c r="K574" s="42"/>
      <c r="L574" s="42"/>
      <c r="M574" s="42"/>
      <c r="N574" s="42"/>
      <c r="O574" s="42"/>
      <c r="P574" s="42"/>
      <c r="Q574" s="42"/>
      <c r="R574" s="16"/>
      <c r="S574" s="16"/>
      <c r="T574" s="42"/>
      <c r="U574" s="42"/>
      <c r="V574" s="42"/>
      <c r="W574" s="42"/>
      <c r="X574" s="42"/>
      <c r="Y574" s="42"/>
    </row>
    <row r="575" spans="2:25" s="17" customFormat="1" x14ac:dyDescent="0.25">
      <c r="B575" s="15"/>
      <c r="C575" s="15"/>
      <c r="F575" s="16"/>
      <c r="G575" s="18"/>
      <c r="H575" s="16"/>
      <c r="J575" s="42"/>
      <c r="K575" s="42"/>
      <c r="L575" s="42"/>
      <c r="M575" s="42"/>
      <c r="N575" s="42"/>
      <c r="O575" s="42"/>
      <c r="P575" s="42"/>
      <c r="Q575" s="42"/>
      <c r="R575" s="16"/>
      <c r="S575" s="16"/>
      <c r="T575" s="42"/>
      <c r="U575" s="42"/>
      <c r="V575" s="42"/>
      <c r="W575" s="42"/>
      <c r="X575" s="42"/>
      <c r="Y575" s="42"/>
    </row>
    <row r="576" spans="2:25" s="17" customFormat="1" x14ac:dyDescent="0.25">
      <c r="B576" s="15"/>
      <c r="C576" s="15"/>
      <c r="F576" s="16"/>
      <c r="G576" s="18"/>
      <c r="H576" s="16"/>
      <c r="J576" s="42"/>
      <c r="K576" s="42"/>
      <c r="L576" s="42"/>
      <c r="M576" s="42"/>
      <c r="N576" s="42"/>
      <c r="O576" s="42"/>
      <c r="P576" s="42"/>
      <c r="Q576" s="42"/>
      <c r="R576" s="16"/>
      <c r="S576" s="16"/>
      <c r="T576" s="42"/>
      <c r="U576" s="42"/>
      <c r="V576" s="42"/>
      <c r="W576" s="42"/>
      <c r="X576" s="42"/>
      <c r="Y576" s="42"/>
    </row>
    <row r="577" spans="2:25" s="17" customFormat="1" x14ac:dyDescent="0.25">
      <c r="B577" s="15"/>
      <c r="C577" s="15"/>
      <c r="F577" s="16"/>
      <c r="G577" s="18"/>
      <c r="H577" s="16"/>
      <c r="J577" s="42"/>
      <c r="K577" s="42"/>
      <c r="L577" s="42"/>
      <c r="M577" s="42"/>
      <c r="N577" s="42"/>
      <c r="O577" s="42"/>
      <c r="P577" s="42"/>
      <c r="Q577" s="42"/>
      <c r="R577" s="16"/>
      <c r="S577" s="16"/>
      <c r="T577" s="42"/>
      <c r="U577" s="42"/>
      <c r="V577" s="42"/>
      <c r="W577" s="42"/>
      <c r="X577" s="42"/>
      <c r="Y577" s="42"/>
    </row>
    <row r="578" spans="2:25" s="17" customFormat="1" x14ac:dyDescent="0.25">
      <c r="B578" s="15"/>
      <c r="C578" s="15"/>
      <c r="F578" s="16"/>
      <c r="G578" s="18"/>
      <c r="H578" s="16"/>
      <c r="J578" s="42"/>
      <c r="K578" s="42"/>
      <c r="L578" s="42"/>
      <c r="M578" s="42"/>
      <c r="N578" s="42"/>
      <c r="O578" s="42"/>
      <c r="P578" s="42"/>
      <c r="Q578" s="42"/>
      <c r="R578" s="16"/>
      <c r="S578" s="16"/>
      <c r="T578" s="42"/>
      <c r="U578" s="42"/>
      <c r="V578" s="42"/>
      <c r="W578" s="42"/>
      <c r="X578" s="42"/>
      <c r="Y578" s="42"/>
    </row>
    <row r="579" spans="2:25" s="17" customFormat="1" x14ac:dyDescent="0.25">
      <c r="B579" s="15"/>
      <c r="C579" s="15"/>
      <c r="F579" s="16"/>
      <c r="G579" s="18"/>
      <c r="H579" s="16"/>
      <c r="J579" s="42"/>
      <c r="K579" s="42"/>
      <c r="L579" s="42"/>
      <c r="M579" s="42"/>
      <c r="N579" s="42"/>
      <c r="O579" s="42"/>
      <c r="P579" s="42"/>
      <c r="Q579" s="42"/>
      <c r="R579" s="16"/>
      <c r="S579" s="16"/>
      <c r="T579" s="42"/>
      <c r="U579" s="42"/>
      <c r="V579" s="42"/>
      <c r="W579" s="42"/>
      <c r="X579" s="42"/>
      <c r="Y579" s="42"/>
    </row>
    <row r="580" spans="2:25" s="17" customFormat="1" x14ac:dyDescent="0.25">
      <c r="B580" s="15"/>
      <c r="C580" s="15"/>
      <c r="F580" s="16"/>
      <c r="G580" s="18"/>
      <c r="H580" s="16"/>
      <c r="J580" s="42"/>
      <c r="K580" s="42"/>
      <c r="L580" s="42"/>
      <c r="M580" s="42"/>
      <c r="N580" s="42"/>
      <c r="O580" s="42"/>
      <c r="P580" s="42"/>
      <c r="Q580" s="42"/>
      <c r="R580" s="16"/>
      <c r="S580" s="16"/>
      <c r="T580" s="42"/>
      <c r="U580" s="42"/>
      <c r="V580" s="42"/>
      <c r="W580" s="42"/>
      <c r="X580" s="42"/>
      <c r="Y580" s="42"/>
    </row>
    <row r="581" spans="2:25" s="17" customFormat="1" x14ac:dyDescent="0.25">
      <c r="B581" s="15"/>
      <c r="C581" s="15"/>
      <c r="F581" s="16"/>
      <c r="G581" s="18"/>
      <c r="H581" s="16"/>
      <c r="J581" s="42"/>
      <c r="K581" s="42"/>
      <c r="L581" s="42"/>
      <c r="M581" s="42"/>
      <c r="N581" s="42"/>
      <c r="O581" s="42"/>
      <c r="P581" s="42"/>
      <c r="Q581" s="42"/>
      <c r="R581" s="16"/>
      <c r="S581" s="16"/>
      <c r="T581" s="42"/>
      <c r="U581" s="42"/>
      <c r="V581" s="42"/>
      <c r="W581" s="42"/>
      <c r="X581" s="42"/>
      <c r="Y581" s="42"/>
    </row>
    <row r="582" spans="2:25" s="17" customFormat="1" x14ac:dyDescent="0.25">
      <c r="B582" s="15"/>
      <c r="C582" s="15"/>
      <c r="F582" s="16"/>
      <c r="G582" s="18"/>
      <c r="H582" s="16"/>
      <c r="J582" s="42"/>
      <c r="K582" s="42"/>
      <c r="L582" s="42"/>
      <c r="M582" s="42"/>
      <c r="N582" s="42"/>
      <c r="O582" s="42"/>
      <c r="P582" s="42"/>
      <c r="Q582" s="42"/>
      <c r="R582" s="16"/>
      <c r="S582" s="16"/>
      <c r="T582" s="42"/>
      <c r="U582" s="42"/>
      <c r="V582" s="42"/>
      <c r="W582" s="42"/>
      <c r="X582" s="42"/>
      <c r="Y582" s="42"/>
    </row>
    <row r="583" spans="2:25" s="17" customFormat="1" x14ac:dyDescent="0.25">
      <c r="B583" s="15"/>
      <c r="C583" s="15"/>
      <c r="F583" s="16"/>
      <c r="G583" s="18"/>
      <c r="H583" s="16"/>
      <c r="J583" s="42"/>
      <c r="K583" s="42"/>
      <c r="L583" s="42"/>
      <c r="M583" s="42"/>
      <c r="N583" s="42"/>
      <c r="O583" s="42"/>
      <c r="P583" s="42"/>
      <c r="Q583" s="42"/>
      <c r="R583" s="16"/>
      <c r="S583" s="16"/>
      <c r="T583" s="42"/>
      <c r="U583" s="42"/>
      <c r="V583" s="42"/>
      <c r="W583" s="42"/>
      <c r="X583" s="42"/>
      <c r="Y583" s="42"/>
    </row>
    <row r="584" spans="2:25" s="17" customFormat="1" x14ac:dyDescent="0.25">
      <c r="B584" s="15"/>
      <c r="C584" s="15"/>
      <c r="F584" s="16"/>
      <c r="G584" s="18"/>
      <c r="H584" s="16"/>
      <c r="J584" s="42"/>
      <c r="K584" s="42"/>
      <c r="L584" s="42"/>
      <c r="M584" s="42"/>
      <c r="N584" s="42"/>
      <c r="O584" s="42"/>
      <c r="P584" s="42"/>
      <c r="Q584" s="42"/>
      <c r="R584" s="16"/>
      <c r="S584" s="16"/>
      <c r="T584" s="42"/>
      <c r="U584" s="42"/>
      <c r="V584" s="42"/>
      <c r="W584" s="42"/>
      <c r="X584" s="42"/>
      <c r="Y584" s="42"/>
    </row>
    <row r="585" spans="2:25" s="17" customFormat="1" x14ac:dyDescent="0.25">
      <c r="B585" s="15"/>
      <c r="C585" s="15"/>
      <c r="F585" s="16"/>
      <c r="G585" s="18"/>
      <c r="H585" s="16"/>
      <c r="J585" s="42"/>
      <c r="K585" s="42"/>
      <c r="L585" s="42"/>
      <c r="M585" s="42"/>
      <c r="N585" s="42"/>
      <c r="O585" s="42"/>
      <c r="P585" s="42"/>
      <c r="Q585" s="42"/>
      <c r="R585" s="16"/>
      <c r="S585" s="16"/>
      <c r="T585" s="42"/>
      <c r="U585" s="42"/>
      <c r="V585" s="42"/>
      <c r="W585" s="42"/>
      <c r="X585" s="42"/>
      <c r="Y585" s="42"/>
    </row>
    <row r="586" spans="2:25" s="17" customFormat="1" x14ac:dyDescent="0.25">
      <c r="B586" s="15"/>
      <c r="C586" s="15"/>
      <c r="F586" s="16"/>
      <c r="G586" s="18"/>
      <c r="H586" s="16"/>
      <c r="J586" s="42"/>
      <c r="K586" s="42"/>
      <c r="L586" s="42"/>
      <c r="M586" s="42"/>
      <c r="N586" s="42"/>
      <c r="O586" s="42"/>
      <c r="P586" s="42"/>
      <c r="Q586" s="42"/>
      <c r="R586" s="16"/>
      <c r="S586" s="16"/>
      <c r="T586" s="42"/>
      <c r="U586" s="42"/>
      <c r="V586" s="42"/>
      <c r="W586" s="42"/>
      <c r="X586" s="42"/>
      <c r="Y586" s="42"/>
    </row>
    <row r="587" spans="2:25" s="17" customFormat="1" x14ac:dyDescent="0.25">
      <c r="B587" s="15"/>
      <c r="C587" s="15"/>
      <c r="F587" s="16"/>
      <c r="G587" s="18"/>
      <c r="H587" s="16"/>
      <c r="J587" s="42"/>
      <c r="K587" s="42"/>
      <c r="L587" s="42"/>
      <c r="M587" s="42"/>
      <c r="N587" s="42"/>
      <c r="O587" s="42"/>
      <c r="P587" s="42"/>
      <c r="Q587" s="42"/>
      <c r="R587" s="16"/>
      <c r="S587" s="16"/>
      <c r="T587" s="42"/>
      <c r="U587" s="42"/>
      <c r="V587" s="42"/>
      <c r="W587" s="42"/>
      <c r="X587" s="42"/>
      <c r="Y587" s="42"/>
    </row>
    <row r="588" spans="2:25" s="17" customFormat="1" x14ac:dyDescent="0.25">
      <c r="B588" s="15"/>
      <c r="C588" s="15"/>
      <c r="F588" s="16"/>
      <c r="G588" s="18"/>
      <c r="H588" s="16"/>
      <c r="J588" s="42"/>
      <c r="K588" s="42"/>
      <c r="L588" s="42"/>
      <c r="M588" s="42"/>
      <c r="N588" s="42"/>
      <c r="O588" s="42"/>
      <c r="P588" s="42"/>
      <c r="Q588" s="42"/>
      <c r="R588" s="16"/>
      <c r="S588" s="16"/>
      <c r="T588" s="42"/>
      <c r="U588" s="42"/>
      <c r="V588" s="42"/>
      <c r="W588" s="42"/>
      <c r="X588" s="42"/>
      <c r="Y588" s="42"/>
    </row>
    <row r="589" spans="2:25" s="17" customFormat="1" x14ac:dyDescent="0.25">
      <c r="B589" s="15"/>
      <c r="C589" s="15"/>
      <c r="F589" s="16"/>
      <c r="G589" s="18"/>
      <c r="H589" s="16"/>
      <c r="J589" s="42"/>
      <c r="K589" s="42"/>
      <c r="L589" s="42"/>
      <c r="M589" s="42"/>
      <c r="N589" s="42"/>
      <c r="O589" s="42"/>
      <c r="P589" s="42"/>
      <c r="Q589" s="42"/>
      <c r="R589" s="16"/>
      <c r="S589" s="16"/>
      <c r="T589" s="42"/>
      <c r="U589" s="42"/>
      <c r="V589" s="42"/>
      <c r="W589" s="42"/>
      <c r="X589" s="42"/>
      <c r="Y589" s="42"/>
    </row>
    <row r="590" spans="2:25" s="17" customFormat="1" x14ac:dyDescent="0.25">
      <c r="B590" s="15"/>
      <c r="C590" s="15"/>
      <c r="F590" s="16"/>
      <c r="G590" s="18"/>
      <c r="H590" s="16"/>
      <c r="J590" s="42"/>
      <c r="K590" s="42"/>
      <c r="L590" s="42"/>
      <c r="M590" s="42"/>
      <c r="N590" s="42"/>
      <c r="O590" s="42"/>
      <c r="P590" s="42"/>
      <c r="Q590" s="42"/>
      <c r="R590" s="16"/>
      <c r="S590" s="16"/>
      <c r="T590" s="42"/>
      <c r="U590" s="42"/>
      <c r="V590" s="42"/>
      <c r="W590" s="42"/>
      <c r="X590" s="42"/>
      <c r="Y590" s="42"/>
    </row>
    <row r="591" spans="2:25" s="17" customFormat="1" x14ac:dyDescent="0.25">
      <c r="B591" s="15"/>
      <c r="C591" s="15"/>
      <c r="F591" s="16"/>
      <c r="G591" s="18"/>
      <c r="H591" s="16"/>
      <c r="J591" s="42"/>
      <c r="K591" s="42"/>
      <c r="L591" s="42"/>
      <c r="M591" s="42"/>
      <c r="N591" s="42"/>
      <c r="O591" s="42"/>
      <c r="P591" s="42"/>
      <c r="Q591" s="42"/>
      <c r="R591" s="16"/>
      <c r="S591" s="16"/>
      <c r="T591" s="42"/>
      <c r="U591" s="42"/>
      <c r="V591" s="42"/>
      <c r="W591" s="42"/>
      <c r="X591" s="42"/>
      <c r="Y591" s="42"/>
    </row>
    <row r="592" spans="2:25" s="17" customFormat="1" x14ac:dyDescent="0.25">
      <c r="B592" s="15"/>
      <c r="C592" s="15"/>
      <c r="F592" s="16"/>
      <c r="G592" s="18"/>
      <c r="H592" s="16"/>
      <c r="J592" s="42"/>
      <c r="K592" s="42"/>
      <c r="L592" s="42"/>
      <c r="M592" s="42"/>
      <c r="N592" s="42"/>
      <c r="O592" s="42"/>
      <c r="P592" s="42"/>
      <c r="Q592" s="42"/>
      <c r="R592" s="16"/>
      <c r="S592" s="16"/>
      <c r="T592" s="42"/>
      <c r="U592" s="42"/>
      <c r="V592" s="42"/>
      <c r="W592" s="42"/>
      <c r="X592" s="42"/>
      <c r="Y592" s="42"/>
    </row>
    <row r="593" spans="2:25" s="17" customFormat="1" x14ac:dyDescent="0.25">
      <c r="B593" s="15"/>
      <c r="C593" s="15"/>
      <c r="F593" s="16"/>
      <c r="G593" s="18"/>
      <c r="H593" s="16"/>
      <c r="J593" s="42"/>
      <c r="K593" s="42"/>
      <c r="L593" s="42"/>
      <c r="M593" s="42"/>
      <c r="N593" s="42"/>
      <c r="O593" s="42"/>
      <c r="P593" s="42"/>
      <c r="Q593" s="42"/>
      <c r="R593" s="16"/>
      <c r="S593" s="16"/>
      <c r="T593" s="42"/>
      <c r="U593" s="42"/>
      <c r="V593" s="42"/>
      <c r="W593" s="42"/>
      <c r="X593" s="42"/>
      <c r="Y593" s="42"/>
    </row>
    <row r="594" spans="2:25" s="17" customFormat="1" x14ac:dyDescent="0.25">
      <c r="B594" s="15"/>
      <c r="C594" s="15"/>
      <c r="F594" s="16"/>
      <c r="G594" s="18"/>
      <c r="H594" s="16"/>
      <c r="J594" s="42"/>
      <c r="K594" s="42"/>
      <c r="L594" s="42"/>
      <c r="M594" s="42"/>
      <c r="N594" s="42"/>
      <c r="O594" s="42"/>
      <c r="P594" s="42"/>
      <c r="Q594" s="42"/>
      <c r="R594" s="16"/>
      <c r="S594" s="16"/>
      <c r="T594" s="42"/>
      <c r="U594" s="42"/>
      <c r="V594" s="42"/>
      <c r="W594" s="42"/>
      <c r="X594" s="42"/>
      <c r="Y594" s="42"/>
    </row>
    <row r="595" spans="2:25" s="17" customFormat="1" x14ac:dyDescent="0.25">
      <c r="B595" s="15"/>
      <c r="C595" s="15"/>
      <c r="F595" s="16"/>
      <c r="G595" s="18"/>
      <c r="H595" s="16"/>
      <c r="J595" s="42"/>
      <c r="K595" s="42"/>
      <c r="L595" s="42"/>
      <c r="M595" s="42"/>
      <c r="N595" s="42"/>
      <c r="O595" s="42"/>
      <c r="P595" s="42"/>
      <c r="Q595" s="42"/>
      <c r="R595" s="16"/>
      <c r="S595" s="16"/>
      <c r="T595" s="42"/>
      <c r="U595" s="42"/>
      <c r="V595" s="42"/>
      <c r="W595" s="42"/>
      <c r="X595" s="42"/>
      <c r="Y595" s="42"/>
    </row>
    <row r="596" spans="2:25" s="17" customFormat="1" x14ac:dyDescent="0.25">
      <c r="B596" s="15"/>
      <c r="C596" s="15"/>
      <c r="F596" s="16"/>
      <c r="G596" s="18"/>
      <c r="H596" s="16"/>
      <c r="J596" s="42"/>
      <c r="K596" s="42"/>
      <c r="L596" s="42"/>
      <c r="M596" s="42"/>
      <c r="N596" s="42"/>
      <c r="O596" s="42"/>
      <c r="P596" s="42"/>
      <c r="Q596" s="42"/>
      <c r="R596" s="16"/>
      <c r="S596" s="16"/>
      <c r="T596" s="42"/>
      <c r="U596" s="42"/>
      <c r="V596" s="42"/>
      <c r="W596" s="42"/>
      <c r="X596" s="42"/>
      <c r="Y596" s="42"/>
    </row>
    <row r="597" spans="2:25" s="17" customFormat="1" x14ac:dyDescent="0.25">
      <c r="B597" s="15"/>
      <c r="C597" s="15"/>
      <c r="F597" s="16"/>
      <c r="G597" s="18"/>
      <c r="H597" s="16"/>
      <c r="J597" s="42"/>
      <c r="K597" s="42"/>
      <c r="L597" s="42"/>
      <c r="M597" s="42"/>
      <c r="N597" s="42"/>
      <c r="O597" s="42"/>
      <c r="P597" s="42"/>
      <c r="Q597" s="42"/>
      <c r="R597" s="16"/>
      <c r="S597" s="16"/>
      <c r="T597" s="42"/>
      <c r="U597" s="42"/>
      <c r="V597" s="42"/>
      <c r="W597" s="42"/>
      <c r="X597" s="42"/>
      <c r="Y597" s="42"/>
    </row>
    <row r="598" spans="2:25" s="17" customFormat="1" x14ac:dyDescent="0.25">
      <c r="B598" s="15"/>
      <c r="C598" s="15"/>
      <c r="F598" s="16"/>
      <c r="G598" s="18"/>
      <c r="H598" s="16"/>
      <c r="J598" s="42"/>
      <c r="K598" s="42"/>
      <c r="L598" s="42"/>
      <c r="M598" s="42"/>
      <c r="N598" s="42"/>
      <c r="O598" s="42"/>
      <c r="P598" s="42"/>
      <c r="Q598" s="42"/>
      <c r="R598" s="16"/>
      <c r="S598" s="16"/>
      <c r="T598" s="42"/>
      <c r="U598" s="42"/>
      <c r="V598" s="42"/>
      <c r="W598" s="42"/>
      <c r="X598" s="42"/>
      <c r="Y598" s="42"/>
    </row>
    <row r="599" spans="2:25" s="17" customFormat="1" x14ac:dyDescent="0.25">
      <c r="B599" s="15"/>
      <c r="C599" s="15"/>
      <c r="F599" s="16"/>
      <c r="G599" s="18"/>
      <c r="H599" s="16"/>
      <c r="J599" s="42"/>
      <c r="K599" s="42"/>
      <c r="L599" s="42"/>
      <c r="M599" s="42"/>
      <c r="N599" s="42"/>
      <c r="O599" s="42"/>
      <c r="P599" s="42"/>
      <c r="Q599" s="42"/>
      <c r="R599" s="16"/>
      <c r="S599" s="16"/>
      <c r="T599" s="42"/>
      <c r="U599" s="42"/>
      <c r="V599" s="42"/>
      <c r="W599" s="42"/>
      <c r="X599" s="42"/>
      <c r="Y599" s="42"/>
    </row>
    <row r="600" spans="2:25" s="17" customFormat="1" x14ac:dyDescent="0.25">
      <c r="B600" s="15"/>
      <c r="C600" s="15"/>
      <c r="F600" s="16"/>
      <c r="G600" s="18"/>
      <c r="H600" s="16"/>
      <c r="J600" s="42"/>
      <c r="K600" s="42"/>
      <c r="L600" s="42"/>
      <c r="M600" s="42"/>
      <c r="N600" s="42"/>
      <c r="O600" s="42"/>
      <c r="P600" s="42"/>
      <c r="Q600" s="42"/>
      <c r="R600" s="16"/>
      <c r="S600" s="16"/>
      <c r="T600" s="42"/>
      <c r="U600" s="42"/>
      <c r="V600" s="42"/>
      <c r="W600" s="42"/>
      <c r="X600" s="42"/>
      <c r="Y600" s="42"/>
    </row>
    <row r="601" spans="2:25" s="17" customFormat="1" x14ac:dyDescent="0.25">
      <c r="B601" s="15"/>
      <c r="C601" s="15"/>
      <c r="F601" s="16"/>
      <c r="G601" s="18"/>
      <c r="H601" s="16"/>
      <c r="J601" s="42"/>
      <c r="K601" s="42"/>
      <c r="L601" s="42"/>
      <c r="M601" s="42"/>
      <c r="N601" s="42"/>
      <c r="O601" s="42"/>
      <c r="P601" s="42"/>
      <c r="Q601" s="42"/>
      <c r="R601" s="16"/>
      <c r="S601" s="16"/>
      <c r="T601" s="42"/>
      <c r="U601" s="42"/>
      <c r="V601" s="42"/>
      <c r="W601" s="42"/>
      <c r="X601" s="42"/>
      <c r="Y601" s="42"/>
    </row>
    <row r="602" spans="2:25" s="17" customFormat="1" x14ac:dyDescent="0.25">
      <c r="B602" s="15"/>
      <c r="C602" s="15"/>
      <c r="F602" s="16"/>
      <c r="G602" s="18"/>
      <c r="H602" s="16"/>
      <c r="J602" s="42"/>
      <c r="K602" s="42"/>
      <c r="L602" s="42"/>
      <c r="M602" s="42"/>
      <c r="N602" s="42"/>
      <c r="O602" s="42"/>
      <c r="P602" s="42"/>
      <c r="Q602" s="42"/>
      <c r="R602" s="16"/>
      <c r="S602" s="16"/>
      <c r="T602" s="42"/>
      <c r="U602" s="42"/>
      <c r="V602" s="42"/>
      <c r="W602" s="42"/>
      <c r="X602" s="42"/>
      <c r="Y602" s="42"/>
    </row>
    <row r="603" spans="2:25" s="17" customFormat="1" x14ac:dyDescent="0.25">
      <c r="B603" s="15"/>
      <c r="C603" s="15"/>
      <c r="F603" s="16"/>
      <c r="G603" s="18"/>
      <c r="H603" s="16"/>
      <c r="J603" s="42"/>
      <c r="K603" s="42"/>
      <c r="L603" s="42"/>
      <c r="M603" s="42"/>
      <c r="N603" s="42"/>
      <c r="O603" s="42"/>
      <c r="P603" s="42"/>
      <c r="Q603" s="42"/>
      <c r="R603" s="16"/>
      <c r="S603" s="16"/>
      <c r="T603" s="42"/>
      <c r="U603" s="42"/>
      <c r="V603" s="42"/>
      <c r="W603" s="42"/>
      <c r="X603" s="42"/>
      <c r="Y603" s="42"/>
    </row>
    <row r="604" spans="2:25" s="17" customFormat="1" x14ac:dyDescent="0.25">
      <c r="B604" s="15"/>
      <c r="C604" s="15"/>
      <c r="F604" s="16"/>
      <c r="G604" s="18"/>
      <c r="H604" s="16"/>
      <c r="J604" s="42"/>
      <c r="K604" s="42"/>
      <c r="L604" s="42"/>
      <c r="M604" s="42"/>
      <c r="N604" s="42"/>
      <c r="O604" s="42"/>
      <c r="P604" s="42"/>
      <c r="Q604" s="42"/>
      <c r="R604" s="16"/>
      <c r="S604" s="16"/>
      <c r="T604" s="42"/>
      <c r="U604" s="42"/>
      <c r="V604" s="42"/>
      <c r="W604" s="42"/>
      <c r="X604" s="42"/>
      <c r="Y604" s="42"/>
    </row>
    <row r="605" spans="2:25" s="17" customFormat="1" x14ac:dyDescent="0.25">
      <c r="B605" s="15"/>
      <c r="C605" s="15"/>
      <c r="F605" s="16"/>
      <c r="G605" s="18"/>
      <c r="H605" s="16"/>
      <c r="J605" s="42"/>
      <c r="K605" s="42"/>
      <c r="L605" s="42"/>
      <c r="M605" s="42"/>
      <c r="N605" s="42"/>
      <c r="O605" s="42"/>
      <c r="P605" s="42"/>
      <c r="Q605" s="42"/>
      <c r="R605" s="16"/>
      <c r="S605" s="16"/>
      <c r="T605" s="42"/>
      <c r="U605" s="42"/>
      <c r="V605" s="42"/>
      <c r="W605" s="42"/>
      <c r="X605" s="42"/>
      <c r="Y605" s="42"/>
    </row>
    <row r="606" spans="2:25" s="17" customFormat="1" x14ac:dyDescent="0.25">
      <c r="B606" s="15"/>
      <c r="C606" s="15"/>
      <c r="F606" s="16"/>
      <c r="G606" s="18"/>
      <c r="H606" s="16"/>
      <c r="J606" s="42"/>
      <c r="K606" s="42"/>
      <c r="L606" s="42"/>
      <c r="M606" s="42"/>
      <c r="N606" s="42"/>
      <c r="O606" s="42"/>
      <c r="P606" s="42"/>
      <c r="Q606" s="42"/>
      <c r="R606" s="16"/>
      <c r="S606" s="16"/>
      <c r="T606" s="42"/>
      <c r="U606" s="42"/>
      <c r="V606" s="42"/>
      <c r="W606" s="42"/>
      <c r="X606" s="42"/>
      <c r="Y606" s="42"/>
    </row>
    <row r="607" spans="2:25" s="17" customFormat="1" x14ac:dyDescent="0.25">
      <c r="B607" s="15"/>
      <c r="C607" s="15"/>
      <c r="F607" s="16"/>
      <c r="G607" s="18"/>
      <c r="H607" s="16"/>
      <c r="J607" s="42"/>
      <c r="K607" s="42"/>
      <c r="L607" s="42"/>
      <c r="M607" s="42"/>
      <c r="N607" s="42"/>
      <c r="O607" s="42"/>
      <c r="P607" s="42"/>
      <c r="Q607" s="42"/>
      <c r="R607" s="16"/>
      <c r="S607" s="16"/>
      <c r="T607" s="42"/>
      <c r="U607" s="42"/>
      <c r="V607" s="42"/>
      <c r="W607" s="42"/>
      <c r="X607" s="42"/>
      <c r="Y607" s="42"/>
    </row>
    <row r="608" spans="2:25" s="17" customFormat="1" x14ac:dyDescent="0.25">
      <c r="B608" s="15"/>
      <c r="C608" s="15"/>
      <c r="F608" s="16"/>
      <c r="G608" s="18"/>
      <c r="H608" s="16"/>
      <c r="J608" s="42"/>
      <c r="K608" s="42"/>
      <c r="L608" s="42"/>
      <c r="M608" s="42"/>
      <c r="N608" s="42"/>
      <c r="O608" s="42"/>
      <c r="P608" s="42"/>
      <c r="Q608" s="42"/>
      <c r="R608" s="16"/>
      <c r="S608" s="16"/>
      <c r="T608" s="42"/>
      <c r="U608" s="42"/>
      <c r="V608" s="42"/>
      <c r="W608" s="42"/>
      <c r="X608" s="42"/>
      <c r="Y608" s="42"/>
    </row>
    <row r="609" spans="2:25" s="17" customFormat="1" x14ac:dyDescent="0.25">
      <c r="B609" s="15"/>
      <c r="C609" s="15"/>
      <c r="F609" s="16"/>
      <c r="G609" s="18"/>
      <c r="H609" s="16"/>
      <c r="J609" s="42"/>
      <c r="K609" s="42"/>
      <c r="L609" s="42"/>
      <c r="M609" s="42"/>
      <c r="N609" s="42"/>
      <c r="O609" s="42"/>
      <c r="P609" s="42"/>
      <c r="Q609" s="42"/>
      <c r="R609" s="16"/>
      <c r="S609" s="16"/>
      <c r="T609" s="42"/>
      <c r="U609" s="42"/>
      <c r="V609" s="42"/>
      <c r="W609" s="42"/>
      <c r="X609" s="42"/>
      <c r="Y609" s="42"/>
    </row>
    <row r="610" spans="2:25" s="17" customFormat="1" x14ac:dyDescent="0.25">
      <c r="B610" s="15"/>
      <c r="C610" s="15"/>
      <c r="F610" s="16"/>
      <c r="G610" s="18"/>
      <c r="H610" s="16"/>
      <c r="J610" s="42"/>
      <c r="K610" s="42"/>
      <c r="L610" s="42"/>
      <c r="M610" s="42"/>
      <c r="N610" s="42"/>
      <c r="O610" s="42"/>
      <c r="P610" s="42"/>
      <c r="Q610" s="42"/>
      <c r="R610" s="16"/>
      <c r="S610" s="16"/>
      <c r="T610" s="42"/>
      <c r="U610" s="42"/>
      <c r="V610" s="42"/>
      <c r="W610" s="42"/>
      <c r="X610" s="42"/>
      <c r="Y610" s="42"/>
    </row>
    <row r="611" spans="2:25" s="17" customFormat="1" x14ac:dyDescent="0.25">
      <c r="B611" s="15"/>
      <c r="C611" s="15"/>
      <c r="F611" s="16"/>
      <c r="G611" s="18"/>
      <c r="H611" s="16"/>
      <c r="J611" s="42"/>
      <c r="K611" s="42"/>
      <c r="L611" s="42"/>
      <c r="M611" s="42"/>
      <c r="N611" s="42"/>
      <c r="O611" s="42"/>
      <c r="P611" s="42"/>
      <c r="Q611" s="42"/>
      <c r="R611" s="16"/>
      <c r="S611" s="16"/>
      <c r="T611" s="42"/>
      <c r="U611" s="42"/>
      <c r="V611" s="42"/>
      <c r="W611" s="42"/>
      <c r="X611" s="42"/>
      <c r="Y611" s="42"/>
    </row>
    <row r="612" spans="2:25" s="17" customFormat="1" x14ac:dyDescent="0.25">
      <c r="B612" s="15"/>
      <c r="C612" s="15"/>
      <c r="F612" s="16"/>
      <c r="G612" s="18"/>
      <c r="H612" s="16"/>
      <c r="J612" s="42"/>
      <c r="K612" s="42"/>
      <c r="L612" s="42"/>
      <c r="M612" s="42"/>
      <c r="N612" s="42"/>
      <c r="O612" s="42"/>
      <c r="P612" s="42"/>
      <c r="Q612" s="42"/>
      <c r="R612" s="16"/>
      <c r="S612" s="16"/>
      <c r="T612" s="42"/>
      <c r="U612" s="42"/>
      <c r="V612" s="42"/>
      <c r="W612" s="42"/>
      <c r="X612" s="42"/>
      <c r="Y612" s="42"/>
    </row>
    <row r="613" spans="2:25" s="17" customFormat="1" x14ac:dyDescent="0.25">
      <c r="B613" s="15"/>
      <c r="C613" s="15"/>
      <c r="F613" s="16"/>
      <c r="G613" s="18"/>
      <c r="H613" s="16"/>
      <c r="J613" s="42"/>
      <c r="K613" s="42"/>
      <c r="L613" s="42"/>
      <c r="M613" s="42"/>
      <c r="N613" s="42"/>
      <c r="O613" s="42"/>
      <c r="P613" s="42"/>
      <c r="Q613" s="42"/>
      <c r="R613" s="16"/>
      <c r="S613" s="16"/>
      <c r="T613" s="42"/>
      <c r="U613" s="42"/>
      <c r="V613" s="42"/>
      <c r="W613" s="42"/>
      <c r="X613" s="42"/>
      <c r="Y613" s="42"/>
    </row>
    <row r="614" spans="2:25" s="17" customFormat="1" x14ac:dyDescent="0.25">
      <c r="B614" s="15"/>
      <c r="C614" s="15"/>
      <c r="F614" s="16"/>
      <c r="G614" s="18"/>
      <c r="H614" s="16"/>
      <c r="J614" s="42"/>
      <c r="K614" s="42"/>
      <c r="L614" s="42"/>
      <c r="M614" s="42"/>
      <c r="N614" s="42"/>
      <c r="O614" s="42"/>
      <c r="P614" s="42"/>
      <c r="Q614" s="42"/>
      <c r="R614" s="16"/>
      <c r="S614" s="16"/>
      <c r="T614" s="42"/>
      <c r="U614" s="42"/>
      <c r="V614" s="42"/>
      <c r="W614" s="42"/>
      <c r="X614" s="42"/>
      <c r="Y614" s="42"/>
    </row>
    <row r="615" spans="2:25" s="17" customFormat="1" x14ac:dyDescent="0.25">
      <c r="B615" s="15"/>
      <c r="C615" s="15"/>
      <c r="F615" s="16"/>
      <c r="G615" s="18"/>
      <c r="H615" s="16"/>
      <c r="J615" s="42"/>
      <c r="K615" s="42"/>
      <c r="L615" s="42"/>
      <c r="M615" s="42"/>
      <c r="N615" s="42"/>
      <c r="O615" s="42"/>
      <c r="P615" s="42"/>
      <c r="Q615" s="42"/>
      <c r="R615" s="16"/>
      <c r="S615" s="16"/>
      <c r="T615" s="42"/>
      <c r="U615" s="42"/>
      <c r="V615" s="42"/>
      <c r="W615" s="42"/>
      <c r="X615" s="42"/>
      <c r="Y615" s="42"/>
    </row>
    <row r="616" spans="2:25" s="17" customFormat="1" x14ac:dyDescent="0.25">
      <c r="B616" s="15"/>
      <c r="C616" s="15"/>
      <c r="F616" s="16"/>
      <c r="G616" s="18"/>
      <c r="H616" s="16"/>
      <c r="J616" s="42"/>
      <c r="K616" s="42"/>
      <c r="L616" s="42"/>
      <c r="M616" s="42"/>
      <c r="N616" s="42"/>
      <c r="O616" s="42"/>
      <c r="P616" s="42"/>
      <c r="Q616" s="42"/>
      <c r="R616" s="16"/>
      <c r="S616" s="16"/>
      <c r="T616" s="42"/>
      <c r="U616" s="42"/>
      <c r="V616" s="42"/>
      <c r="W616" s="42"/>
      <c r="X616" s="42"/>
      <c r="Y616" s="42"/>
    </row>
    <row r="617" spans="2:25" s="17" customFormat="1" x14ac:dyDescent="0.25">
      <c r="B617" s="15"/>
      <c r="C617" s="15"/>
      <c r="F617" s="16"/>
      <c r="G617" s="18"/>
      <c r="H617" s="16"/>
      <c r="J617" s="42"/>
      <c r="K617" s="42"/>
      <c r="L617" s="42"/>
      <c r="M617" s="42"/>
      <c r="N617" s="42"/>
      <c r="O617" s="42"/>
      <c r="P617" s="42"/>
      <c r="Q617" s="42"/>
      <c r="R617" s="16"/>
      <c r="S617" s="16"/>
      <c r="T617" s="42"/>
      <c r="U617" s="42"/>
      <c r="V617" s="42"/>
      <c r="W617" s="42"/>
      <c r="X617" s="42"/>
      <c r="Y617" s="42"/>
    </row>
    <row r="618" spans="2:25" s="17" customFormat="1" x14ac:dyDescent="0.25">
      <c r="B618" s="15"/>
      <c r="C618" s="15"/>
      <c r="F618" s="16"/>
      <c r="G618" s="18"/>
      <c r="H618" s="16"/>
      <c r="J618" s="42"/>
      <c r="K618" s="42"/>
      <c r="L618" s="42"/>
      <c r="M618" s="42"/>
      <c r="N618" s="42"/>
      <c r="O618" s="42"/>
      <c r="P618" s="42"/>
      <c r="Q618" s="42"/>
      <c r="R618" s="16"/>
      <c r="S618" s="16"/>
      <c r="T618" s="42"/>
      <c r="U618" s="42"/>
      <c r="V618" s="42"/>
      <c r="W618" s="42"/>
      <c r="X618" s="42"/>
      <c r="Y618" s="42"/>
    </row>
    <row r="619" spans="2:25" s="17" customFormat="1" x14ac:dyDescent="0.25">
      <c r="B619" s="15"/>
      <c r="C619" s="15"/>
      <c r="F619" s="16"/>
      <c r="G619" s="18"/>
      <c r="H619" s="16"/>
      <c r="J619" s="42"/>
      <c r="K619" s="42"/>
      <c r="L619" s="42"/>
      <c r="M619" s="42"/>
      <c r="N619" s="42"/>
      <c r="O619" s="42"/>
      <c r="P619" s="42"/>
      <c r="Q619" s="42"/>
      <c r="R619" s="16"/>
      <c r="S619" s="16"/>
      <c r="T619" s="42"/>
      <c r="U619" s="42"/>
      <c r="V619" s="42"/>
      <c r="W619" s="42"/>
      <c r="X619" s="42"/>
      <c r="Y619" s="42"/>
    </row>
    <row r="620" spans="2:25" s="17" customFormat="1" x14ac:dyDescent="0.25">
      <c r="B620" s="15"/>
      <c r="C620" s="15"/>
      <c r="F620" s="16"/>
      <c r="G620" s="18"/>
      <c r="H620" s="16"/>
      <c r="J620" s="42"/>
      <c r="K620" s="42"/>
      <c r="L620" s="42"/>
      <c r="M620" s="42"/>
      <c r="N620" s="42"/>
      <c r="O620" s="42"/>
      <c r="P620" s="42"/>
      <c r="Q620" s="42"/>
      <c r="R620" s="16"/>
      <c r="S620" s="16"/>
      <c r="T620" s="42"/>
      <c r="U620" s="42"/>
      <c r="V620" s="42"/>
      <c r="W620" s="42"/>
      <c r="X620" s="42"/>
      <c r="Y620" s="42"/>
    </row>
    <row r="621" spans="2:25" s="17" customFormat="1" x14ac:dyDescent="0.25">
      <c r="B621" s="15"/>
      <c r="C621" s="15"/>
      <c r="F621" s="16"/>
      <c r="G621" s="18"/>
      <c r="H621" s="16"/>
      <c r="J621" s="42"/>
      <c r="K621" s="42"/>
      <c r="L621" s="42"/>
      <c r="M621" s="42"/>
      <c r="N621" s="42"/>
      <c r="O621" s="42"/>
      <c r="P621" s="42"/>
      <c r="Q621" s="42"/>
      <c r="R621" s="16"/>
      <c r="S621" s="16"/>
      <c r="T621" s="42"/>
      <c r="U621" s="42"/>
      <c r="V621" s="42"/>
      <c r="W621" s="42"/>
      <c r="X621" s="42"/>
      <c r="Y621" s="42"/>
    </row>
    <row r="622" spans="2:25" s="17" customFormat="1" x14ac:dyDescent="0.25">
      <c r="B622" s="15"/>
      <c r="C622" s="15"/>
      <c r="F622" s="16"/>
      <c r="G622" s="18"/>
      <c r="H622" s="16"/>
      <c r="J622" s="42"/>
      <c r="K622" s="42"/>
      <c r="L622" s="42"/>
      <c r="M622" s="42"/>
      <c r="N622" s="42"/>
      <c r="O622" s="42"/>
      <c r="P622" s="42"/>
      <c r="Q622" s="42"/>
      <c r="R622" s="16"/>
      <c r="S622" s="16"/>
      <c r="T622" s="42"/>
      <c r="U622" s="42"/>
      <c r="V622" s="42"/>
      <c r="W622" s="42"/>
      <c r="X622" s="42"/>
      <c r="Y622" s="42"/>
    </row>
    <row r="623" spans="2:25" s="17" customFormat="1" x14ac:dyDescent="0.25">
      <c r="B623" s="15"/>
      <c r="C623" s="15"/>
      <c r="F623" s="16"/>
      <c r="G623" s="18"/>
      <c r="H623" s="16"/>
      <c r="J623" s="42"/>
      <c r="K623" s="42"/>
      <c r="L623" s="42"/>
      <c r="M623" s="42"/>
      <c r="N623" s="42"/>
      <c r="O623" s="42"/>
      <c r="P623" s="42"/>
      <c r="Q623" s="42"/>
      <c r="R623" s="16"/>
      <c r="S623" s="16"/>
      <c r="T623" s="42"/>
      <c r="U623" s="42"/>
      <c r="V623" s="42"/>
      <c r="W623" s="42"/>
      <c r="X623" s="42"/>
      <c r="Y623" s="42"/>
    </row>
    <row r="624" spans="2:25" s="17" customFormat="1" x14ac:dyDescent="0.25">
      <c r="B624" s="15"/>
      <c r="C624" s="15"/>
      <c r="F624" s="16"/>
      <c r="G624" s="18"/>
      <c r="H624" s="16"/>
      <c r="J624" s="42"/>
      <c r="K624" s="42"/>
      <c r="L624" s="42"/>
      <c r="M624" s="42"/>
      <c r="N624" s="42"/>
      <c r="O624" s="42"/>
      <c r="P624" s="42"/>
      <c r="Q624" s="42"/>
      <c r="R624" s="16"/>
      <c r="S624" s="16"/>
      <c r="T624" s="42"/>
      <c r="U624" s="42"/>
      <c r="V624" s="42"/>
      <c r="W624" s="42"/>
      <c r="X624" s="42"/>
      <c r="Y624" s="42"/>
    </row>
    <row r="625" spans="2:25" s="17" customFormat="1" x14ac:dyDescent="0.25">
      <c r="B625" s="15"/>
      <c r="C625" s="15"/>
      <c r="F625" s="16"/>
      <c r="G625" s="18"/>
      <c r="H625" s="16"/>
      <c r="J625" s="42"/>
      <c r="K625" s="42"/>
      <c r="L625" s="42"/>
      <c r="M625" s="42"/>
      <c r="N625" s="42"/>
      <c r="O625" s="42"/>
      <c r="P625" s="42"/>
      <c r="Q625" s="42"/>
      <c r="R625" s="16"/>
      <c r="S625" s="16"/>
      <c r="T625" s="42"/>
      <c r="U625" s="42"/>
      <c r="V625" s="42"/>
      <c r="W625" s="42"/>
      <c r="X625" s="42"/>
      <c r="Y625" s="42"/>
    </row>
    <row r="626" spans="2:25" s="17" customFormat="1" x14ac:dyDescent="0.25">
      <c r="B626" s="15"/>
      <c r="C626" s="15"/>
      <c r="F626" s="16"/>
      <c r="G626" s="18"/>
      <c r="H626" s="16"/>
      <c r="J626" s="42"/>
      <c r="K626" s="42"/>
      <c r="L626" s="42"/>
      <c r="M626" s="42"/>
      <c r="N626" s="42"/>
      <c r="O626" s="42"/>
      <c r="P626" s="42"/>
      <c r="Q626" s="42"/>
      <c r="R626" s="16"/>
      <c r="S626" s="16"/>
      <c r="T626" s="42"/>
      <c r="U626" s="42"/>
      <c r="V626" s="42"/>
      <c r="W626" s="42"/>
      <c r="X626" s="42"/>
      <c r="Y626" s="42"/>
    </row>
    <row r="627" spans="2:25" s="17" customFormat="1" x14ac:dyDescent="0.25">
      <c r="B627" s="15"/>
      <c r="C627" s="15"/>
      <c r="F627" s="16"/>
      <c r="G627" s="18"/>
      <c r="H627" s="16"/>
      <c r="J627" s="42"/>
      <c r="K627" s="42"/>
      <c r="L627" s="42"/>
      <c r="M627" s="42"/>
      <c r="N627" s="42"/>
      <c r="O627" s="42"/>
      <c r="P627" s="42"/>
      <c r="Q627" s="42"/>
      <c r="R627" s="16"/>
      <c r="S627" s="16"/>
      <c r="T627" s="42"/>
      <c r="U627" s="42"/>
      <c r="V627" s="42"/>
      <c r="W627" s="42"/>
      <c r="X627" s="42"/>
      <c r="Y627" s="42"/>
    </row>
    <row r="628" spans="2:25" s="17" customFormat="1" x14ac:dyDescent="0.25">
      <c r="B628" s="15"/>
      <c r="C628" s="15"/>
      <c r="F628" s="16"/>
      <c r="G628" s="18"/>
      <c r="H628" s="16"/>
      <c r="J628" s="42"/>
      <c r="K628" s="42"/>
      <c r="L628" s="42"/>
      <c r="M628" s="42"/>
      <c r="N628" s="42"/>
      <c r="O628" s="42"/>
      <c r="P628" s="42"/>
      <c r="Q628" s="42"/>
      <c r="R628" s="16"/>
      <c r="S628" s="16"/>
      <c r="T628" s="42"/>
      <c r="U628" s="42"/>
      <c r="V628" s="42"/>
      <c r="W628" s="42"/>
      <c r="X628" s="42"/>
      <c r="Y628" s="42"/>
    </row>
    <row r="629" spans="2:25" s="17" customFormat="1" x14ac:dyDescent="0.25">
      <c r="B629" s="15"/>
      <c r="C629" s="15"/>
      <c r="F629" s="16"/>
      <c r="G629" s="18"/>
      <c r="H629" s="16"/>
      <c r="J629" s="42"/>
      <c r="K629" s="42"/>
      <c r="L629" s="42"/>
      <c r="M629" s="42"/>
      <c r="N629" s="42"/>
      <c r="O629" s="42"/>
      <c r="P629" s="42"/>
      <c r="Q629" s="42"/>
      <c r="R629" s="16"/>
      <c r="S629" s="16"/>
      <c r="T629" s="42"/>
      <c r="U629" s="42"/>
      <c r="V629" s="42"/>
      <c r="W629" s="42"/>
      <c r="X629" s="42"/>
      <c r="Y629" s="42"/>
    </row>
    <row r="630" spans="2:25" s="17" customFormat="1" x14ac:dyDescent="0.25">
      <c r="B630" s="15"/>
      <c r="C630" s="15"/>
      <c r="F630" s="16"/>
      <c r="G630" s="18"/>
      <c r="H630" s="16"/>
      <c r="J630" s="42"/>
      <c r="K630" s="42"/>
      <c r="L630" s="42"/>
      <c r="M630" s="42"/>
      <c r="N630" s="42"/>
      <c r="O630" s="42"/>
      <c r="P630" s="42"/>
      <c r="Q630" s="42"/>
      <c r="R630" s="16"/>
      <c r="S630" s="16"/>
      <c r="T630" s="42"/>
      <c r="U630" s="42"/>
      <c r="V630" s="42"/>
      <c r="W630" s="42"/>
      <c r="X630" s="42"/>
      <c r="Y630" s="42"/>
    </row>
    <row r="631" spans="2:25" s="17" customFormat="1" x14ac:dyDescent="0.25">
      <c r="B631" s="15"/>
      <c r="C631" s="15"/>
      <c r="F631" s="16"/>
      <c r="G631" s="18"/>
      <c r="H631" s="16"/>
      <c r="J631" s="42"/>
      <c r="K631" s="42"/>
      <c r="L631" s="42"/>
      <c r="M631" s="42"/>
      <c r="N631" s="42"/>
      <c r="O631" s="42"/>
      <c r="P631" s="42"/>
      <c r="Q631" s="42"/>
      <c r="R631" s="16"/>
      <c r="S631" s="16"/>
      <c r="T631" s="42"/>
      <c r="U631" s="42"/>
      <c r="V631" s="42"/>
      <c r="W631" s="42"/>
      <c r="X631" s="42"/>
      <c r="Y631" s="42"/>
    </row>
    <row r="632" spans="2:25" s="17" customFormat="1" x14ac:dyDescent="0.25">
      <c r="B632" s="15"/>
      <c r="C632" s="15"/>
      <c r="F632" s="16"/>
      <c r="G632" s="18"/>
      <c r="H632" s="16"/>
      <c r="J632" s="42"/>
      <c r="K632" s="42"/>
      <c r="L632" s="42"/>
      <c r="M632" s="42"/>
      <c r="N632" s="42"/>
      <c r="O632" s="42"/>
      <c r="P632" s="42"/>
      <c r="Q632" s="42"/>
      <c r="R632" s="16"/>
      <c r="S632" s="16"/>
      <c r="T632" s="42"/>
      <c r="U632" s="42"/>
      <c r="V632" s="42"/>
      <c r="W632" s="42"/>
      <c r="X632" s="42"/>
      <c r="Y632" s="42"/>
    </row>
    <row r="633" spans="2:25" s="17" customFormat="1" x14ac:dyDescent="0.25">
      <c r="B633" s="15"/>
      <c r="C633" s="15"/>
      <c r="F633" s="16"/>
      <c r="G633" s="18"/>
      <c r="H633" s="16"/>
      <c r="J633" s="42"/>
      <c r="K633" s="42"/>
      <c r="L633" s="42"/>
      <c r="M633" s="42"/>
      <c r="N633" s="42"/>
      <c r="O633" s="42"/>
      <c r="P633" s="42"/>
      <c r="Q633" s="42"/>
      <c r="R633" s="16"/>
      <c r="S633" s="16"/>
      <c r="T633" s="42"/>
      <c r="U633" s="42"/>
      <c r="V633" s="42"/>
      <c r="W633" s="42"/>
      <c r="X633" s="42"/>
      <c r="Y633" s="42"/>
    </row>
    <row r="634" spans="2:25" s="17" customFormat="1" x14ac:dyDescent="0.25">
      <c r="B634" s="15"/>
      <c r="C634" s="15"/>
      <c r="F634" s="16"/>
      <c r="G634" s="18"/>
      <c r="H634" s="16"/>
      <c r="J634" s="42"/>
      <c r="K634" s="42"/>
      <c r="L634" s="42"/>
      <c r="M634" s="42"/>
      <c r="N634" s="42"/>
      <c r="O634" s="42"/>
      <c r="P634" s="42"/>
      <c r="Q634" s="42"/>
      <c r="R634" s="16"/>
      <c r="S634" s="16"/>
      <c r="T634" s="42"/>
      <c r="U634" s="42"/>
      <c r="V634" s="42"/>
      <c r="W634" s="42"/>
      <c r="X634" s="42"/>
      <c r="Y634" s="42"/>
    </row>
    <row r="635" spans="2:25" s="17" customFormat="1" x14ac:dyDescent="0.25">
      <c r="B635" s="15"/>
      <c r="C635" s="15"/>
      <c r="F635" s="16"/>
      <c r="G635" s="18"/>
      <c r="H635" s="16"/>
      <c r="J635" s="42"/>
      <c r="K635" s="42"/>
      <c r="L635" s="42"/>
      <c r="M635" s="42"/>
      <c r="N635" s="42"/>
      <c r="O635" s="42"/>
      <c r="P635" s="42"/>
      <c r="Q635" s="42"/>
      <c r="R635" s="16"/>
      <c r="S635" s="16"/>
      <c r="T635" s="42"/>
      <c r="U635" s="42"/>
      <c r="V635" s="42"/>
      <c r="W635" s="42"/>
      <c r="X635" s="42"/>
      <c r="Y635" s="42"/>
    </row>
    <row r="636" spans="2:25" s="17" customFormat="1" x14ac:dyDescent="0.25">
      <c r="B636" s="15"/>
      <c r="C636" s="15"/>
      <c r="F636" s="16"/>
      <c r="G636" s="18"/>
      <c r="H636" s="16"/>
      <c r="J636" s="42"/>
      <c r="K636" s="42"/>
      <c r="L636" s="42"/>
      <c r="M636" s="42"/>
      <c r="N636" s="42"/>
      <c r="O636" s="42"/>
      <c r="P636" s="42"/>
      <c r="Q636" s="42"/>
      <c r="R636" s="16"/>
      <c r="S636" s="16"/>
      <c r="T636" s="42"/>
      <c r="U636" s="42"/>
      <c r="V636" s="42"/>
      <c r="W636" s="42"/>
      <c r="X636" s="42"/>
      <c r="Y636" s="42"/>
    </row>
    <row r="637" spans="2:25" s="17" customFormat="1" x14ac:dyDescent="0.25">
      <c r="B637" s="15"/>
      <c r="C637" s="15"/>
      <c r="F637" s="16"/>
      <c r="G637" s="18"/>
      <c r="H637" s="16"/>
      <c r="J637" s="42"/>
      <c r="K637" s="42"/>
      <c r="L637" s="42"/>
      <c r="M637" s="42"/>
      <c r="N637" s="42"/>
      <c r="O637" s="42"/>
      <c r="P637" s="42"/>
      <c r="Q637" s="42"/>
      <c r="R637" s="16"/>
      <c r="S637" s="16"/>
      <c r="T637" s="42"/>
      <c r="U637" s="42"/>
      <c r="V637" s="42"/>
      <c r="W637" s="42"/>
      <c r="X637" s="42"/>
      <c r="Y637" s="42"/>
    </row>
    <row r="638" spans="2:25" s="17" customFormat="1" x14ac:dyDescent="0.25">
      <c r="B638" s="15"/>
      <c r="C638" s="15"/>
      <c r="F638" s="16"/>
      <c r="G638" s="18"/>
      <c r="H638" s="16"/>
      <c r="J638" s="42"/>
      <c r="K638" s="42"/>
      <c r="L638" s="42"/>
      <c r="M638" s="42"/>
      <c r="N638" s="42"/>
      <c r="O638" s="42"/>
      <c r="P638" s="42"/>
      <c r="Q638" s="42"/>
      <c r="R638" s="16"/>
      <c r="S638" s="16"/>
      <c r="T638" s="42"/>
      <c r="U638" s="42"/>
      <c r="V638" s="42"/>
      <c r="W638" s="42"/>
      <c r="X638" s="42"/>
      <c r="Y638" s="42"/>
    </row>
    <row r="639" spans="2:25" s="17" customFormat="1" x14ac:dyDescent="0.25">
      <c r="B639" s="15"/>
      <c r="C639" s="15"/>
      <c r="F639" s="16"/>
      <c r="G639" s="18"/>
      <c r="H639" s="16"/>
      <c r="J639" s="42"/>
      <c r="K639" s="42"/>
      <c r="L639" s="42"/>
      <c r="M639" s="42"/>
      <c r="N639" s="42"/>
      <c r="O639" s="42"/>
      <c r="P639" s="42"/>
      <c r="Q639" s="42"/>
      <c r="R639" s="16"/>
      <c r="S639" s="16"/>
      <c r="T639" s="42"/>
      <c r="U639" s="42"/>
      <c r="V639" s="42"/>
      <c r="W639" s="42"/>
      <c r="X639" s="42"/>
      <c r="Y639" s="42"/>
    </row>
    <row r="640" spans="2:25" s="17" customFormat="1" x14ac:dyDescent="0.25">
      <c r="B640" s="15"/>
      <c r="C640" s="15"/>
      <c r="F640" s="16"/>
      <c r="G640" s="18"/>
      <c r="H640" s="16"/>
      <c r="J640" s="42"/>
      <c r="K640" s="42"/>
      <c r="L640" s="42"/>
      <c r="M640" s="42"/>
      <c r="N640" s="42"/>
      <c r="O640" s="42"/>
      <c r="P640" s="42"/>
      <c r="Q640" s="42"/>
      <c r="R640" s="16"/>
      <c r="S640" s="16"/>
      <c r="T640" s="42"/>
      <c r="U640" s="42"/>
      <c r="V640" s="42"/>
      <c r="W640" s="42"/>
      <c r="X640" s="42"/>
      <c r="Y640" s="42"/>
    </row>
    <row r="641" spans="2:25" s="17" customFormat="1" x14ac:dyDescent="0.25">
      <c r="B641" s="15"/>
      <c r="C641" s="15"/>
      <c r="F641" s="16"/>
      <c r="G641" s="18"/>
      <c r="H641" s="16"/>
      <c r="J641" s="42"/>
      <c r="K641" s="42"/>
      <c r="L641" s="42"/>
      <c r="M641" s="42"/>
      <c r="N641" s="42"/>
      <c r="O641" s="42"/>
      <c r="P641" s="42"/>
      <c r="Q641" s="42"/>
      <c r="R641" s="16"/>
      <c r="S641" s="16"/>
      <c r="T641" s="42"/>
      <c r="U641" s="42"/>
      <c r="V641" s="42"/>
      <c r="W641" s="42"/>
      <c r="X641" s="42"/>
      <c r="Y641" s="42"/>
    </row>
    <row r="642" spans="2:25" s="17" customFormat="1" x14ac:dyDescent="0.25">
      <c r="B642" s="15"/>
      <c r="C642" s="15"/>
      <c r="F642" s="16"/>
      <c r="G642" s="18"/>
      <c r="H642" s="16"/>
      <c r="J642" s="42"/>
      <c r="K642" s="42"/>
      <c r="L642" s="42"/>
      <c r="M642" s="42"/>
      <c r="N642" s="42"/>
      <c r="O642" s="42"/>
      <c r="P642" s="42"/>
      <c r="Q642" s="42"/>
      <c r="R642" s="16"/>
      <c r="S642" s="16"/>
      <c r="T642" s="42"/>
      <c r="U642" s="42"/>
      <c r="V642" s="42"/>
      <c r="W642" s="42"/>
      <c r="X642" s="42"/>
      <c r="Y642" s="42"/>
    </row>
    <row r="643" spans="2:25" s="17" customFormat="1" x14ac:dyDescent="0.25">
      <c r="B643" s="15"/>
      <c r="C643" s="15"/>
      <c r="F643" s="16"/>
      <c r="G643" s="18"/>
      <c r="H643" s="16"/>
      <c r="J643" s="42"/>
      <c r="K643" s="42"/>
      <c r="L643" s="42"/>
      <c r="M643" s="42"/>
      <c r="N643" s="42"/>
      <c r="O643" s="42"/>
      <c r="P643" s="42"/>
      <c r="Q643" s="42"/>
      <c r="R643" s="16"/>
      <c r="S643" s="16"/>
      <c r="T643" s="42"/>
      <c r="U643" s="42"/>
      <c r="V643" s="42"/>
      <c r="W643" s="42"/>
      <c r="X643" s="42"/>
      <c r="Y643" s="42"/>
    </row>
    <row r="644" spans="2:25" s="17" customFormat="1" x14ac:dyDescent="0.25">
      <c r="B644" s="15"/>
      <c r="C644" s="15"/>
      <c r="F644" s="16"/>
      <c r="G644" s="18"/>
      <c r="H644" s="16"/>
      <c r="J644" s="42"/>
      <c r="K644" s="42"/>
      <c r="L644" s="42"/>
      <c r="M644" s="42"/>
      <c r="N644" s="42"/>
      <c r="O644" s="42"/>
      <c r="P644" s="42"/>
      <c r="Q644" s="42"/>
      <c r="R644" s="16"/>
      <c r="S644" s="16"/>
      <c r="T644" s="42"/>
      <c r="U644" s="42"/>
      <c r="V644" s="42"/>
      <c r="W644" s="42"/>
      <c r="X644" s="42"/>
      <c r="Y644" s="42"/>
    </row>
    <row r="645" spans="2:25" s="17" customFormat="1" x14ac:dyDescent="0.25">
      <c r="B645" s="15"/>
      <c r="C645" s="15"/>
      <c r="F645" s="16"/>
      <c r="G645" s="18"/>
      <c r="H645" s="16"/>
      <c r="J645" s="42"/>
      <c r="K645" s="42"/>
      <c r="L645" s="42"/>
      <c r="M645" s="42"/>
      <c r="N645" s="42"/>
      <c r="O645" s="42"/>
      <c r="P645" s="42"/>
      <c r="Q645" s="42"/>
      <c r="R645" s="16"/>
      <c r="S645" s="16"/>
      <c r="T645" s="42"/>
      <c r="U645" s="42"/>
      <c r="V645" s="42"/>
      <c r="W645" s="42"/>
      <c r="X645" s="42"/>
      <c r="Y645" s="42"/>
    </row>
    <row r="646" spans="2:25" s="17" customFormat="1" x14ac:dyDescent="0.25">
      <c r="B646" s="15"/>
      <c r="C646" s="15"/>
      <c r="F646" s="16"/>
      <c r="G646" s="18"/>
      <c r="H646" s="16"/>
      <c r="J646" s="42"/>
      <c r="K646" s="42"/>
      <c r="L646" s="42"/>
      <c r="M646" s="42"/>
      <c r="N646" s="42"/>
      <c r="O646" s="42"/>
      <c r="P646" s="42"/>
      <c r="Q646" s="42"/>
      <c r="R646" s="16"/>
      <c r="S646" s="16"/>
      <c r="T646" s="42"/>
      <c r="U646" s="42"/>
      <c r="V646" s="42"/>
      <c r="W646" s="42"/>
      <c r="X646" s="42"/>
      <c r="Y646" s="42"/>
    </row>
    <row r="647" spans="2:25" s="17" customFormat="1" x14ac:dyDescent="0.25">
      <c r="B647" s="15"/>
      <c r="C647" s="15"/>
      <c r="F647" s="16"/>
      <c r="G647" s="18"/>
      <c r="H647" s="16"/>
      <c r="J647" s="42"/>
      <c r="K647" s="42"/>
      <c r="L647" s="42"/>
      <c r="M647" s="42"/>
      <c r="N647" s="42"/>
      <c r="O647" s="42"/>
      <c r="P647" s="42"/>
      <c r="Q647" s="42"/>
      <c r="R647" s="16"/>
      <c r="S647" s="16"/>
      <c r="T647" s="42"/>
      <c r="U647" s="42"/>
      <c r="V647" s="42"/>
      <c r="W647" s="42"/>
      <c r="X647" s="42"/>
      <c r="Y647" s="42"/>
    </row>
    <row r="648" spans="2:25" s="17" customFormat="1" x14ac:dyDescent="0.25">
      <c r="B648" s="15"/>
      <c r="C648" s="15"/>
      <c r="F648" s="16"/>
      <c r="G648" s="18"/>
      <c r="H648" s="16"/>
      <c r="J648" s="42"/>
      <c r="K648" s="42"/>
      <c r="L648" s="42"/>
      <c r="M648" s="42"/>
      <c r="N648" s="42"/>
      <c r="O648" s="42"/>
      <c r="P648" s="42"/>
      <c r="Q648" s="42"/>
      <c r="R648" s="16"/>
      <c r="S648" s="16"/>
      <c r="T648" s="42"/>
      <c r="U648" s="42"/>
      <c r="V648" s="42"/>
      <c r="W648" s="42"/>
      <c r="X648" s="42"/>
      <c r="Y648" s="42"/>
    </row>
    <row r="649" spans="2:25" s="17" customFormat="1" x14ac:dyDescent="0.25">
      <c r="B649" s="15"/>
      <c r="C649" s="15"/>
      <c r="F649" s="16"/>
      <c r="G649" s="18"/>
      <c r="H649" s="16"/>
      <c r="J649" s="42"/>
      <c r="K649" s="42"/>
      <c r="L649" s="42"/>
      <c r="M649" s="42"/>
      <c r="N649" s="42"/>
      <c r="O649" s="42"/>
      <c r="P649" s="42"/>
      <c r="Q649" s="42"/>
      <c r="R649" s="16"/>
      <c r="S649" s="16"/>
      <c r="T649" s="42"/>
      <c r="U649" s="42"/>
      <c r="V649" s="42"/>
      <c r="W649" s="42"/>
      <c r="X649" s="42"/>
      <c r="Y649" s="42"/>
    </row>
    <row r="650" spans="2:25" s="17" customFormat="1" x14ac:dyDescent="0.25">
      <c r="B650" s="15"/>
      <c r="C650" s="15"/>
      <c r="F650" s="16"/>
      <c r="G650" s="18"/>
      <c r="H650" s="16"/>
      <c r="J650" s="42"/>
      <c r="K650" s="42"/>
      <c r="L650" s="42"/>
      <c r="M650" s="42"/>
      <c r="N650" s="42"/>
      <c r="O650" s="42"/>
      <c r="P650" s="42"/>
      <c r="Q650" s="42"/>
      <c r="R650" s="16"/>
      <c r="S650" s="16"/>
      <c r="T650" s="42"/>
      <c r="U650" s="42"/>
      <c r="V650" s="42"/>
      <c r="W650" s="42"/>
      <c r="X650" s="42"/>
      <c r="Y650" s="42"/>
    </row>
    <row r="651" spans="2:25" s="17" customFormat="1" x14ac:dyDescent="0.25">
      <c r="B651" s="15"/>
      <c r="C651" s="15"/>
      <c r="F651" s="16"/>
      <c r="G651" s="18"/>
      <c r="H651" s="16"/>
      <c r="J651" s="42"/>
      <c r="K651" s="42"/>
      <c r="L651" s="42"/>
      <c r="M651" s="42"/>
      <c r="N651" s="42"/>
      <c r="O651" s="42"/>
      <c r="P651" s="42"/>
      <c r="Q651" s="42"/>
      <c r="R651" s="16"/>
      <c r="S651" s="16"/>
      <c r="T651" s="42"/>
      <c r="U651" s="42"/>
      <c r="V651" s="42"/>
      <c r="W651" s="42"/>
      <c r="X651" s="42"/>
      <c r="Y651" s="42"/>
    </row>
    <row r="652" spans="2:25" s="17" customFormat="1" x14ac:dyDescent="0.25">
      <c r="B652" s="15"/>
      <c r="C652" s="15"/>
      <c r="F652" s="16"/>
      <c r="G652" s="18"/>
      <c r="H652" s="16"/>
      <c r="J652" s="42"/>
      <c r="K652" s="42"/>
      <c r="L652" s="42"/>
      <c r="M652" s="42"/>
      <c r="N652" s="42"/>
      <c r="O652" s="42"/>
      <c r="P652" s="42"/>
      <c r="Q652" s="42"/>
      <c r="R652" s="16"/>
      <c r="S652" s="16"/>
      <c r="T652" s="42"/>
      <c r="U652" s="42"/>
      <c r="V652" s="42"/>
      <c r="W652" s="42"/>
      <c r="X652" s="42"/>
      <c r="Y652" s="42"/>
    </row>
    <row r="653" spans="2:25" s="17" customFormat="1" x14ac:dyDescent="0.25">
      <c r="B653" s="15"/>
      <c r="C653" s="15"/>
      <c r="F653" s="16"/>
      <c r="G653" s="18"/>
      <c r="H653" s="16"/>
      <c r="J653" s="42"/>
      <c r="K653" s="42"/>
      <c r="L653" s="42"/>
      <c r="M653" s="42"/>
      <c r="N653" s="42"/>
      <c r="O653" s="42"/>
      <c r="P653" s="42"/>
      <c r="Q653" s="42"/>
      <c r="R653" s="16"/>
      <c r="S653" s="16"/>
      <c r="T653" s="42"/>
      <c r="U653" s="42"/>
      <c r="V653" s="42"/>
      <c r="W653" s="42"/>
      <c r="X653" s="42"/>
      <c r="Y653" s="42"/>
    </row>
    <row r="654" spans="2:25" s="17" customFormat="1" x14ac:dyDescent="0.25">
      <c r="B654" s="15"/>
      <c r="C654" s="15"/>
      <c r="F654" s="16"/>
      <c r="G654" s="18"/>
      <c r="H654" s="16"/>
      <c r="J654" s="42"/>
      <c r="K654" s="42"/>
      <c r="L654" s="42"/>
      <c r="M654" s="42"/>
      <c r="N654" s="42"/>
      <c r="O654" s="42"/>
      <c r="P654" s="42"/>
      <c r="Q654" s="42"/>
      <c r="R654" s="16"/>
      <c r="S654" s="16"/>
      <c r="T654" s="42"/>
      <c r="U654" s="42"/>
      <c r="V654" s="42"/>
      <c r="W654" s="42"/>
      <c r="X654" s="42"/>
      <c r="Y654" s="42"/>
    </row>
    <row r="655" spans="2:25" s="17" customFormat="1" x14ac:dyDescent="0.25">
      <c r="B655" s="15"/>
      <c r="C655" s="15"/>
      <c r="F655" s="16"/>
      <c r="G655" s="18"/>
      <c r="H655" s="16"/>
      <c r="J655" s="42"/>
      <c r="K655" s="42"/>
      <c r="L655" s="42"/>
      <c r="M655" s="42"/>
      <c r="N655" s="42"/>
      <c r="O655" s="42"/>
      <c r="P655" s="42"/>
      <c r="Q655" s="42"/>
      <c r="R655" s="16"/>
      <c r="S655" s="16"/>
      <c r="T655" s="42"/>
      <c r="U655" s="42"/>
      <c r="V655" s="42"/>
      <c r="W655" s="42"/>
      <c r="X655" s="42"/>
      <c r="Y655" s="42"/>
    </row>
    <row r="656" spans="2:25" s="17" customFormat="1" x14ac:dyDescent="0.25">
      <c r="B656" s="15"/>
      <c r="C656" s="15"/>
      <c r="F656" s="16"/>
      <c r="G656" s="18"/>
      <c r="H656" s="16"/>
      <c r="J656" s="42"/>
      <c r="K656" s="42"/>
      <c r="L656" s="42"/>
      <c r="M656" s="42"/>
      <c r="N656" s="42"/>
      <c r="O656" s="42"/>
      <c r="P656" s="42"/>
      <c r="Q656" s="42"/>
      <c r="R656" s="16"/>
      <c r="S656" s="16"/>
      <c r="T656" s="42"/>
      <c r="U656" s="42"/>
      <c r="V656" s="42"/>
      <c r="W656" s="42"/>
      <c r="X656" s="42"/>
      <c r="Y656" s="42"/>
    </row>
    <row r="657" spans="2:25" s="17" customFormat="1" x14ac:dyDescent="0.25">
      <c r="B657" s="15"/>
      <c r="C657" s="15"/>
      <c r="F657" s="16"/>
      <c r="G657" s="18"/>
      <c r="H657" s="16"/>
      <c r="J657" s="42"/>
      <c r="K657" s="42"/>
      <c r="L657" s="42"/>
      <c r="M657" s="42"/>
      <c r="N657" s="42"/>
      <c r="O657" s="42"/>
      <c r="P657" s="42"/>
      <c r="Q657" s="42"/>
      <c r="R657" s="16"/>
      <c r="S657" s="16"/>
      <c r="T657" s="42"/>
      <c r="U657" s="42"/>
      <c r="V657" s="42"/>
      <c r="W657" s="42"/>
      <c r="X657" s="42"/>
      <c r="Y657" s="42"/>
    </row>
    <row r="658" spans="2:25" s="17" customFormat="1" x14ac:dyDescent="0.25">
      <c r="B658" s="15"/>
      <c r="C658" s="15"/>
      <c r="F658" s="16"/>
      <c r="G658" s="18"/>
      <c r="H658" s="16"/>
      <c r="J658" s="42"/>
      <c r="K658" s="42"/>
      <c r="L658" s="42"/>
      <c r="M658" s="42"/>
      <c r="N658" s="42"/>
      <c r="O658" s="42"/>
      <c r="P658" s="42"/>
      <c r="Q658" s="42"/>
      <c r="R658" s="16"/>
      <c r="S658" s="16"/>
      <c r="T658" s="42"/>
      <c r="U658" s="42"/>
      <c r="V658" s="42"/>
      <c r="W658" s="42"/>
      <c r="X658" s="42"/>
      <c r="Y658" s="42"/>
    </row>
    <row r="659" spans="2:25" s="17" customFormat="1" x14ac:dyDescent="0.25">
      <c r="B659" s="15"/>
      <c r="C659" s="15"/>
      <c r="F659" s="16"/>
      <c r="G659" s="18"/>
      <c r="H659" s="16"/>
      <c r="J659" s="42"/>
      <c r="K659" s="42"/>
      <c r="L659" s="42"/>
      <c r="M659" s="42"/>
      <c r="N659" s="42"/>
      <c r="O659" s="42"/>
      <c r="P659" s="42"/>
      <c r="Q659" s="42"/>
      <c r="R659" s="16"/>
      <c r="S659" s="16"/>
      <c r="T659" s="42"/>
      <c r="U659" s="42"/>
      <c r="V659" s="42"/>
      <c r="W659" s="42"/>
      <c r="X659" s="42"/>
      <c r="Y659" s="42"/>
    </row>
    <row r="660" spans="2:25" s="17" customFormat="1" x14ac:dyDescent="0.25">
      <c r="B660" s="15"/>
      <c r="C660" s="15"/>
      <c r="F660" s="16"/>
      <c r="G660" s="18"/>
      <c r="H660" s="16"/>
      <c r="J660" s="42"/>
      <c r="K660" s="42"/>
      <c r="L660" s="42"/>
      <c r="M660" s="42"/>
      <c r="N660" s="42"/>
      <c r="O660" s="42"/>
      <c r="P660" s="42"/>
      <c r="Q660" s="42"/>
      <c r="R660" s="16"/>
      <c r="S660" s="16"/>
      <c r="T660" s="42"/>
      <c r="U660" s="42"/>
      <c r="V660" s="42"/>
      <c r="W660" s="42"/>
      <c r="X660" s="42"/>
      <c r="Y660" s="42"/>
    </row>
    <row r="661" spans="2:25" s="17" customFormat="1" x14ac:dyDescent="0.25">
      <c r="B661" s="15"/>
      <c r="C661" s="15"/>
      <c r="F661" s="16"/>
      <c r="G661" s="18"/>
      <c r="H661" s="16"/>
      <c r="J661" s="42"/>
      <c r="K661" s="42"/>
      <c r="L661" s="42"/>
      <c r="M661" s="42"/>
      <c r="N661" s="42"/>
      <c r="O661" s="42"/>
      <c r="P661" s="42"/>
      <c r="Q661" s="42"/>
      <c r="R661" s="16"/>
      <c r="S661" s="16"/>
      <c r="T661" s="42"/>
      <c r="U661" s="42"/>
      <c r="V661" s="42"/>
      <c r="W661" s="42"/>
      <c r="X661" s="42"/>
      <c r="Y661" s="42"/>
    </row>
    <row r="662" spans="2:25" s="17" customFormat="1" x14ac:dyDescent="0.25">
      <c r="B662" s="15"/>
      <c r="C662" s="15"/>
      <c r="F662" s="16"/>
      <c r="G662" s="18"/>
      <c r="H662" s="16"/>
      <c r="J662" s="42"/>
      <c r="K662" s="42"/>
      <c r="L662" s="42"/>
      <c r="M662" s="42"/>
      <c r="N662" s="42"/>
      <c r="O662" s="42"/>
      <c r="P662" s="42"/>
      <c r="Q662" s="42"/>
      <c r="R662" s="16"/>
      <c r="S662" s="16"/>
      <c r="T662" s="42"/>
      <c r="U662" s="42"/>
      <c r="V662" s="42"/>
      <c r="W662" s="42"/>
      <c r="X662" s="42"/>
      <c r="Y662" s="42"/>
    </row>
    <row r="663" spans="2:25" s="17" customFormat="1" x14ac:dyDescent="0.25">
      <c r="B663" s="15"/>
      <c r="C663" s="15"/>
      <c r="F663" s="16"/>
      <c r="G663" s="18"/>
      <c r="H663" s="16"/>
      <c r="J663" s="42"/>
      <c r="K663" s="42"/>
      <c r="L663" s="42"/>
      <c r="M663" s="42"/>
      <c r="N663" s="42"/>
      <c r="O663" s="42"/>
      <c r="P663" s="42"/>
      <c r="Q663" s="42"/>
      <c r="R663" s="16"/>
      <c r="S663" s="16"/>
      <c r="T663" s="42"/>
      <c r="U663" s="42"/>
      <c r="V663" s="42"/>
      <c r="W663" s="42"/>
      <c r="X663" s="42"/>
      <c r="Y663" s="42"/>
    </row>
    <row r="664" spans="2:25" s="17" customFormat="1" x14ac:dyDescent="0.25">
      <c r="B664" s="15"/>
      <c r="C664" s="15"/>
      <c r="F664" s="16"/>
      <c r="G664" s="18"/>
      <c r="H664" s="16"/>
      <c r="J664" s="42"/>
      <c r="K664" s="42"/>
      <c r="L664" s="42"/>
      <c r="M664" s="42"/>
      <c r="N664" s="42"/>
      <c r="O664" s="42"/>
      <c r="P664" s="42"/>
      <c r="Q664" s="42"/>
      <c r="R664" s="16"/>
      <c r="S664" s="16"/>
      <c r="T664" s="42"/>
      <c r="U664" s="42"/>
      <c r="V664" s="42"/>
      <c r="W664" s="42"/>
      <c r="X664" s="42"/>
      <c r="Y664" s="42"/>
    </row>
    <row r="665" spans="2:25" s="17" customFormat="1" x14ac:dyDescent="0.25">
      <c r="B665" s="15"/>
      <c r="C665" s="15"/>
      <c r="F665" s="16"/>
      <c r="G665" s="18"/>
      <c r="H665" s="16"/>
      <c r="J665" s="42"/>
      <c r="K665" s="42"/>
      <c r="L665" s="42"/>
      <c r="M665" s="42"/>
      <c r="N665" s="42"/>
      <c r="O665" s="42"/>
      <c r="P665" s="42"/>
      <c r="Q665" s="42"/>
      <c r="R665" s="16"/>
      <c r="S665" s="16"/>
      <c r="T665" s="42"/>
      <c r="U665" s="42"/>
      <c r="V665" s="42"/>
      <c r="W665" s="42"/>
      <c r="X665" s="42"/>
      <c r="Y665" s="42"/>
    </row>
    <row r="666" spans="2:25" s="17" customFormat="1" x14ac:dyDescent="0.25">
      <c r="B666" s="15"/>
      <c r="C666" s="15"/>
      <c r="F666" s="16"/>
      <c r="G666" s="18"/>
      <c r="H666" s="16"/>
      <c r="J666" s="42"/>
      <c r="K666" s="42"/>
      <c r="L666" s="42"/>
      <c r="M666" s="42"/>
      <c r="N666" s="42"/>
      <c r="O666" s="42"/>
      <c r="P666" s="42"/>
      <c r="Q666" s="42"/>
      <c r="R666" s="16"/>
      <c r="S666" s="16"/>
      <c r="T666" s="42"/>
      <c r="U666" s="42"/>
      <c r="V666" s="42"/>
      <c r="W666" s="42"/>
      <c r="X666" s="42"/>
      <c r="Y666" s="42"/>
    </row>
    <row r="667" spans="2:25" s="17" customFormat="1" x14ac:dyDescent="0.25">
      <c r="B667" s="15"/>
      <c r="C667" s="15"/>
      <c r="F667" s="16"/>
      <c r="G667" s="18"/>
      <c r="H667" s="16"/>
      <c r="J667" s="42"/>
      <c r="K667" s="42"/>
      <c r="L667" s="42"/>
      <c r="M667" s="42"/>
      <c r="N667" s="42"/>
      <c r="O667" s="42"/>
      <c r="P667" s="42"/>
      <c r="Q667" s="42"/>
      <c r="R667" s="16"/>
      <c r="S667" s="16"/>
      <c r="T667" s="42"/>
      <c r="U667" s="42"/>
      <c r="V667" s="42"/>
      <c r="W667" s="42"/>
      <c r="X667" s="42"/>
      <c r="Y667" s="42"/>
    </row>
    <row r="668" spans="2:25" s="17" customFormat="1" x14ac:dyDescent="0.25">
      <c r="B668" s="15"/>
      <c r="C668" s="15"/>
      <c r="F668" s="16"/>
      <c r="G668" s="18"/>
      <c r="H668" s="16"/>
      <c r="J668" s="42"/>
      <c r="K668" s="42"/>
      <c r="L668" s="42"/>
      <c r="M668" s="42"/>
      <c r="N668" s="42"/>
      <c r="O668" s="42"/>
      <c r="P668" s="42"/>
      <c r="Q668" s="42"/>
      <c r="R668" s="16"/>
      <c r="S668" s="16"/>
      <c r="T668" s="42"/>
      <c r="U668" s="42"/>
      <c r="V668" s="42"/>
      <c r="W668" s="42"/>
      <c r="X668" s="42"/>
      <c r="Y668" s="42"/>
    </row>
    <row r="669" spans="2:25" s="17" customFormat="1" x14ac:dyDescent="0.25">
      <c r="B669" s="15"/>
      <c r="C669" s="15"/>
      <c r="F669" s="16"/>
      <c r="G669" s="18"/>
      <c r="H669" s="16"/>
      <c r="J669" s="42"/>
      <c r="K669" s="42"/>
      <c r="L669" s="42"/>
      <c r="M669" s="42"/>
      <c r="N669" s="42"/>
      <c r="O669" s="42"/>
      <c r="P669" s="42"/>
      <c r="Q669" s="42"/>
      <c r="R669" s="16"/>
      <c r="S669" s="16"/>
      <c r="T669" s="42"/>
      <c r="U669" s="42"/>
      <c r="V669" s="42"/>
      <c r="W669" s="42"/>
      <c r="X669" s="42"/>
      <c r="Y669" s="42"/>
    </row>
    <row r="670" spans="2:25" s="17" customFormat="1" x14ac:dyDescent="0.25">
      <c r="B670" s="15"/>
      <c r="C670" s="15"/>
      <c r="F670" s="16"/>
      <c r="G670" s="18"/>
      <c r="H670" s="16"/>
      <c r="J670" s="42"/>
      <c r="K670" s="42"/>
      <c r="L670" s="42"/>
      <c r="M670" s="42"/>
      <c r="N670" s="42"/>
      <c r="O670" s="42"/>
      <c r="P670" s="42"/>
      <c r="Q670" s="42"/>
      <c r="R670" s="16"/>
      <c r="S670" s="16"/>
      <c r="T670" s="42"/>
      <c r="U670" s="42"/>
      <c r="V670" s="42"/>
      <c r="W670" s="42"/>
      <c r="X670" s="42"/>
      <c r="Y670" s="42"/>
    </row>
    <row r="671" spans="2:25" s="17" customFormat="1" x14ac:dyDescent="0.25">
      <c r="B671" s="15"/>
      <c r="C671" s="15"/>
      <c r="F671" s="16"/>
      <c r="G671" s="18"/>
      <c r="H671" s="16"/>
      <c r="J671" s="42"/>
      <c r="K671" s="42"/>
      <c r="L671" s="42"/>
      <c r="M671" s="42"/>
      <c r="N671" s="42"/>
      <c r="O671" s="42"/>
      <c r="P671" s="42"/>
      <c r="Q671" s="42"/>
      <c r="R671" s="16"/>
      <c r="S671" s="16"/>
      <c r="T671" s="42"/>
      <c r="U671" s="42"/>
      <c r="V671" s="42"/>
      <c r="W671" s="42"/>
      <c r="X671" s="42"/>
      <c r="Y671" s="42"/>
    </row>
    <row r="672" spans="2:25" s="17" customFormat="1" x14ac:dyDescent="0.25">
      <c r="B672" s="15"/>
      <c r="C672" s="15"/>
      <c r="F672" s="16"/>
      <c r="G672" s="18"/>
      <c r="H672" s="16"/>
      <c r="J672" s="42"/>
      <c r="K672" s="42"/>
      <c r="L672" s="42"/>
      <c r="M672" s="42"/>
      <c r="N672" s="42"/>
      <c r="O672" s="42"/>
      <c r="P672" s="42"/>
      <c r="Q672" s="42"/>
      <c r="R672" s="16"/>
      <c r="S672" s="16"/>
      <c r="T672" s="42"/>
      <c r="U672" s="42"/>
      <c r="V672" s="42"/>
      <c r="W672" s="42"/>
      <c r="X672" s="42"/>
      <c r="Y672" s="42"/>
    </row>
    <row r="673" spans="2:25" s="17" customFormat="1" x14ac:dyDescent="0.25">
      <c r="B673" s="15"/>
      <c r="C673" s="15"/>
      <c r="F673" s="16"/>
      <c r="G673" s="18"/>
      <c r="H673" s="16"/>
      <c r="J673" s="42"/>
      <c r="K673" s="42"/>
      <c r="L673" s="42"/>
      <c r="M673" s="42"/>
      <c r="N673" s="42"/>
      <c r="O673" s="42"/>
      <c r="P673" s="42"/>
      <c r="Q673" s="42"/>
      <c r="R673" s="16"/>
      <c r="S673" s="16"/>
      <c r="T673" s="42"/>
      <c r="U673" s="42"/>
      <c r="V673" s="42"/>
      <c r="W673" s="42"/>
      <c r="X673" s="42"/>
      <c r="Y673" s="42"/>
    </row>
    <row r="674" spans="2:25" s="17" customFormat="1" x14ac:dyDescent="0.25">
      <c r="B674" s="15"/>
      <c r="C674" s="15"/>
      <c r="F674" s="16"/>
      <c r="G674" s="18"/>
      <c r="H674" s="16"/>
      <c r="J674" s="42"/>
      <c r="K674" s="42"/>
      <c r="L674" s="42"/>
      <c r="M674" s="42"/>
      <c r="N674" s="42"/>
      <c r="O674" s="42"/>
      <c r="P674" s="42"/>
      <c r="Q674" s="42"/>
      <c r="R674" s="16"/>
      <c r="S674" s="16"/>
      <c r="T674" s="42"/>
      <c r="U674" s="42"/>
      <c r="V674" s="42"/>
      <c r="W674" s="42"/>
      <c r="X674" s="42"/>
      <c r="Y674" s="42"/>
    </row>
    <row r="675" spans="2:25" x14ac:dyDescent="0.25">
      <c r="H675" s="16"/>
    </row>
    <row r="676" spans="2:25" x14ac:dyDescent="0.25">
      <c r="H676" s="16"/>
      <c r="J676" s="17"/>
      <c r="K676" s="37"/>
    </row>
    <row r="677" spans="2:25" x14ac:dyDescent="0.25">
      <c r="H677" s="1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51"/>
  <sheetViews>
    <sheetView workbookViewId="0"/>
  </sheetViews>
  <sheetFormatPr defaultRowHeight="15" x14ac:dyDescent="0.25"/>
  <cols>
    <col min="6" max="6" width="9.140625" style="16"/>
    <col min="8" max="8" width="9.140625" style="16"/>
    <col min="9" max="9" width="9.140625" style="69"/>
    <col min="11" max="15" width="10.7109375" style="15" customWidth="1"/>
    <col min="16" max="18" width="10.7109375" style="16" customWidth="1"/>
  </cols>
  <sheetData>
    <row r="1" spans="1:18" s="34" customFormat="1" ht="18.75" x14ac:dyDescent="0.3">
      <c r="A1" s="20" t="s">
        <v>549</v>
      </c>
      <c r="F1" s="16"/>
      <c r="H1" s="16"/>
      <c r="I1" s="69"/>
      <c r="K1" s="15"/>
      <c r="L1" s="15"/>
      <c r="M1" s="15"/>
      <c r="N1" s="15"/>
      <c r="O1" s="15"/>
      <c r="P1" s="16"/>
      <c r="Q1" s="16"/>
      <c r="R1" s="16"/>
    </row>
    <row r="2" spans="1:18" s="30" customFormat="1" ht="45" x14ac:dyDescent="0.25">
      <c r="B2" s="3" t="s">
        <v>621</v>
      </c>
      <c r="C2" s="3" t="s">
        <v>622</v>
      </c>
      <c r="D2" s="30" t="s">
        <v>619</v>
      </c>
      <c r="E2" s="3" t="s">
        <v>623</v>
      </c>
      <c r="F2" s="40" t="s">
        <v>619</v>
      </c>
      <c r="G2" s="3" t="s">
        <v>624</v>
      </c>
      <c r="H2" s="40" t="s">
        <v>619</v>
      </c>
      <c r="I2" s="70" t="s">
        <v>620</v>
      </c>
      <c r="K2" s="4" t="s">
        <v>627</v>
      </c>
      <c r="L2" s="4" t="s">
        <v>626</v>
      </c>
      <c r="M2" s="4" t="s">
        <v>625</v>
      </c>
      <c r="N2" s="4" t="s">
        <v>631</v>
      </c>
      <c r="O2" s="71" t="s">
        <v>634</v>
      </c>
      <c r="P2" s="7" t="s">
        <v>628</v>
      </c>
      <c r="Q2" s="7" t="s">
        <v>629</v>
      </c>
      <c r="R2" s="7" t="s">
        <v>630</v>
      </c>
    </row>
    <row r="3" spans="1:18" x14ac:dyDescent="0.25">
      <c r="A3" t="s">
        <v>501</v>
      </c>
      <c r="B3">
        <v>0.94</v>
      </c>
      <c r="C3">
        <v>17</v>
      </c>
      <c r="D3">
        <v>4</v>
      </c>
      <c r="E3">
        <v>5.88</v>
      </c>
      <c r="F3" s="16">
        <v>0.15</v>
      </c>
      <c r="G3">
        <v>6.64</v>
      </c>
      <c r="H3" s="16">
        <v>0.2</v>
      </c>
      <c r="I3" s="69" t="s">
        <v>502</v>
      </c>
      <c r="K3" s="15">
        <f t="shared" ref="K3:K49" si="0">(POWER(10, E3)+POWER(10, G3))*SolarMass</f>
        <v>1.0191623073579696E+37</v>
      </c>
      <c r="L3" s="15">
        <f t="shared" ref="L3:L49" si="1">(velocity*km)^4/(4*UniverseAcceleration*GravitationalConstant)</f>
        <v>8.5793470667582605E+36</v>
      </c>
      <c r="M3" s="15">
        <f t="shared" ref="M3:M49" si="2">(POWER(10, F3)+POWER(10, H3))*SolarMass</f>
        <v>5.9621894791335216E+30</v>
      </c>
      <c r="N3" s="15">
        <f t="shared" ref="N3:N49" si="3">(predictedMass-observedMass)^2</f>
        <v>2.5994339221720736E+72</v>
      </c>
      <c r="O3" s="15">
        <f t="shared" ref="O3:O49" si="4">(predictedMass-observedMass)^2/(errorMass)^2</f>
        <v>73125228204.259674</v>
      </c>
      <c r="P3" s="16">
        <f t="shared" ref="P3:P49" si="5">LOG10(C3)</f>
        <v>1.2304489213782739</v>
      </c>
      <c r="Q3" s="16">
        <f t="shared" ref="Q3:Q49" si="6">LOG10(K3)</f>
        <v>37.008243353365344</v>
      </c>
      <c r="R3" s="16">
        <f t="shared" ref="R3:R49" si="7">LOG10(L3)</f>
        <v>36.933454237021891</v>
      </c>
    </row>
    <row r="4" spans="1:18" x14ac:dyDescent="0.25">
      <c r="A4" t="s">
        <v>503</v>
      </c>
      <c r="B4">
        <v>3.34</v>
      </c>
      <c r="C4">
        <v>20</v>
      </c>
      <c r="D4">
        <v>12</v>
      </c>
      <c r="E4">
        <v>6.99</v>
      </c>
      <c r="F4" s="16">
        <v>0.15</v>
      </c>
      <c r="G4">
        <v>7.33</v>
      </c>
      <c r="H4" s="16">
        <v>0.2</v>
      </c>
      <c r="I4" s="69" t="s">
        <v>502</v>
      </c>
      <c r="K4" s="15">
        <f t="shared" si="0"/>
        <v>6.1964429484320988E+37</v>
      </c>
      <c r="L4" s="15">
        <f t="shared" si="1"/>
        <v>1.6435333996016829E+37</v>
      </c>
      <c r="M4" s="15">
        <f t="shared" si="2"/>
        <v>5.9621894791335216E+30</v>
      </c>
      <c r="N4" s="15">
        <f t="shared" si="3"/>
        <v>2.0728985359831177E+75</v>
      </c>
      <c r="O4" s="15">
        <f t="shared" si="4"/>
        <v>58313149334213.82</v>
      </c>
      <c r="P4" s="16">
        <f t="shared" si="5"/>
        <v>1.3010299956639813</v>
      </c>
      <c r="Q4" s="16">
        <f t="shared" si="6"/>
        <v>37.792142455437066</v>
      </c>
      <c r="R4" s="16">
        <f t="shared" si="7"/>
        <v>37.21577853416472</v>
      </c>
    </row>
    <row r="5" spans="1:18" x14ac:dyDescent="0.25">
      <c r="A5" t="s">
        <v>504</v>
      </c>
      <c r="B5">
        <v>4.5</v>
      </c>
      <c r="C5">
        <v>20</v>
      </c>
      <c r="D5">
        <v>6</v>
      </c>
      <c r="E5">
        <v>6.81</v>
      </c>
      <c r="F5" s="16">
        <v>0.15</v>
      </c>
      <c r="G5">
        <v>7.45</v>
      </c>
      <c r="H5" s="16">
        <v>0.2</v>
      </c>
      <c r="I5" s="69">
        <v>1</v>
      </c>
      <c r="K5" s="15">
        <f t="shared" si="0"/>
        <v>6.8903163155509782E+37</v>
      </c>
      <c r="L5" s="15">
        <f t="shared" si="1"/>
        <v>1.6435333996016829E+37</v>
      </c>
      <c r="M5" s="15">
        <f t="shared" si="2"/>
        <v>5.9621894791335216E+30</v>
      </c>
      <c r="N5" s="15">
        <f t="shared" si="3"/>
        <v>2.7528730967097385E+75</v>
      </c>
      <c r="O5" s="15">
        <f t="shared" si="4"/>
        <v>77441658238443.578</v>
      </c>
      <c r="P5" s="16">
        <f t="shared" si="5"/>
        <v>1.3010299956639813</v>
      </c>
      <c r="Q5" s="16">
        <f t="shared" si="6"/>
        <v>37.838239159635499</v>
      </c>
      <c r="R5" s="16">
        <f t="shared" si="7"/>
        <v>37.21577853416472</v>
      </c>
    </row>
    <row r="6" spans="1:18" x14ac:dyDescent="0.25">
      <c r="A6" t="s">
        <v>505</v>
      </c>
      <c r="B6">
        <v>3.24</v>
      </c>
      <c r="C6">
        <v>25</v>
      </c>
      <c r="D6">
        <v>3</v>
      </c>
      <c r="E6">
        <v>7.24</v>
      </c>
      <c r="F6" s="16">
        <v>0.15</v>
      </c>
      <c r="G6">
        <v>7.54</v>
      </c>
      <c r="H6" s="16">
        <v>0.2</v>
      </c>
      <c r="I6" s="69">
        <v>1</v>
      </c>
      <c r="K6" s="15">
        <f t="shared" si="0"/>
        <v>1.0353602320816714E+38</v>
      </c>
      <c r="L6" s="15">
        <f t="shared" si="1"/>
        <v>4.0125327138712964E+37</v>
      </c>
      <c r="M6" s="15">
        <f t="shared" si="2"/>
        <v>5.9621894791335216E+30</v>
      </c>
      <c r="N6" s="15">
        <f t="shared" si="3"/>
        <v>4.0209163760126908E+75</v>
      </c>
      <c r="O6" s="15">
        <f t="shared" si="4"/>
        <v>113113253265727.38</v>
      </c>
      <c r="P6" s="16">
        <f t="shared" si="5"/>
        <v>1.3979400086720377</v>
      </c>
      <c r="Q6" s="16">
        <f t="shared" si="6"/>
        <v>38.015091479827632</v>
      </c>
      <c r="R6" s="16">
        <f t="shared" si="7"/>
        <v>37.603418586196945</v>
      </c>
    </row>
    <row r="7" spans="1:18" x14ac:dyDescent="0.25">
      <c r="A7" t="s">
        <v>506</v>
      </c>
      <c r="B7">
        <v>3.2</v>
      </c>
      <c r="C7">
        <v>27</v>
      </c>
      <c r="D7">
        <v>4</v>
      </c>
      <c r="E7">
        <v>6.94</v>
      </c>
      <c r="F7" s="16">
        <v>0.15</v>
      </c>
      <c r="G7">
        <v>7.3</v>
      </c>
      <c r="H7" s="16">
        <v>0.2</v>
      </c>
      <c r="I7" s="69">
        <v>1</v>
      </c>
      <c r="K7" s="15">
        <f t="shared" si="0"/>
        <v>5.7012099474862486E+37</v>
      </c>
      <c r="L7" s="15">
        <f t="shared" si="1"/>
        <v>5.4590064588607376E+37</v>
      </c>
      <c r="M7" s="15">
        <f t="shared" si="2"/>
        <v>5.9621894791335216E+30</v>
      </c>
      <c r="N7" s="15">
        <f t="shared" si="3"/>
        <v>5.8662529902368045E+72</v>
      </c>
      <c r="O7" s="15">
        <f t="shared" si="4"/>
        <v>165024809808.02966</v>
      </c>
      <c r="P7" s="16">
        <f t="shared" si="5"/>
        <v>1.4313637641589874</v>
      </c>
      <c r="Q7" s="16">
        <f t="shared" si="6"/>
        <v>37.755967034225655</v>
      </c>
      <c r="R7" s="16">
        <f t="shared" si="7"/>
        <v>37.737113608144746</v>
      </c>
    </row>
    <row r="8" spans="1:18" x14ac:dyDescent="0.25">
      <c r="A8" t="s">
        <v>507</v>
      </c>
      <c r="B8">
        <v>6.5</v>
      </c>
      <c r="C8">
        <v>29</v>
      </c>
      <c r="D8">
        <v>5</v>
      </c>
      <c r="E8">
        <v>6.76</v>
      </c>
      <c r="F8" s="16">
        <v>0.2</v>
      </c>
      <c r="G8">
        <v>7.32</v>
      </c>
      <c r="H8" s="16">
        <v>0.13</v>
      </c>
      <c r="I8" s="69">
        <v>3</v>
      </c>
      <c r="K8" s="15">
        <f t="shared" si="0"/>
        <v>5.3004265132391141E+37</v>
      </c>
      <c r="L8" s="15">
        <f t="shared" si="1"/>
        <v>7.2652496650229873E+37</v>
      </c>
      <c r="M8" s="15">
        <f t="shared" si="2"/>
        <v>5.8357331188874586E+30</v>
      </c>
      <c r="N8" s="15">
        <f t="shared" si="3"/>
        <v>3.8605300177859129E+74</v>
      </c>
      <c r="O8" s="15">
        <f t="shared" si="4"/>
        <v>11335902159553.928</v>
      </c>
      <c r="P8" s="16">
        <f t="shared" si="5"/>
        <v>1.4623979978989561</v>
      </c>
      <c r="Q8" s="16">
        <f t="shared" si="6"/>
        <v>37.724310817693883</v>
      </c>
      <c r="R8" s="16">
        <f t="shared" si="7"/>
        <v>37.861250543104617</v>
      </c>
    </row>
    <row r="9" spans="1:18" x14ac:dyDescent="0.25">
      <c r="A9" t="s">
        <v>508</v>
      </c>
      <c r="B9">
        <v>3.1</v>
      </c>
      <c r="C9">
        <v>30</v>
      </c>
      <c r="D9">
        <v>6</v>
      </c>
      <c r="E9">
        <v>7.26</v>
      </c>
      <c r="F9" s="16">
        <v>0.15</v>
      </c>
      <c r="G9">
        <v>7.56</v>
      </c>
      <c r="H9" s="16">
        <v>0.2</v>
      </c>
      <c r="I9" s="69">
        <v>1</v>
      </c>
      <c r="K9" s="15">
        <f t="shared" si="0"/>
        <v>1.0841552565293227E+38</v>
      </c>
      <c r="L9" s="15">
        <f t="shared" si="1"/>
        <v>8.3203878354835208E+37</v>
      </c>
      <c r="M9" s="15">
        <f t="shared" si="2"/>
        <v>5.9621894791335216E+30</v>
      </c>
      <c r="N9" s="15">
        <f t="shared" si="3"/>
        <v>6.3562715948364487E+74</v>
      </c>
      <c r="O9" s="15">
        <f t="shared" si="4"/>
        <v>17880962733312.383</v>
      </c>
      <c r="P9" s="16">
        <f t="shared" si="5"/>
        <v>1.4771212547196624</v>
      </c>
      <c r="Q9" s="16">
        <f t="shared" si="6"/>
        <v>38.035091479827635</v>
      </c>
      <c r="R9" s="16">
        <f t="shared" si="7"/>
        <v>37.920143570387445</v>
      </c>
    </row>
    <row r="10" spans="1:18" x14ac:dyDescent="0.25">
      <c r="A10" t="s">
        <v>509</v>
      </c>
      <c r="B10">
        <v>3.6</v>
      </c>
      <c r="C10">
        <v>31</v>
      </c>
      <c r="D10">
        <v>4</v>
      </c>
      <c r="E10">
        <v>6.67</v>
      </c>
      <c r="F10" s="16">
        <v>0.15</v>
      </c>
      <c r="G10">
        <v>7.85</v>
      </c>
      <c r="H10" s="16">
        <v>0.2</v>
      </c>
      <c r="I10" s="69">
        <v>1</v>
      </c>
      <c r="K10" s="15">
        <f t="shared" si="0"/>
        <v>1.5012121566719248E+38</v>
      </c>
      <c r="L10" s="15">
        <f t="shared" si="1"/>
        <v>9.4864850545846619E+37</v>
      </c>
      <c r="M10" s="15">
        <f t="shared" si="2"/>
        <v>5.9621894791335216E+30</v>
      </c>
      <c r="N10" s="15">
        <f t="shared" si="3"/>
        <v>3.0532658864234876E+75</v>
      </c>
      <c r="O10" s="15">
        <f t="shared" si="4"/>
        <v>85892071657830.344</v>
      </c>
      <c r="P10" s="16">
        <f t="shared" si="5"/>
        <v>1.4913616938342726</v>
      </c>
      <c r="Q10" s="16">
        <f t="shared" si="6"/>
        <v>38.176442072630309</v>
      </c>
      <c r="R10" s="16">
        <f t="shared" si="7"/>
        <v>37.977105326845887</v>
      </c>
    </row>
    <row r="11" spans="1:18" x14ac:dyDescent="0.25">
      <c r="A11" t="s">
        <v>510</v>
      </c>
      <c r="B11">
        <v>7.83</v>
      </c>
      <c r="C11">
        <v>35</v>
      </c>
      <c r="D11">
        <v>6</v>
      </c>
      <c r="E11">
        <v>7.72</v>
      </c>
      <c r="F11" s="16">
        <v>0.15</v>
      </c>
      <c r="G11">
        <v>7.93</v>
      </c>
      <c r="H11" s="16">
        <v>0.2</v>
      </c>
      <c r="I11" s="69">
        <v>1</v>
      </c>
      <c r="K11" s="15">
        <f t="shared" si="0"/>
        <v>2.7368931909711744E+38</v>
      </c>
      <c r="L11" s="15">
        <f t="shared" si="1"/>
        <v>1.5414545673607973E+38</v>
      </c>
      <c r="M11" s="15">
        <f t="shared" si="2"/>
        <v>5.9621894791335216E+30</v>
      </c>
      <c r="N11" s="15">
        <f t="shared" si="3"/>
        <v>1.4290735028194729E+76</v>
      </c>
      <c r="O11" s="15">
        <f t="shared" si="4"/>
        <v>402015704738568.31</v>
      </c>
      <c r="P11" s="16">
        <f t="shared" si="5"/>
        <v>1.5440680443502757</v>
      </c>
      <c r="Q11" s="16">
        <f t="shared" si="6"/>
        <v>38.437257849117486</v>
      </c>
      <c r="R11" s="16">
        <f t="shared" si="7"/>
        <v>38.187930728909897</v>
      </c>
    </row>
    <row r="12" spans="1:18" x14ac:dyDescent="0.25">
      <c r="A12" t="s">
        <v>511</v>
      </c>
      <c r="B12">
        <v>3.01</v>
      </c>
      <c r="C12">
        <v>37</v>
      </c>
      <c r="D12">
        <v>4</v>
      </c>
      <c r="E12">
        <v>7.78</v>
      </c>
      <c r="F12" s="16">
        <v>0.15</v>
      </c>
      <c r="G12">
        <v>8.32</v>
      </c>
      <c r="H12" s="16">
        <v>0.2</v>
      </c>
      <c r="I12" s="69">
        <v>1</v>
      </c>
      <c r="K12" s="15">
        <f t="shared" si="0"/>
        <v>5.3543702065422889E+38</v>
      </c>
      <c r="L12" s="15">
        <f t="shared" si="1"/>
        <v>1.9251538748318061E+38</v>
      </c>
      <c r="M12" s="15">
        <f t="shared" si="2"/>
        <v>5.9621894791335216E+30</v>
      </c>
      <c r="N12" s="15">
        <f t="shared" si="3"/>
        <v>1.17595246496699E+77</v>
      </c>
      <c r="O12" s="15">
        <f t="shared" si="4"/>
        <v>3308096875423497.5</v>
      </c>
      <c r="P12" s="16">
        <f t="shared" si="5"/>
        <v>1.568201724066995</v>
      </c>
      <c r="Q12" s="16">
        <f t="shared" si="6"/>
        <v>38.728708395446382</v>
      </c>
      <c r="R12" s="16">
        <f t="shared" si="7"/>
        <v>38.284465447776775</v>
      </c>
    </row>
    <row r="13" spans="1:18" x14ac:dyDescent="0.25">
      <c r="A13" t="s">
        <v>512</v>
      </c>
      <c r="B13">
        <v>14.1</v>
      </c>
      <c r="C13">
        <v>37</v>
      </c>
      <c r="D13">
        <v>7</v>
      </c>
      <c r="E13">
        <v>7.58</v>
      </c>
      <c r="F13" s="16">
        <v>0.2</v>
      </c>
      <c r="G13">
        <v>7.96</v>
      </c>
      <c r="H13" s="16">
        <v>0.06</v>
      </c>
      <c r="I13" s="69">
        <v>3</v>
      </c>
      <c r="K13" s="15">
        <f t="shared" si="0"/>
        <v>2.5703154887840735E+38</v>
      </c>
      <c r="L13" s="15">
        <f t="shared" si="1"/>
        <v>1.9251538748318061E+38</v>
      </c>
      <c r="M13" s="15">
        <f t="shared" si="2"/>
        <v>5.4363034176438505E+30</v>
      </c>
      <c r="N13" s="15">
        <f t="shared" si="3"/>
        <v>4.1623350811749461E+75</v>
      </c>
      <c r="O13" s="15">
        <f t="shared" si="4"/>
        <v>140841182628464.84</v>
      </c>
      <c r="P13" s="16">
        <f t="shared" si="5"/>
        <v>1.568201724066995</v>
      </c>
      <c r="Q13" s="16">
        <f t="shared" si="6"/>
        <v>38.409986433303608</v>
      </c>
      <c r="R13" s="16">
        <f t="shared" si="7"/>
        <v>38.284465447776775</v>
      </c>
    </row>
    <row r="14" spans="1:18" x14ac:dyDescent="0.25">
      <c r="A14" t="s">
        <v>513</v>
      </c>
      <c r="B14">
        <v>0.95</v>
      </c>
      <c r="C14">
        <v>38</v>
      </c>
      <c r="D14">
        <v>5</v>
      </c>
      <c r="E14">
        <v>7.34</v>
      </c>
      <c r="F14" s="16">
        <v>0.15</v>
      </c>
      <c r="G14">
        <v>7.75</v>
      </c>
      <c r="H14" s="16">
        <v>0.2</v>
      </c>
      <c r="I14" s="69">
        <v>2</v>
      </c>
      <c r="K14" s="15">
        <f t="shared" si="0"/>
        <v>1.5537207945559297E+38</v>
      </c>
      <c r="L14" s="15">
        <f t="shared" si="1"/>
        <v>2.1418691616949094E+38</v>
      </c>
      <c r="M14" s="15">
        <f t="shared" si="2"/>
        <v>5.9621894791335216E+30</v>
      </c>
      <c r="N14" s="15">
        <f t="shared" si="3"/>
        <v>3.4591850176824801E+75</v>
      </c>
      <c r="O14" s="15">
        <f t="shared" si="4"/>
        <v>97311069022066.391</v>
      </c>
      <c r="P14" s="16">
        <f t="shared" si="5"/>
        <v>1.5797835966168101</v>
      </c>
      <c r="Q14" s="16">
        <f t="shared" si="6"/>
        <v>38.191372978249923</v>
      </c>
      <c r="R14" s="16">
        <f t="shared" si="7"/>
        <v>38.330792937976035</v>
      </c>
    </row>
    <row r="15" spans="1:18" x14ac:dyDescent="0.25">
      <c r="A15" t="s">
        <v>514</v>
      </c>
      <c r="B15">
        <v>5.6</v>
      </c>
      <c r="C15">
        <v>38</v>
      </c>
      <c r="D15">
        <v>5</v>
      </c>
      <c r="E15">
        <v>7.34</v>
      </c>
      <c r="F15" s="16">
        <v>0.15</v>
      </c>
      <c r="G15">
        <v>8.02</v>
      </c>
      <c r="H15" s="16">
        <v>0.2</v>
      </c>
      <c r="I15" s="69">
        <v>1</v>
      </c>
      <c r="K15" s="15">
        <f t="shared" si="0"/>
        <v>2.5180110595478533E+38</v>
      </c>
      <c r="L15" s="15">
        <f t="shared" si="1"/>
        <v>2.1418691616949094E+38</v>
      </c>
      <c r="M15" s="15">
        <f t="shared" si="2"/>
        <v>5.9621894791335216E+30</v>
      </c>
      <c r="N15" s="15">
        <f t="shared" si="3"/>
        <v>1.4148272732041454E+75</v>
      </c>
      <c r="O15" s="15">
        <f t="shared" si="4"/>
        <v>39800806760347.773</v>
      </c>
      <c r="P15" s="16">
        <f t="shared" si="5"/>
        <v>1.5797835966168101</v>
      </c>
      <c r="Q15" s="16">
        <f t="shared" si="6"/>
        <v>38.401057633273851</v>
      </c>
      <c r="R15" s="16">
        <f t="shared" si="7"/>
        <v>38.330792937976035</v>
      </c>
    </row>
    <row r="16" spans="1:18" x14ac:dyDescent="0.25">
      <c r="A16" t="s">
        <v>515</v>
      </c>
      <c r="B16">
        <v>5.4</v>
      </c>
      <c r="C16">
        <v>40</v>
      </c>
      <c r="D16">
        <v>4</v>
      </c>
      <c r="E16">
        <v>7.57</v>
      </c>
      <c r="F16" s="16">
        <v>0.15</v>
      </c>
      <c r="G16">
        <v>7.78</v>
      </c>
      <c r="H16" s="16">
        <v>0.2</v>
      </c>
      <c r="I16" s="69">
        <v>1</v>
      </c>
      <c r="K16" s="15">
        <f t="shared" si="0"/>
        <v>1.9375719968576974E+38</v>
      </c>
      <c r="L16" s="15">
        <f t="shared" si="1"/>
        <v>2.6296534393626927E+38</v>
      </c>
      <c r="M16" s="15">
        <f t="shared" si="2"/>
        <v>5.9621894791335216E+30</v>
      </c>
      <c r="N16" s="15">
        <f t="shared" si="3"/>
        <v>4.7897672305979511E+75</v>
      </c>
      <c r="O16" s="15">
        <f t="shared" si="4"/>
        <v>134741960084175.03</v>
      </c>
      <c r="P16" s="16">
        <f t="shared" si="5"/>
        <v>1.6020599913279623</v>
      </c>
      <c r="Q16" s="16">
        <f t="shared" si="6"/>
        <v>38.287257849117481</v>
      </c>
      <c r="R16" s="16">
        <f t="shared" si="7"/>
        <v>38.419898516820645</v>
      </c>
    </row>
    <row r="17" spans="1:18" x14ac:dyDescent="0.25">
      <c r="A17" t="s">
        <v>516</v>
      </c>
      <c r="B17">
        <v>7.4</v>
      </c>
      <c r="C17">
        <v>41</v>
      </c>
      <c r="D17">
        <v>4</v>
      </c>
      <c r="E17">
        <v>7.2</v>
      </c>
      <c r="F17" s="16">
        <v>0.15</v>
      </c>
      <c r="G17">
        <v>7.56</v>
      </c>
      <c r="H17" s="16">
        <v>0.2</v>
      </c>
      <c r="I17" s="69">
        <v>1</v>
      </c>
      <c r="K17" s="15">
        <f t="shared" si="0"/>
        <v>1.0374496636556512E+38</v>
      </c>
      <c r="L17" s="15">
        <f t="shared" si="1"/>
        <v>2.9026453642449072E+38</v>
      </c>
      <c r="M17" s="15">
        <f t="shared" si="2"/>
        <v>5.9621894791335216E+30</v>
      </c>
      <c r="N17" s="15">
        <f t="shared" si="3"/>
        <v>3.4789550014966455E+76</v>
      </c>
      <c r="O17" s="15">
        <f t="shared" si="4"/>
        <v>978672226390805.75</v>
      </c>
      <c r="P17" s="16">
        <f t="shared" si="5"/>
        <v>1.6127838567197355</v>
      </c>
      <c r="Q17" s="16">
        <f t="shared" si="6"/>
        <v>38.015967034225653</v>
      </c>
      <c r="R17" s="16">
        <f t="shared" si="7"/>
        <v>38.462793978387737</v>
      </c>
    </row>
    <row r="18" spans="1:18" x14ac:dyDescent="0.25">
      <c r="A18" t="s">
        <v>517</v>
      </c>
      <c r="B18">
        <v>3</v>
      </c>
      <c r="C18">
        <v>44</v>
      </c>
      <c r="D18">
        <v>3</v>
      </c>
      <c r="E18">
        <v>7.24</v>
      </c>
      <c r="F18" s="16">
        <v>0.15</v>
      </c>
      <c r="G18">
        <v>8.4499999999999993</v>
      </c>
      <c r="H18" s="16">
        <v>0.2</v>
      </c>
      <c r="I18" s="69" t="s">
        <v>502</v>
      </c>
      <c r="K18" s="15">
        <f t="shared" si="0"/>
        <v>5.9517114514246687E+38</v>
      </c>
      <c r="L18" s="15">
        <f t="shared" si="1"/>
        <v>3.8500756005709183E+38</v>
      </c>
      <c r="M18" s="15">
        <f t="shared" si="2"/>
        <v>5.9621894791335216E+30</v>
      </c>
      <c r="N18" s="15">
        <f t="shared" si="3"/>
        <v>4.416873249593767E+76</v>
      </c>
      <c r="O18" s="15">
        <f t="shared" si="4"/>
        <v>1242520002416332.8</v>
      </c>
      <c r="P18" s="16">
        <f t="shared" si="5"/>
        <v>1.6434526764861874</v>
      </c>
      <c r="Q18" s="16">
        <f t="shared" si="6"/>
        <v>38.774641867750908</v>
      </c>
      <c r="R18" s="16">
        <f t="shared" si="7"/>
        <v>38.585469257453546</v>
      </c>
    </row>
    <row r="19" spans="1:18" x14ac:dyDescent="0.25">
      <c r="A19" t="s">
        <v>518</v>
      </c>
      <c r="B19">
        <v>18.5</v>
      </c>
      <c r="C19">
        <v>45</v>
      </c>
      <c r="D19">
        <v>6</v>
      </c>
      <c r="E19">
        <v>6.97</v>
      </c>
      <c r="F19" s="16">
        <v>0.2</v>
      </c>
      <c r="G19">
        <v>7.94</v>
      </c>
      <c r="H19" s="16">
        <v>0.05</v>
      </c>
      <c r="I19" s="69">
        <v>3</v>
      </c>
      <c r="K19" s="15">
        <f t="shared" si="0"/>
        <v>1.9180672897531734E+38</v>
      </c>
      <c r="L19" s="15">
        <f t="shared" si="1"/>
        <v>4.2121963417135322E+38</v>
      </c>
      <c r="M19" s="15">
        <f t="shared" si="2"/>
        <v>5.3843179565764366E+30</v>
      </c>
      <c r="N19" s="15">
        <f t="shared" si="3"/>
        <v>5.2630281070485347E+76</v>
      </c>
      <c r="O19" s="15">
        <f t="shared" si="4"/>
        <v>1815408201791743.5</v>
      </c>
      <c r="P19" s="16">
        <f t="shared" si="5"/>
        <v>1.6532125137753437</v>
      </c>
      <c r="Q19" s="16">
        <f t="shared" si="6"/>
        <v>38.282863839047302</v>
      </c>
      <c r="R19" s="16">
        <f t="shared" si="7"/>
        <v>38.624508606610171</v>
      </c>
    </row>
    <row r="20" spans="1:18" x14ac:dyDescent="0.25">
      <c r="A20" t="s">
        <v>519</v>
      </c>
      <c r="B20">
        <v>5.5</v>
      </c>
      <c r="C20">
        <v>53</v>
      </c>
      <c r="D20">
        <v>5</v>
      </c>
      <c r="E20">
        <v>6.88</v>
      </c>
      <c r="F20" s="16">
        <v>0.2</v>
      </c>
      <c r="G20">
        <v>8.2899999999999991</v>
      </c>
      <c r="H20" s="16">
        <v>0.15</v>
      </c>
      <c r="I20" s="69">
        <v>3</v>
      </c>
      <c r="K20" s="15">
        <f t="shared" si="0"/>
        <v>4.0293245588277787E+38</v>
      </c>
      <c r="L20" s="15">
        <f t="shared" si="1"/>
        <v>8.1051681640140554E+38</v>
      </c>
      <c r="M20" s="15">
        <f t="shared" si="2"/>
        <v>5.9621894791335216E+30</v>
      </c>
      <c r="N20" s="15">
        <f t="shared" si="3"/>
        <v>1.6612501093937864E+77</v>
      </c>
      <c r="O20" s="15">
        <f t="shared" si="4"/>
        <v>4673297994521227</v>
      </c>
      <c r="P20" s="16">
        <f t="shared" si="5"/>
        <v>1.7242758696007889</v>
      </c>
      <c r="Q20" s="16">
        <f t="shared" si="6"/>
        <v>38.605232250865896</v>
      </c>
      <c r="R20" s="16">
        <f t="shared" si="7"/>
        <v>38.908762029911955</v>
      </c>
    </row>
    <row r="21" spans="1:18" x14ac:dyDescent="0.25">
      <c r="A21" t="s">
        <v>520</v>
      </c>
      <c r="B21">
        <v>4.3</v>
      </c>
      <c r="C21">
        <v>54</v>
      </c>
      <c r="D21">
        <v>3</v>
      </c>
      <c r="E21">
        <v>8.07</v>
      </c>
      <c r="F21" s="16">
        <v>0.15</v>
      </c>
      <c r="G21">
        <v>8.74</v>
      </c>
      <c r="H21" s="16">
        <v>0.2</v>
      </c>
      <c r="I21" s="69">
        <v>2</v>
      </c>
      <c r="K21" s="15">
        <f t="shared" si="0"/>
        <v>1.3267906248432249E+39</v>
      </c>
      <c r="L21" s="15">
        <f t="shared" si="1"/>
        <v>8.7344103341771801E+38</v>
      </c>
      <c r="M21" s="15">
        <f t="shared" si="2"/>
        <v>5.9621894791335216E+30</v>
      </c>
      <c r="N21" s="15">
        <f t="shared" si="3"/>
        <v>2.0552585204567406E+77</v>
      </c>
      <c r="O21" s="15">
        <f t="shared" si="4"/>
        <v>5781691430785272</v>
      </c>
      <c r="P21" s="16">
        <f t="shared" si="5"/>
        <v>1.7323937598229686</v>
      </c>
      <c r="Q21" s="16">
        <f t="shared" si="6"/>
        <v>39.12280239411573</v>
      </c>
      <c r="R21" s="16">
        <f t="shared" si="7"/>
        <v>38.941233590800671</v>
      </c>
    </row>
    <row r="22" spans="1:18" x14ac:dyDescent="0.25">
      <c r="A22" t="s">
        <v>521</v>
      </c>
      <c r="B22">
        <v>3</v>
      </c>
      <c r="C22">
        <v>56</v>
      </c>
      <c r="D22">
        <v>5</v>
      </c>
      <c r="E22">
        <v>7.28</v>
      </c>
      <c r="F22" s="16">
        <v>0.15</v>
      </c>
      <c r="G22">
        <v>7.85</v>
      </c>
      <c r="H22" s="16">
        <v>0.2</v>
      </c>
      <c r="I22" s="69">
        <v>1</v>
      </c>
      <c r="K22" s="15">
        <f t="shared" si="0"/>
        <v>1.787190151128558E+38</v>
      </c>
      <c r="L22" s="15">
        <f t="shared" si="1"/>
        <v>1.0102076652655721E+39</v>
      </c>
      <c r="M22" s="15">
        <f t="shared" si="2"/>
        <v>5.9621894791335216E+30</v>
      </c>
      <c r="N22" s="15">
        <f t="shared" si="3"/>
        <v>6.913733753327862E+77</v>
      </c>
      <c r="O22" s="15">
        <f t="shared" si="4"/>
        <v>1.94491713808652E+16</v>
      </c>
      <c r="P22" s="16">
        <f t="shared" si="5"/>
        <v>1.7481880270062005</v>
      </c>
      <c r="Q22" s="16">
        <f t="shared" si="6"/>
        <v>38.252170762462278</v>
      </c>
      <c r="R22" s="16">
        <f t="shared" si="7"/>
        <v>39.004410659533598</v>
      </c>
    </row>
    <row r="23" spans="1:18" x14ac:dyDescent="0.25">
      <c r="A23" t="s">
        <v>522</v>
      </c>
      <c r="B23">
        <v>5.0999999999999996</v>
      </c>
      <c r="C23">
        <v>58</v>
      </c>
      <c r="D23">
        <v>3</v>
      </c>
      <c r="E23">
        <v>8.25</v>
      </c>
      <c r="F23" s="16">
        <v>0.37</v>
      </c>
      <c r="G23">
        <v>8.4600000000000009</v>
      </c>
      <c r="H23" s="16">
        <v>0.39</v>
      </c>
      <c r="I23" s="69">
        <v>2</v>
      </c>
      <c r="K23" s="15">
        <f t="shared" si="0"/>
        <v>9.2738026373775888E+38</v>
      </c>
      <c r="L23" s="15">
        <f t="shared" si="1"/>
        <v>1.162439946403678E+39</v>
      </c>
      <c r="M23" s="15">
        <f t="shared" si="2"/>
        <v>9.545567040741951E+30</v>
      </c>
      <c r="N23" s="15">
        <f t="shared" si="3"/>
        <v>5.5253054415002583E+76</v>
      </c>
      <c r="O23" s="15">
        <f t="shared" si="4"/>
        <v>606391111473732</v>
      </c>
      <c r="P23" s="16">
        <f t="shared" si="5"/>
        <v>1.7634279935629373</v>
      </c>
      <c r="Q23" s="16">
        <f t="shared" si="6"/>
        <v>38.96725784911748</v>
      </c>
      <c r="R23" s="16">
        <f t="shared" si="7"/>
        <v>39.065370525760542</v>
      </c>
    </row>
    <row r="24" spans="1:18" x14ac:dyDescent="0.25">
      <c r="A24" t="s">
        <v>523</v>
      </c>
      <c r="B24">
        <v>12.2</v>
      </c>
      <c r="C24">
        <v>59</v>
      </c>
      <c r="D24">
        <v>7</v>
      </c>
      <c r="E24">
        <v>7.63</v>
      </c>
      <c r="F24" s="16">
        <v>0.2</v>
      </c>
      <c r="G24">
        <v>8.6199999999999992</v>
      </c>
      <c r="H24" s="16">
        <v>7.0000000000000007E-2</v>
      </c>
      <c r="I24" s="69">
        <v>3</v>
      </c>
      <c r="K24" s="15">
        <f t="shared" si="0"/>
        <v>9.1404582274566838E+38</v>
      </c>
      <c r="L24" s="15">
        <f t="shared" si="1"/>
        <v>1.244705469908178E+39</v>
      </c>
      <c r="M24" s="15">
        <f t="shared" si="2"/>
        <v>5.4894997756546196E+30</v>
      </c>
      <c r="N24" s="15">
        <f t="shared" si="3"/>
        <v>1.093358022616354E+77</v>
      </c>
      <c r="O24" s="15">
        <f t="shared" si="4"/>
        <v>3628247065127606</v>
      </c>
      <c r="P24" s="16">
        <f t="shared" si="5"/>
        <v>1.7708520116421442</v>
      </c>
      <c r="Q24" s="16">
        <f t="shared" si="6"/>
        <v>38.960967968235749</v>
      </c>
      <c r="R24" s="16">
        <f t="shared" si="7"/>
        <v>39.095066598077373</v>
      </c>
    </row>
    <row r="25" spans="1:18" x14ac:dyDescent="0.25">
      <c r="A25" t="s">
        <v>524</v>
      </c>
      <c r="B25">
        <v>7.5</v>
      </c>
      <c r="C25">
        <v>59</v>
      </c>
      <c r="D25">
        <v>6</v>
      </c>
      <c r="E25">
        <v>7.77</v>
      </c>
      <c r="F25" s="16">
        <v>0.15</v>
      </c>
      <c r="G25">
        <v>8.58</v>
      </c>
      <c r="H25" s="16">
        <v>0.2</v>
      </c>
      <c r="I25" s="69">
        <v>1</v>
      </c>
      <c r="K25" s="15">
        <f t="shared" si="0"/>
        <v>8.7336161970801091E+38</v>
      </c>
      <c r="L25" s="15">
        <f t="shared" si="1"/>
        <v>1.244705469908178E+39</v>
      </c>
      <c r="M25" s="15">
        <f t="shared" si="2"/>
        <v>5.9621894791335216E+30</v>
      </c>
      <c r="N25" s="15">
        <f t="shared" si="3"/>
        <v>1.3789625508148418E+77</v>
      </c>
      <c r="O25" s="15">
        <f t="shared" si="4"/>
        <v>3879188863135420.5</v>
      </c>
      <c r="P25" s="16">
        <f t="shared" si="5"/>
        <v>1.7708520116421442</v>
      </c>
      <c r="Q25" s="16">
        <f t="shared" si="6"/>
        <v>38.941194102726989</v>
      </c>
      <c r="R25" s="16">
        <f t="shared" si="7"/>
        <v>39.095066598077373</v>
      </c>
    </row>
    <row r="26" spans="1:18" x14ac:dyDescent="0.25">
      <c r="A26" t="s">
        <v>525</v>
      </c>
      <c r="B26">
        <v>3.2</v>
      </c>
      <c r="C26">
        <v>60</v>
      </c>
      <c r="D26">
        <v>5</v>
      </c>
      <c r="E26">
        <v>8.4499999999999993</v>
      </c>
      <c r="F26" s="16">
        <v>0.15</v>
      </c>
      <c r="G26">
        <v>9.09</v>
      </c>
      <c r="H26" s="16">
        <v>0.2</v>
      </c>
      <c r="I26" s="69">
        <v>2</v>
      </c>
      <c r="K26" s="15">
        <f t="shared" si="0"/>
        <v>3.0077321608807254E+39</v>
      </c>
      <c r="L26" s="15">
        <f t="shared" si="1"/>
        <v>1.3312620536773633E+39</v>
      </c>
      <c r="M26" s="15">
        <f t="shared" si="2"/>
        <v>5.9621894791335216E+30</v>
      </c>
      <c r="N26" s="15">
        <f t="shared" si="3"/>
        <v>2.8105520203464521E+78</v>
      </c>
      <c r="O26" s="15">
        <f t="shared" si="4"/>
        <v>7.9064236299587904E+16</v>
      </c>
      <c r="P26" s="16">
        <f t="shared" si="5"/>
        <v>1.7781512503836436</v>
      </c>
      <c r="Q26" s="16">
        <f t="shared" si="6"/>
        <v>39.4782391596355</v>
      </c>
      <c r="R26" s="16">
        <f t="shared" si="7"/>
        <v>39.12426355304337</v>
      </c>
    </row>
    <row r="27" spans="1:18" x14ac:dyDescent="0.25">
      <c r="A27" t="s">
        <v>526</v>
      </c>
      <c r="B27">
        <v>12.6</v>
      </c>
      <c r="C27">
        <v>64</v>
      </c>
      <c r="D27">
        <v>5</v>
      </c>
      <c r="E27">
        <v>8.1199999999999992</v>
      </c>
      <c r="F27" s="16">
        <v>0.39</v>
      </c>
      <c r="G27">
        <v>9.2100000000000009</v>
      </c>
      <c r="H27" s="16">
        <v>0.41</v>
      </c>
      <c r="I27" s="69">
        <v>2</v>
      </c>
      <c r="K27" s="15">
        <f t="shared" si="0"/>
        <v>3.4881569125229167E+39</v>
      </c>
      <c r="L27" s="15">
        <f t="shared" si="1"/>
        <v>1.7233696780207345E+39</v>
      </c>
      <c r="M27" s="15">
        <f t="shared" si="2"/>
        <v>9.9954357556946407E+30</v>
      </c>
      <c r="N27" s="15">
        <f t="shared" si="3"/>
        <v>3.1144739830618603E+78</v>
      </c>
      <c r="O27" s="15">
        <f t="shared" si="4"/>
        <v>3.117318974727484E+16</v>
      </c>
      <c r="P27" s="16">
        <f t="shared" si="5"/>
        <v>1.8061799739838871</v>
      </c>
      <c r="Q27" s="16">
        <f t="shared" si="6"/>
        <v>39.542596013161351</v>
      </c>
      <c r="R27" s="16">
        <f t="shared" si="7"/>
        <v>39.236378447444345</v>
      </c>
    </row>
    <row r="28" spans="1:18" x14ac:dyDescent="0.25">
      <c r="A28" t="s">
        <v>527</v>
      </c>
      <c r="B28">
        <v>1.3</v>
      </c>
      <c r="C28">
        <v>66</v>
      </c>
      <c r="D28">
        <v>3</v>
      </c>
      <c r="E28">
        <v>7.41</v>
      </c>
      <c r="F28" s="16">
        <v>0.15</v>
      </c>
      <c r="G28">
        <v>8.7899999999999991</v>
      </c>
      <c r="H28" s="16">
        <v>0.2</v>
      </c>
      <c r="I28" s="69">
        <v>2</v>
      </c>
      <c r="K28" s="15">
        <f t="shared" si="0"/>
        <v>1.2775968607177313E+39</v>
      </c>
      <c r="L28" s="15">
        <f t="shared" si="1"/>
        <v>1.9491007727890276E+39</v>
      </c>
      <c r="M28" s="15">
        <f t="shared" si="2"/>
        <v>5.9621894791335216E+30</v>
      </c>
      <c r="N28" s="15">
        <f t="shared" si="3"/>
        <v>4.5091750392705535E+77</v>
      </c>
      <c r="O28" s="15">
        <f t="shared" si="4"/>
        <v>1.2684856150684008E+16</v>
      </c>
      <c r="P28" s="16">
        <f t="shared" si="5"/>
        <v>1.8195439355418688</v>
      </c>
      <c r="Q28" s="16">
        <f t="shared" si="6"/>
        <v>39.106393835993103</v>
      </c>
      <c r="R28" s="16">
        <f t="shared" si="7"/>
        <v>39.289834293676272</v>
      </c>
    </row>
    <row r="29" spans="1:18" x14ac:dyDescent="0.25">
      <c r="A29" t="s">
        <v>528</v>
      </c>
      <c r="B29">
        <v>17.399999999999999</v>
      </c>
      <c r="C29">
        <v>66</v>
      </c>
      <c r="D29">
        <v>7</v>
      </c>
      <c r="E29">
        <v>8.09</v>
      </c>
      <c r="F29" s="16">
        <v>0.15</v>
      </c>
      <c r="G29">
        <v>9.02</v>
      </c>
      <c r="H29" s="16">
        <v>0.2</v>
      </c>
      <c r="I29" s="69">
        <v>1</v>
      </c>
      <c r="K29" s="15">
        <f t="shared" si="0"/>
        <v>2.3275561561303407E+39</v>
      </c>
      <c r="L29" s="15">
        <f t="shared" si="1"/>
        <v>1.9491007727890276E+39</v>
      </c>
      <c r="M29" s="15">
        <f t="shared" si="2"/>
        <v>5.9621894791335216E+30</v>
      </c>
      <c r="N29" s="15">
        <f t="shared" si="3"/>
        <v>1.4322847718002021E+77</v>
      </c>
      <c r="O29" s="15">
        <f t="shared" si="4"/>
        <v>4029190736414595.5</v>
      </c>
      <c r="P29" s="16">
        <f t="shared" si="5"/>
        <v>1.8195439355418688</v>
      </c>
      <c r="Q29" s="16">
        <f t="shared" si="6"/>
        <v>39.366900167850297</v>
      </c>
      <c r="R29" s="16">
        <f t="shared" si="7"/>
        <v>39.289834293676272</v>
      </c>
    </row>
    <row r="30" spans="1:18" x14ac:dyDescent="0.25">
      <c r="A30" t="s">
        <v>529</v>
      </c>
      <c r="B30">
        <v>17.899999999999999</v>
      </c>
      <c r="C30">
        <v>68</v>
      </c>
      <c r="D30">
        <v>7</v>
      </c>
      <c r="E30">
        <v>7.41</v>
      </c>
      <c r="F30" s="16">
        <v>0.2</v>
      </c>
      <c r="G30">
        <v>9.06</v>
      </c>
      <c r="H30" s="16">
        <v>0.05</v>
      </c>
      <c r="I30" s="69">
        <v>3</v>
      </c>
      <c r="K30" s="15">
        <f t="shared" si="0"/>
        <v>2.3349201110345098E+39</v>
      </c>
      <c r="L30" s="15">
        <f t="shared" si="1"/>
        <v>2.1963128490901147E+39</v>
      </c>
      <c r="M30" s="15">
        <f t="shared" si="2"/>
        <v>5.3843179565764366E+30</v>
      </c>
      <c r="N30" s="15">
        <f t="shared" si="3"/>
        <v>1.9211973063722175E+76</v>
      </c>
      <c r="O30" s="15">
        <f t="shared" si="4"/>
        <v>662690237693645.13</v>
      </c>
      <c r="P30" s="16">
        <f t="shared" si="5"/>
        <v>1.8325089127062364</v>
      </c>
      <c r="Q30" s="16">
        <f t="shared" si="6"/>
        <v>39.368272025831288</v>
      </c>
      <c r="R30" s="16">
        <f t="shared" si="7"/>
        <v>39.341694202333741</v>
      </c>
    </row>
    <row r="31" spans="1:18" x14ac:dyDescent="0.25">
      <c r="A31" t="s">
        <v>530</v>
      </c>
      <c r="B31">
        <v>4</v>
      </c>
      <c r="C31">
        <v>68</v>
      </c>
      <c r="D31">
        <v>5</v>
      </c>
      <c r="E31">
        <v>8.94</v>
      </c>
      <c r="F31" s="16">
        <v>0.15</v>
      </c>
      <c r="G31">
        <v>9.1999999999999993</v>
      </c>
      <c r="H31" s="16">
        <v>0.2</v>
      </c>
      <c r="I31" s="69">
        <v>2</v>
      </c>
      <c r="K31" s="15">
        <f t="shared" si="0"/>
        <v>4.884944725906043E+39</v>
      </c>
      <c r="L31" s="15">
        <f t="shared" si="1"/>
        <v>2.1963128490901147E+39</v>
      </c>
      <c r="M31" s="15">
        <f t="shared" si="2"/>
        <v>5.9621894791335216E+30</v>
      </c>
      <c r="N31" s="15">
        <f t="shared" si="3"/>
        <v>7.2287413690307411E+78</v>
      </c>
      <c r="O31" s="15">
        <f t="shared" si="4"/>
        <v>2.0335326000448867E+17</v>
      </c>
      <c r="P31" s="16">
        <f t="shared" si="5"/>
        <v>1.8325089127062364</v>
      </c>
      <c r="Q31" s="16">
        <f t="shared" si="6"/>
        <v>39.68885965395657</v>
      </c>
      <c r="R31" s="16">
        <f t="shared" si="7"/>
        <v>39.341694202333741</v>
      </c>
    </row>
    <row r="32" spans="1:18" x14ac:dyDescent="0.25">
      <c r="A32" t="s">
        <v>531</v>
      </c>
      <c r="B32">
        <v>18.600000000000001</v>
      </c>
      <c r="C32">
        <v>72</v>
      </c>
      <c r="D32">
        <v>6</v>
      </c>
      <c r="E32">
        <v>9.2200000000000006</v>
      </c>
      <c r="F32" s="16">
        <v>0.16</v>
      </c>
      <c r="G32">
        <v>9.2799999999999994</v>
      </c>
      <c r="H32" s="16">
        <v>0.2</v>
      </c>
      <c r="I32" s="69">
        <v>2</v>
      </c>
      <c r="K32" s="15">
        <f t="shared" si="0"/>
        <v>7.0912362316847607E+39</v>
      </c>
      <c r="L32" s="15">
        <f t="shared" si="1"/>
        <v>2.7605049945053806E+39</v>
      </c>
      <c r="M32" s="15">
        <f t="shared" si="2"/>
        <v>6.0276352971151244E+30</v>
      </c>
      <c r="N32" s="15">
        <f t="shared" si="3"/>
        <v>1.8755233048681245E+79</v>
      </c>
      <c r="O32" s="15">
        <f t="shared" si="4"/>
        <v>5.1621251603172346E+17</v>
      </c>
      <c r="P32" s="16">
        <f t="shared" si="5"/>
        <v>1.8573324964312685</v>
      </c>
      <c r="Q32" s="16">
        <f t="shared" si="6"/>
        <v>39.850721953349186</v>
      </c>
      <c r="R32" s="16">
        <f t="shared" si="7"/>
        <v>39.440988537233871</v>
      </c>
    </row>
    <row r="33" spans="1:18" x14ac:dyDescent="0.25">
      <c r="A33" t="s">
        <v>532</v>
      </c>
      <c r="B33">
        <v>13</v>
      </c>
      <c r="C33">
        <v>74</v>
      </c>
      <c r="D33">
        <v>3</v>
      </c>
      <c r="E33">
        <v>8.75</v>
      </c>
      <c r="F33" s="16">
        <v>0.27</v>
      </c>
      <c r="G33">
        <v>9.32</v>
      </c>
      <c r="H33" s="16">
        <v>0.28999999999999998</v>
      </c>
      <c r="I33" s="69">
        <v>2</v>
      </c>
      <c r="K33" s="15">
        <f t="shared" si="0"/>
        <v>5.2743720638179087E+39</v>
      </c>
      <c r="L33" s="15">
        <f t="shared" si="1"/>
        <v>3.0802461997308897E+39</v>
      </c>
      <c r="M33" s="15">
        <f t="shared" si="2"/>
        <v>7.5823134169148373E+30</v>
      </c>
      <c r="N33" s="15">
        <f t="shared" si="3"/>
        <v>4.8141883074556073E+78</v>
      </c>
      <c r="O33" s="15">
        <f t="shared" si="4"/>
        <v>8.3737426474451632E+16</v>
      </c>
      <c r="P33" s="16">
        <f t="shared" si="5"/>
        <v>1.8692317197309762</v>
      </c>
      <c r="Q33" s="16">
        <f t="shared" si="6"/>
        <v>39.722170762462277</v>
      </c>
      <c r="R33" s="16">
        <f t="shared" si="7"/>
        <v>39.4885854304327</v>
      </c>
    </row>
    <row r="34" spans="1:18" x14ac:dyDescent="0.25">
      <c r="A34" t="s">
        <v>533</v>
      </c>
      <c r="B34">
        <v>3.45</v>
      </c>
      <c r="C34">
        <v>77</v>
      </c>
      <c r="D34">
        <v>3</v>
      </c>
      <c r="E34">
        <v>8.6999999999999993</v>
      </c>
      <c r="F34" s="16">
        <v>0.15</v>
      </c>
      <c r="G34">
        <v>9.23</v>
      </c>
      <c r="H34" s="16">
        <v>0.2</v>
      </c>
      <c r="I34" s="69">
        <v>2</v>
      </c>
      <c r="K34" s="15">
        <f t="shared" si="0"/>
        <v>4.3748879755196757E+39</v>
      </c>
      <c r="L34" s="15">
        <f t="shared" si="1"/>
        <v>3.6109498113167089E+39</v>
      </c>
      <c r="M34" s="15">
        <f t="shared" si="2"/>
        <v>5.9621894791335216E+30</v>
      </c>
      <c r="N34" s="15">
        <f t="shared" si="3"/>
        <v>5.8360151872579907E+77</v>
      </c>
      <c r="O34" s="15">
        <f t="shared" si="4"/>
        <v>1.6417418374503916E+16</v>
      </c>
      <c r="P34" s="16">
        <f t="shared" si="5"/>
        <v>1.8864907251724818</v>
      </c>
      <c r="Q34" s="16">
        <f t="shared" si="6"/>
        <v>39.640966936847128</v>
      </c>
      <c r="R34" s="16">
        <f t="shared" si="7"/>
        <v>39.557621452198724</v>
      </c>
    </row>
    <row r="35" spans="1:18" x14ac:dyDescent="0.25">
      <c r="A35" t="s">
        <v>534</v>
      </c>
      <c r="B35">
        <v>4.6500000000000004</v>
      </c>
      <c r="C35">
        <v>78</v>
      </c>
      <c r="D35">
        <v>3</v>
      </c>
      <c r="E35">
        <v>8.36</v>
      </c>
      <c r="F35" s="16">
        <v>0.15</v>
      </c>
      <c r="G35">
        <v>8.9600000000000009</v>
      </c>
      <c r="H35" s="16">
        <v>0.2</v>
      </c>
      <c r="I35" s="69">
        <v>2</v>
      </c>
      <c r="K35" s="15">
        <f t="shared" si="0"/>
        <v>2.2697572453748843E+39</v>
      </c>
      <c r="L35" s="15">
        <f t="shared" si="1"/>
        <v>3.8022175515079172E+39</v>
      </c>
      <c r="M35" s="15">
        <f t="shared" si="2"/>
        <v>5.9621894791335216E+30</v>
      </c>
      <c r="N35" s="15">
        <f t="shared" si="3"/>
        <v>2.3484345898733492E+78</v>
      </c>
      <c r="O35" s="15">
        <f t="shared" si="4"/>
        <v>6.6064312634563568E+16</v>
      </c>
      <c r="P35" s="16">
        <f t="shared" si="5"/>
        <v>1.8920946026904804</v>
      </c>
      <c r="Q35" s="16">
        <f t="shared" si="6"/>
        <v>39.355979411099845</v>
      </c>
      <c r="R35" s="16">
        <f t="shared" si="7"/>
        <v>39.580036962270718</v>
      </c>
    </row>
    <row r="36" spans="1:18" x14ac:dyDescent="0.25">
      <c r="A36" t="s">
        <v>535</v>
      </c>
      <c r="B36">
        <v>6.5</v>
      </c>
      <c r="C36">
        <v>79</v>
      </c>
      <c r="D36">
        <v>3</v>
      </c>
      <c r="E36">
        <v>8.17</v>
      </c>
      <c r="F36" s="16">
        <v>0.37</v>
      </c>
      <c r="G36">
        <v>9.0500000000000007</v>
      </c>
      <c r="H36" s="16">
        <v>0.39</v>
      </c>
      <c r="I36" s="69">
        <v>2</v>
      </c>
      <c r="K36" s="15">
        <f t="shared" si="0"/>
        <v>2.5260163569425791E+39</v>
      </c>
      <c r="L36" s="15">
        <f t="shared" si="1"/>
        <v>4.000984940043182E+39</v>
      </c>
      <c r="M36" s="15">
        <f t="shared" si="2"/>
        <v>9.545567040741951E+30</v>
      </c>
      <c r="N36" s="15">
        <f t="shared" si="3"/>
        <v>2.1755323211338003E+78</v>
      </c>
      <c r="O36" s="15">
        <f t="shared" si="4"/>
        <v>2.387602778211572E+16</v>
      </c>
      <c r="P36" s="16">
        <f t="shared" si="5"/>
        <v>1.8976270912904414</v>
      </c>
      <c r="Q36" s="16">
        <f t="shared" si="6"/>
        <v>39.402436158454826</v>
      </c>
      <c r="R36" s="16">
        <f t="shared" si="7"/>
        <v>39.602166916670562</v>
      </c>
    </row>
    <row r="37" spans="1:18" x14ac:dyDescent="0.25">
      <c r="A37" t="s">
        <v>536</v>
      </c>
      <c r="B37">
        <v>48</v>
      </c>
      <c r="C37">
        <v>83</v>
      </c>
      <c r="D37">
        <v>8</v>
      </c>
      <c r="E37">
        <v>8.3000000000000007</v>
      </c>
      <c r="F37" s="16">
        <v>0.21</v>
      </c>
      <c r="G37">
        <v>9.0399999999999991</v>
      </c>
      <c r="H37" s="16">
        <v>0.24</v>
      </c>
      <c r="I37" s="69">
        <v>2</v>
      </c>
      <c r="K37" s="15">
        <f t="shared" si="0"/>
        <v>2.5778824070188672E+39</v>
      </c>
      <c r="L37" s="15">
        <f t="shared" si="1"/>
        <v>4.8749584782823712E+39</v>
      </c>
      <c r="M37" s="15">
        <f t="shared" si="2"/>
        <v>6.6826020931220303E+30</v>
      </c>
      <c r="N37" s="15">
        <f t="shared" si="3"/>
        <v>5.2765584771713745E+78</v>
      </c>
      <c r="O37" s="15">
        <f t="shared" si="4"/>
        <v>1.1815702585555883E+17</v>
      </c>
      <c r="P37" s="16">
        <f t="shared" si="5"/>
        <v>1.919078092376074</v>
      </c>
      <c r="Q37" s="16">
        <f t="shared" si="6"/>
        <v>39.411263102642053</v>
      </c>
      <c r="R37" s="16">
        <f t="shared" si="7"/>
        <v>39.68797092101309</v>
      </c>
    </row>
    <row r="38" spans="1:18" x14ac:dyDescent="0.25">
      <c r="A38" t="s">
        <v>537</v>
      </c>
      <c r="B38">
        <v>79</v>
      </c>
      <c r="C38">
        <v>83</v>
      </c>
      <c r="D38">
        <v>5</v>
      </c>
      <c r="E38">
        <v>9</v>
      </c>
      <c r="F38" s="16">
        <v>0.19</v>
      </c>
      <c r="G38">
        <v>9.33</v>
      </c>
      <c r="H38" s="16">
        <v>0.22</v>
      </c>
      <c r="I38" s="69">
        <v>2</v>
      </c>
      <c r="K38" s="15">
        <f t="shared" si="0"/>
        <v>6.241720392228904E+39</v>
      </c>
      <c r="L38" s="15">
        <f t="shared" si="1"/>
        <v>4.8749584782823712E+39</v>
      </c>
      <c r="M38" s="15">
        <f t="shared" si="2"/>
        <v>6.3818354542628692E+30</v>
      </c>
      <c r="N38" s="15">
        <f t="shared" si="3"/>
        <v>1.8680381294147894E+78</v>
      </c>
      <c r="O38" s="15">
        <f t="shared" si="4"/>
        <v>4.5866387071900696E+16</v>
      </c>
      <c r="P38" s="16">
        <f t="shared" si="5"/>
        <v>1.919078092376074</v>
      </c>
      <c r="Q38" s="16">
        <f t="shared" si="6"/>
        <v>39.79530430985448</v>
      </c>
      <c r="R38" s="16">
        <f t="shared" si="7"/>
        <v>39.68797092101309</v>
      </c>
    </row>
    <row r="39" spans="1:18" x14ac:dyDescent="0.25">
      <c r="A39" t="s">
        <v>538</v>
      </c>
      <c r="B39">
        <v>10.4</v>
      </c>
      <c r="C39">
        <v>84</v>
      </c>
      <c r="D39">
        <v>5</v>
      </c>
      <c r="E39">
        <v>8.9600000000000009</v>
      </c>
      <c r="F39" s="16">
        <v>0.15</v>
      </c>
      <c r="G39">
        <v>9.32</v>
      </c>
      <c r="H39" s="16">
        <v>0.2</v>
      </c>
      <c r="I39" s="69">
        <v>2</v>
      </c>
      <c r="K39" s="15">
        <f t="shared" si="0"/>
        <v>5.969899694444629E+39</v>
      </c>
      <c r="L39" s="15">
        <f t="shared" si="1"/>
        <v>5.1141763054069587E+39</v>
      </c>
      <c r="M39" s="15">
        <f t="shared" si="2"/>
        <v>5.9621894791335216E+30</v>
      </c>
      <c r="N39" s="15">
        <f t="shared" si="3"/>
        <v>7.3226251854611615E+77</v>
      </c>
      <c r="O39" s="15">
        <f t="shared" si="4"/>
        <v>2.0599432560057996E+16</v>
      </c>
      <c r="P39" s="16">
        <f t="shared" si="5"/>
        <v>1.9242792860618816</v>
      </c>
      <c r="Q39" s="16">
        <f t="shared" si="6"/>
        <v>39.775967034225658</v>
      </c>
      <c r="R39" s="16">
        <f t="shared" si="7"/>
        <v>39.708775695756323</v>
      </c>
    </row>
    <row r="40" spans="1:18" x14ac:dyDescent="0.25">
      <c r="A40" t="s">
        <v>539</v>
      </c>
      <c r="B40">
        <v>3.78</v>
      </c>
      <c r="C40">
        <v>84</v>
      </c>
      <c r="D40">
        <v>10</v>
      </c>
      <c r="E40">
        <v>7.99</v>
      </c>
      <c r="F40" s="16">
        <v>0.15</v>
      </c>
      <c r="G40">
        <v>8.7799999999999994</v>
      </c>
      <c r="H40" s="16">
        <v>0.2</v>
      </c>
      <c r="I40" s="69">
        <v>2</v>
      </c>
      <c r="K40" s="15">
        <f t="shared" si="0"/>
        <v>1.3929335282808272E+39</v>
      </c>
      <c r="L40" s="15">
        <f t="shared" si="1"/>
        <v>5.1141763054069587E+39</v>
      </c>
      <c r="M40" s="15">
        <f t="shared" si="2"/>
        <v>5.9621894791335216E+30</v>
      </c>
      <c r="N40" s="15">
        <f t="shared" si="3"/>
        <v>1.3847647806313402E+79</v>
      </c>
      <c r="O40" s="15">
        <f t="shared" si="4"/>
        <v>3.8955112391652941E+17</v>
      </c>
      <c r="P40" s="16">
        <f t="shared" si="5"/>
        <v>1.9242792860618816</v>
      </c>
      <c r="Q40" s="16">
        <f t="shared" si="6"/>
        <v>39.143930392095442</v>
      </c>
      <c r="R40" s="16">
        <f t="shared" si="7"/>
        <v>39.708775695756323</v>
      </c>
    </row>
    <row r="41" spans="1:18" x14ac:dyDescent="0.25">
      <c r="A41" t="s">
        <v>540</v>
      </c>
      <c r="B41">
        <v>5.7</v>
      </c>
      <c r="C41">
        <v>90</v>
      </c>
      <c r="D41">
        <v>3</v>
      </c>
      <c r="E41">
        <v>8.98</v>
      </c>
      <c r="F41" s="16">
        <v>0.38</v>
      </c>
      <c r="G41">
        <v>9.27</v>
      </c>
      <c r="H41" s="16">
        <v>0.4</v>
      </c>
      <c r="I41" s="69">
        <v>2</v>
      </c>
      <c r="K41" s="15">
        <f t="shared" si="0"/>
        <v>5.6034532763913551E+39</v>
      </c>
      <c r="L41" s="15">
        <f t="shared" si="1"/>
        <v>6.7395141467416516E+39</v>
      </c>
      <c r="M41" s="15">
        <f t="shared" si="2"/>
        <v>9.7679118601373745E+30</v>
      </c>
      <c r="N41" s="15">
        <f t="shared" si="3"/>
        <v>1.2906343011410732E+78</v>
      </c>
      <c r="O41" s="15">
        <f t="shared" si="4"/>
        <v>1.3526945456962176E+16</v>
      </c>
      <c r="P41" s="16">
        <f t="shared" si="5"/>
        <v>1.954242509439325</v>
      </c>
      <c r="Q41" s="16">
        <f t="shared" si="6"/>
        <v>39.748455754981094</v>
      </c>
      <c r="R41" s="16">
        <f t="shared" si="7"/>
        <v>39.828628589266096</v>
      </c>
    </row>
    <row r="42" spans="1:18" x14ac:dyDescent="0.25">
      <c r="A42" t="s">
        <v>541</v>
      </c>
      <c r="B42">
        <v>7.9</v>
      </c>
      <c r="C42">
        <v>95</v>
      </c>
      <c r="D42">
        <v>3</v>
      </c>
      <c r="E42">
        <v>8.92</v>
      </c>
      <c r="F42" s="16">
        <v>0.15</v>
      </c>
      <c r="G42">
        <v>9.01</v>
      </c>
      <c r="H42" s="16">
        <v>0.17</v>
      </c>
      <c r="I42" s="69">
        <v>2</v>
      </c>
      <c r="K42" s="15">
        <f t="shared" si="0"/>
        <v>3.6898934080459768E+39</v>
      </c>
      <c r="L42" s="15">
        <f t="shared" si="1"/>
        <v>8.3666764128707388E+39</v>
      </c>
      <c r="M42" s="15">
        <f t="shared" si="2"/>
        <v>5.7517729249145015E+30</v>
      </c>
      <c r="N42" s="15">
        <f t="shared" si="3"/>
        <v>2.1872299274217731E+79</v>
      </c>
      <c r="O42" s="15">
        <f t="shared" si="4"/>
        <v>6.6113625797325926E+17</v>
      </c>
      <c r="P42" s="16">
        <f t="shared" si="5"/>
        <v>1.9777236052888478</v>
      </c>
      <c r="Q42" s="16">
        <f t="shared" si="6"/>
        <v>39.567013820639801</v>
      </c>
      <c r="R42" s="16">
        <f t="shared" si="7"/>
        <v>39.922552972664185</v>
      </c>
    </row>
    <row r="43" spans="1:18" x14ac:dyDescent="0.25">
      <c r="A43" t="s">
        <v>542</v>
      </c>
      <c r="B43">
        <v>18.600000000000001</v>
      </c>
      <c r="C43">
        <v>108</v>
      </c>
      <c r="D43">
        <v>3</v>
      </c>
      <c r="E43">
        <v>9.5299999999999994</v>
      </c>
      <c r="F43" s="16">
        <v>0.16</v>
      </c>
      <c r="G43">
        <v>9.74</v>
      </c>
      <c r="H43" s="16">
        <v>0.2</v>
      </c>
      <c r="I43" s="69">
        <v>2</v>
      </c>
      <c r="K43" s="15">
        <f t="shared" si="0"/>
        <v>1.767086663166693E+40</v>
      </c>
      <c r="L43" s="15">
        <f t="shared" si="1"/>
        <v>1.3975056534683488E+40</v>
      </c>
      <c r="M43" s="15">
        <f t="shared" si="2"/>
        <v>6.0276352971151244E+30</v>
      </c>
      <c r="N43" s="15">
        <f t="shared" si="3"/>
        <v>1.3659012272964758E+79</v>
      </c>
      <c r="O43" s="15">
        <f t="shared" si="4"/>
        <v>3.7594590659757798E+17</v>
      </c>
      <c r="P43" s="16">
        <f t="shared" si="5"/>
        <v>2.0334237554869499</v>
      </c>
      <c r="Q43" s="16">
        <f t="shared" si="6"/>
        <v>40.247257849117481</v>
      </c>
      <c r="R43" s="16">
        <f t="shared" si="7"/>
        <v>40.145353573456596</v>
      </c>
    </row>
    <row r="44" spans="1:18" x14ac:dyDescent="0.25">
      <c r="A44" t="s">
        <v>543</v>
      </c>
      <c r="B44">
        <v>61</v>
      </c>
      <c r="C44">
        <v>111</v>
      </c>
      <c r="D44">
        <v>5</v>
      </c>
      <c r="E44">
        <v>9.41</v>
      </c>
      <c r="F44" s="16">
        <v>0.17</v>
      </c>
      <c r="G44">
        <v>9.6300000000000008</v>
      </c>
      <c r="H44" s="16">
        <v>0.21</v>
      </c>
      <c r="I44" s="69">
        <v>2</v>
      </c>
      <c r="K44" s="15">
        <f t="shared" si="0"/>
        <v>1.3597867459988072E+40</v>
      </c>
      <c r="L44" s="15">
        <f t="shared" si="1"/>
        <v>1.559374638613763E+40</v>
      </c>
      <c r="M44" s="15">
        <f t="shared" si="2"/>
        <v>6.1680369595620288E+30</v>
      </c>
      <c r="N44" s="15">
        <f t="shared" si="3"/>
        <v>3.9835326878479102E+78</v>
      </c>
      <c r="O44" s="15">
        <f t="shared" si="4"/>
        <v>1.0470669472587941E+17</v>
      </c>
      <c r="P44" s="16">
        <f t="shared" si="5"/>
        <v>2.0453229787866576</v>
      </c>
      <c r="Q44" s="16">
        <f t="shared" si="6"/>
        <v>40.133470803739378</v>
      </c>
      <c r="R44" s="16">
        <f t="shared" si="7"/>
        <v>40.192950466655425</v>
      </c>
    </row>
    <row r="45" spans="1:18" x14ac:dyDescent="0.25">
      <c r="A45" t="s">
        <v>544</v>
      </c>
      <c r="B45">
        <v>85</v>
      </c>
      <c r="C45">
        <v>118</v>
      </c>
      <c r="D45">
        <v>4</v>
      </c>
      <c r="E45">
        <v>9.5</v>
      </c>
      <c r="F45" s="16">
        <v>0.18</v>
      </c>
      <c r="G45">
        <v>9.8699999999999992</v>
      </c>
      <c r="H45" s="16">
        <v>0.22</v>
      </c>
      <c r="I45" s="69">
        <v>2</v>
      </c>
      <c r="K45" s="15">
        <f t="shared" si="0"/>
        <v>2.1035488503557507E+40</v>
      </c>
      <c r="L45" s="15">
        <f t="shared" si="1"/>
        <v>1.9915287518530849E+40</v>
      </c>
      <c r="M45" s="15">
        <f t="shared" si="2"/>
        <v>6.311708996848513E+30</v>
      </c>
      <c r="N45" s="15">
        <f t="shared" si="3"/>
        <v>1.2548502468546951E+78</v>
      </c>
      <c r="O45" s="15">
        <f t="shared" si="4"/>
        <v>3.1499086978149432E+16</v>
      </c>
      <c r="P45" s="16">
        <f t="shared" si="5"/>
        <v>2.0718820073061255</v>
      </c>
      <c r="Q45" s="16">
        <f t="shared" si="6"/>
        <v>40.32295260201672</v>
      </c>
      <c r="R45" s="16">
        <f t="shared" si="7"/>
        <v>40.299186580733299</v>
      </c>
    </row>
    <row r="46" spans="1:18" x14ac:dyDescent="0.25">
      <c r="A46" t="s">
        <v>545</v>
      </c>
      <c r="B46">
        <v>77</v>
      </c>
      <c r="C46">
        <v>120</v>
      </c>
      <c r="D46">
        <v>6</v>
      </c>
      <c r="E46">
        <v>9.6199999999999992</v>
      </c>
      <c r="F46" s="16">
        <v>0.18</v>
      </c>
      <c r="G46">
        <v>9.7100000000000009</v>
      </c>
      <c r="H46" s="16">
        <v>0.22</v>
      </c>
      <c r="I46" s="69">
        <v>2</v>
      </c>
      <c r="K46" s="15">
        <f t="shared" si="0"/>
        <v>1.8493274695580712E+40</v>
      </c>
      <c r="L46" s="15">
        <f t="shared" si="1"/>
        <v>2.1300192858837813E+40</v>
      </c>
      <c r="M46" s="15">
        <f t="shared" si="2"/>
        <v>6.311708996848513E+30</v>
      </c>
      <c r="N46" s="15">
        <f t="shared" si="3"/>
        <v>7.8787895752226164E+78</v>
      </c>
      <c r="O46" s="15">
        <f t="shared" si="4"/>
        <v>1.9777234672784944E+17</v>
      </c>
      <c r="P46" s="16">
        <f t="shared" si="5"/>
        <v>2.0791812460476247</v>
      </c>
      <c r="Q46" s="16">
        <f t="shared" si="6"/>
        <v>40.267013820639797</v>
      </c>
      <c r="R46" s="16">
        <f t="shared" si="7"/>
        <v>40.328383535699295</v>
      </c>
    </row>
    <row r="47" spans="1:18" x14ac:dyDescent="0.25">
      <c r="A47" t="s">
        <v>546</v>
      </c>
      <c r="B47">
        <v>80</v>
      </c>
      <c r="C47">
        <v>124</v>
      </c>
      <c r="D47">
        <v>5</v>
      </c>
      <c r="E47">
        <v>9.3800000000000008</v>
      </c>
      <c r="F47" s="16">
        <v>0.18</v>
      </c>
      <c r="G47">
        <v>9.65</v>
      </c>
      <c r="H47" s="16">
        <v>0.22</v>
      </c>
      <c r="I47" s="69">
        <v>2</v>
      </c>
      <c r="K47" s="15">
        <f t="shared" si="0"/>
        <v>1.3656501890696522E+40</v>
      </c>
      <c r="L47" s="15">
        <f t="shared" si="1"/>
        <v>2.4285401739736734E+40</v>
      </c>
      <c r="M47" s="15">
        <f t="shared" si="2"/>
        <v>6.311708996848513E+30</v>
      </c>
      <c r="N47" s="15">
        <f t="shared" si="3"/>
        <v>1.1297351200092704E+80</v>
      </c>
      <c r="O47" s="15">
        <f t="shared" si="4"/>
        <v>2.8358463407596334E+18</v>
      </c>
      <c r="P47" s="16">
        <f t="shared" si="5"/>
        <v>2.0934216851622351</v>
      </c>
      <c r="Q47" s="16">
        <f t="shared" si="6"/>
        <v>40.135339469175413</v>
      </c>
      <c r="R47" s="16">
        <f t="shared" si="7"/>
        <v>40.385345292157737</v>
      </c>
    </row>
    <row r="48" spans="1:18" x14ac:dyDescent="0.25">
      <c r="A48" t="s">
        <v>547</v>
      </c>
      <c r="B48">
        <v>3.18</v>
      </c>
      <c r="C48">
        <v>134</v>
      </c>
      <c r="D48">
        <v>3</v>
      </c>
      <c r="E48">
        <v>9.61</v>
      </c>
      <c r="F48" s="16">
        <v>0.15</v>
      </c>
      <c r="G48">
        <v>9.77</v>
      </c>
      <c r="H48" s="16">
        <v>0.2</v>
      </c>
      <c r="I48" s="69">
        <v>2</v>
      </c>
      <c r="K48" s="15">
        <f t="shared" si="0"/>
        <v>1.9815890254479659E+40</v>
      </c>
      <c r="L48" s="15">
        <f t="shared" si="1"/>
        <v>3.3119040402914867E+40</v>
      </c>
      <c r="M48" s="15">
        <f t="shared" si="2"/>
        <v>5.9621894791335216E+30</v>
      </c>
      <c r="N48" s="15">
        <f t="shared" si="3"/>
        <v>1.7697380387181167E+80</v>
      </c>
      <c r="O48" s="15">
        <f t="shared" si="4"/>
        <v>4.9784876945394637E+18</v>
      </c>
      <c r="P48" s="16">
        <f t="shared" si="5"/>
        <v>2.1271047983648077</v>
      </c>
      <c r="Q48" s="16">
        <f t="shared" si="6"/>
        <v>40.297013588349387</v>
      </c>
      <c r="R48" s="16">
        <f t="shared" si="7"/>
        <v>40.520077744968027</v>
      </c>
    </row>
    <row r="49" spans="1:18" x14ac:dyDescent="0.25">
      <c r="A49" t="s">
        <v>548</v>
      </c>
      <c r="B49">
        <v>14.5</v>
      </c>
      <c r="C49">
        <v>149</v>
      </c>
      <c r="D49">
        <v>3</v>
      </c>
      <c r="E49">
        <v>10.119999999999999</v>
      </c>
      <c r="F49" s="16">
        <v>0.15</v>
      </c>
      <c r="G49">
        <v>10.29</v>
      </c>
      <c r="H49" s="16">
        <v>0.2</v>
      </c>
      <c r="I49" s="69">
        <v>2</v>
      </c>
      <c r="K49" s="15">
        <f t="shared" si="0"/>
        <v>6.5005803720412789E+40</v>
      </c>
      <c r="L49" s="15">
        <f t="shared" si="1"/>
        <v>5.0629498449135573E+40</v>
      </c>
      <c r="M49" s="15">
        <f t="shared" si="2"/>
        <v>5.9621894791335216E+30</v>
      </c>
      <c r="N49" s="15">
        <f t="shared" si="3"/>
        <v>2.0667815325295306E+80</v>
      </c>
      <c r="O49" s="15">
        <f t="shared" si="4"/>
        <v>5.8141070609821389E+18</v>
      </c>
      <c r="P49" s="16">
        <f t="shared" si="5"/>
        <v>2.173186268412274</v>
      </c>
      <c r="Q49" s="16">
        <f t="shared" si="6"/>
        <v>40.812952132200245</v>
      </c>
      <c r="R49" s="16">
        <f t="shared" si="7"/>
        <v>40.704403625157894</v>
      </c>
    </row>
    <row r="50" spans="1:18" x14ac:dyDescent="0.25">
      <c r="O50" s="29">
        <f>SUM(O3:O49)</f>
        <v>1.6671019039641053E+19</v>
      </c>
    </row>
    <row r="51" spans="1:18" x14ac:dyDescent="0.25">
      <c r="O51" s="29">
        <f>SUM(O3:O49)/COUNT(O3:O49)</f>
        <v>3.5470253275832026E+17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F459-316D-412B-98F8-527418E8C421}">
  <dimension ref="A1:G10000"/>
  <sheetViews>
    <sheetView workbookViewId="0"/>
  </sheetViews>
  <sheetFormatPr defaultRowHeight="15" x14ac:dyDescent="0.25"/>
  <cols>
    <col min="1" max="1" width="9.140625" style="17"/>
    <col min="2" max="2" width="9.140625" style="16"/>
    <col min="5" max="5" width="9.140625" style="16"/>
    <col min="7" max="7" width="9.140625" style="42"/>
  </cols>
  <sheetData>
    <row r="1" spans="1:7" x14ac:dyDescent="0.25">
      <c r="A1" s="17">
        <v>3000</v>
      </c>
      <c r="B1" s="16">
        <v>1.0829044000000001</v>
      </c>
      <c r="C1">
        <f>LOG10(B1)</f>
        <v>3.4590118319625177E-2</v>
      </c>
      <c r="E1" s="16">
        <v>3000</v>
      </c>
      <c r="F1" s="15">
        <v>1.0829044000000001</v>
      </c>
      <c r="G1" s="42">
        <f t="shared" ref="G1:G64" si="0">LOG10(F1)</f>
        <v>3.4590118319625177E-2</v>
      </c>
    </row>
    <row r="2" spans="1:7" x14ac:dyDescent="0.25">
      <c r="A2" s="17">
        <v>2987.9517999999998</v>
      </c>
      <c r="B2" s="16">
        <v>1.0828956000000001</v>
      </c>
      <c r="C2" s="42">
        <f t="shared" ref="C2:C65" si="1">LOG10(B2)</f>
        <v>3.4586589100453709E-2</v>
      </c>
      <c r="E2" s="16">
        <v>2987.9517999999998</v>
      </c>
      <c r="F2" s="15">
        <v>1.0828009000000001</v>
      </c>
      <c r="G2" s="42">
        <f t="shared" si="0"/>
        <v>3.4548608074522834E-2</v>
      </c>
    </row>
    <row r="3" spans="1:7" x14ac:dyDescent="0.25">
      <c r="A3" s="17">
        <v>2975.9036000000001</v>
      </c>
      <c r="B3" s="16">
        <v>1.0828943</v>
      </c>
      <c r="C3" s="42">
        <f t="shared" si="1"/>
        <v>3.4586067736099284E-2</v>
      </c>
      <c r="E3" s="16">
        <v>2975.9036000000001</v>
      </c>
      <c r="F3" s="15">
        <v>1.082786</v>
      </c>
      <c r="G3" s="42">
        <f t="shared" si="0"/>
        <v>3.4542631876772027E-2</v>
      </c>
    </row>
    <row r="4" spans="1:7" x14ac:dyDescent="0.25">
      <c r="A4" s="17">
        <v>2963.8553999999999</v>
      </c>
      <c r="B4" s="16">
        <v>1.0828928</v>
      </c>
      <c r="C4" s="42">
        <f t="shared" si="1"/>
        <v>3.4585466161066496E-2</v>
      </c>
      <c r="E4" s="16">
        <v>2963.8553999999999</v>
      </c>
      <c r="F4" s="15">
        <v>1.0827688</v>
      </c>
      <c r="G4" s="42">
        <f t="shared" si="0"/>
        <v>3.453573307643789E-2</v>
      </c>
    </row>
    <row r="5" spans="1:7" x14ac:dyDescent="0.25">
      <c r="A5" s="17">
        <v>2951.8072000000002</v>
      </c>
      <c r="B5" s="16">
        <v>1.0828911000000001</v>
      </c>
      <c r="C5" s="42">
        <f t="shared" si="1"/>
        <v>3.4584784375022021E-2</v>
      </c>
      <c r="E5" s="16">
        <v>2951.8072000000002</v>
      </c>
      <c r="F5" s="15">
        <v>1.0827488999999999</v>
      </c>
      <c r="G5" s="42">
        <f t="shared" si="0"/>
        <v>3.4527751188143795E-2</v>
      </c>
    </row>
    <row r="6" spans="1:7" x14ac:dyDescent="0.25">
      <c r="A6" s="17">
        <v>2939.759</v>
      </c>
      <c r="B6" s="16">
        <v>1.0828892000000001</v>
      </c>
      <c r="C6" s="42">
        <f t="shared" si="1"/>
        <v>3.4584022377588008E-2</v>
      </c>
      <c r="E6" s="16">
        <v>2939.759</v>
      </c>
      <c r="F6" s="15">
        <v>1.0827259</v>
      </c>
      <c r="G6" s="42">
        <f t="shared" si="0"/>
        <v>3.4518525707353989E-2</v>
      </c>
    </row>
    <row r="7" spans="1:7" x14ac:dyDescent="0.25">
      <c r="A7" s="17">
        <v>2927.7107999999998</v>
      </c>
      <c r="B7" s="16">
        <v>1.0828869000000001</v>
      </c>
      <c r="C7" s="42">
        <f t="shared" si="1"/>
        <v>3.4583099957852761E-2</v>
      </c>
      <c r="E7" s="16">
        <v>2927.7107999999998</v>
      </c>
      <c r="F7" s="15">
        <v>1.0826994000000001</v>
      </c>
      <c r="G7" s="42">
        <f t="shared" si="0"/>
        <v>3.4507896106073375E-2</v>
      </c>
    </row>
    <row r="8" spans="1:7" x14ac:dyDescent="0.25">
      <c r="A8" s="17">
        <v>2915.6626999999999</v>
      </c>
      <c r="B8" s="16">
        <v>1.0828842000000001</v>
      </c>
      <c r="C8" s="42">
        <f t="shared" si="1"/>
        <v>3.4582017114794097E-2</v>
      </c>
      <c r="E8" s="16">
        <v>2915.6626999999999</v>
      </c>
      <c r="F8" s="15">
        <v>1.0826688</v>
      </c>
      <c r="G8" s="42">
        <f t="shared" si="0"/>
        <v>3.4495621601305849E-2</v>
      </c>
    </row>
    <row r="9" spans="1:7" x14ac:dyDescent="0.25">
      <c r="A9" s="17">
        <v>2903.6145000000001</v>
      </c>
      <c r="B9" s="16">
        <v>1.0828811</v>
      </c>
      <c r="C9" s="42">
        <f t="shared" si="1"/>
        <v>3.4580773847212039E-2</v>
      </c>
      <c r="E9" s="16">
        <v>2903.6145000000001</v>
      </c>
      <c r="F9" s="15">
        <v>1.0826334</v>
      </c>
      <c r="G9" s="42">
        <f t="shared" si="0"/>
        <v>3.4481421251201599E-2</v>
      </c>
    </row>
    <row r="10" spans="1:7" x14ac:dyDescent="0.25">
      <c r="A10" s="17">
        <v>2891.5663</v>
      </c>
      <c r="B10" s="16">
        <v>1.0828774999999999</v>
      </c>
      <c r="C10" s="42">
        <f t="shared" si="1"/>
        <v>3.4579330048134065E-2</v>
      </c>
      <c r="E10" s="16">
        <v>2891.5663</v>
      </c>
      <c r="F10" s="15">
        <v>1.0825925999999999</v>
      </c>
      <c r="G10" s="42">
        <f t="shared" si="0"/>
        <v>3.4465054170015823E-2</v>
      </c>
    </row>
    <row r="11" spans="1:7" x14ac:dyDescent="0.25">
      <c r="A11" s="17">
        <v>2879.5180999999998</v>
      </c>
      <c r="B11" s="16">
        <v>1.0828732999999999</v>
      </c>
      <c r="C11" s="42">
        <f t="shared" si="1"/>
        <v>3.457764560980995E-2</v>
      </c>
      <c r="E11" s="16">
        <v>2879.5180999999998</v>
      </c>
      <c r="F11" s="15">
        <v>1.0825456</v>
      </c>
      <c r="G11" s="42">
        <f t="shared" si="0"/>
        <v>3.4446199169764463E-2</v>
      </c>
    </row>
    <row r="12" spans="1:7" x14ac:dyDescent="0.25">
      <c r="A12" s="17">
        <v>2867.4699000000001</v>
      </c>
      <c r="B12" s="16">
        <v>1.0828684</v>
      </c>
      <c r="C12" s="42">
        <f t="shared" si="1"/>
        <v>3.4575680423507893E-2</v>
      </c>
      <c r="E12" s="16">
        <v>2867.4699000000001</v>
      </c>
      <c r="F12" s="15">
        <v>1.0824914999999999</v>
      </c>
      <c r="G12" s="42">
        <f t="shared" si="0"/>
        <v>3.4424494847491292E-2</v>
      </c>
    </row>
    <row r="13" spans="1:7" x14ac:dyDescent="0.25">
      <c r="A13" s="17">
        <v>2855.4216999999999</v>
      </c>
      <c r="B13" s="16">
        <v>1.0828627</v>
      </c>
      <c r="C13" s="42">
        <f t="shared" si="1"/>
        <v>3.4573394379273821E-2</v>
      </c>
      <c r="E13" s="16">
        <v>2855.4216999999999</v>
      </c>
      <c r="F13" s="15">
        <v>1.0824293</v>
      </c>
      <c r="G13" s="42">
        <f t="shared" si="0"/>
        <v>3.4399539554178231E-2</v>
      </c>
    </row>
    <row r="14" spans="1:7" x14ac:dyDescent="0.25">
      <c r="A14" s="17">
        <v>2843.3735000000001</v>
      </c>
      <c r="B14" s="16">
        <v>1.082856</v>
      </c>
      <c r="C14" s="42">
        <f t="shared" si="1"/>
        <v>3.4570707259262597E-2</v>
      </c>
      <c r="E14" s="16">
        <v>2843.3735000000001</v>
      </c>
      <c r="F14" s="15">
        <v>1.0823579999999999</v>
      </c>
      <c r="G14" s="42">
        <f t="shared" si="0"/>
        <v>3.437093148116252E-2</v>
      </c>
    </row>
    <row r="15" spans="1:7" x14ac:dyDescent="0.25">
      <c r="A15" s="17">
        <v>2831.3253</v>
      </c>
      <c r="B15" s="16">
        <v>1.0828481999999999</v>
      </c>
      <c r="C15" s="42">
        <f t="shared" si="1"/>
        <v>3.4567578949349448E-2</v>
      </c>
      <c r="E15" s="16">
        <v>2831.3253</v>
      </c>
      <c r="F15" s="15">
        <v>1.0822765999999999</v>
      </c>
      <c r="G15" s="42">
        <f t="shared" si="0"/>
        <v>3.433826862818623E-2</v>
      </c>
    </row>
    <row r="16" spans="1:7" x14ac:dyDescent="0.25">
      <c r="A16" s="17">
        <v>2819.2770999999998</v>
      </c>
      <c r="B16" s="16">
        <v>1.0828390000000001</v>
      </c>
      <c r="C16" s="42">
        <f t="shared" si="1"/>
        <v>3.4563889118949691E-2</v>
      </c>
      <c r="E16" s="16">
        <v>2819.2770999999998</v>
      </c>
      <c r="F16" s="15">
        <v>1.0821841000000001</v>
      </c>
      <c r="G16" s="42">
        <f t="shared" si="0"/>
        <v>3.4301148767705111E-2</v>
      </c>
    </row>
    <row r="17" spans="1:7" x14ac:dyDescent="0.25">
      <c r="A17" s="17">
        <v>2807.2289000000001</v>
      </c>
      <c r="B17" s="16">
        <v>1.0828282</v>
      </c>
      <c r="C17" s="42">
        <f t="shared" si="1"/>
        <v>3.4559557538913176E-2</v>
      </c>
      <c r="E17" s="16">
        <v>2807.2289000000001</v>
      </c>
      <c r="F17" s="15">
        <v>1.0820795000000001</v>
      </c>
      <c r="G17" s="42">
        <f t="shared" si="0"/>
        <v>3.4259169405447709E-2</v>
      </c>
    </row>
    <row r="18" spans="1:7" x14ac:dyDescent="0.25">
      <c r="A18" s="17">
        <v>2795.1806999999999</v>
      </c>
      <c r="B18" s="16">
        <v>1.0828156</v>
      </c>
      <c r="C18" s="42">
        <f t="shared" si="1"/>
        <v>3.4554503974266897E-2</v>
      </c>
      <c r="E18" s="16">
        <v>2795.1806999999999</v>
      </c>
      <c r="F18" s="15">
        <v>1.0819618</v>
      </c>
      <c r="G18" s="42">
        <f t="shared" si="0"/>
        <v>3.4211927737212947E-2</v>
      </c>
    </row>
    <row r="19" spans="1:7" x14ac:dyDescent="0.25">
      <c r="A19" s="17">
        <v>2783.1325000000002</v>
      </c>
      <c r="B19" s="16">
        <v>1.0828006999999999</v>
      </c>
      <c r="C19" s="42">
        <f t="shared" si="1"/>
        <v>3.454852785764783E-2</v>
      </c>
      <c r="E19" s="16">
        <v>2783.1325000000002</v>
      </c>
      <c r="F19" s="15">
        <v>1.0818302</v>
      </c>
      <c r="G19" s="42">
        <f t="shared" si="0"/>
        <v>3.4159100890742547E-2</v>
      </c>
    </row>
    <row r="20" spans="1:7" x14ac:dyDescent="0.25">
      <c r="A20" s="17">
        <v>2771.0843</v>
      </c>
      <c r="B20" s="16">
        <v>1.0827831000000001</v>
      </c>
      <c r="C20" s="42">
        <f t="shared" si="1"/>
        <v>3.4541468714629125E-2</v>
      </c>
      <c r="E20" s="16">
        <v>2771.0843</v>
      </c>
      <c r="F20" s="15">
        <v>1.0816840999999999</v>
      </c>
      <c r="G20" s="42">
        <f t="shared" si="0"/>
        <v>3.4100445929319337E-2</v>
      </c>
    </row>
    <row r="21" spans="1:7" x14ac:dyDescent="0.25">
      <c r="A21" s="17">
        <v>2759.0360999999998</v>
      </c>
      <c r="B21" s="16">
        <v>1.0827625000000001</v>
      </c>
      <c r="C21" s="42">
        <f t="shared" si="1"/>
        <v>3.4533206162847718E-2</v>
      </c>
      <c r="E21" s="16">
        <v>2759.0360999999998</v>
      </c>
      <c r="F21" s="15">
        <v>1.0815231999999999</v>
      </c>
      <c r="G21" s="42">
        <f t="shared" si="0"/>
        <v>3.4035840024682178E-2</v>
      </c>
    </row>
    <row r="22" spans="1:7" x14ac:dyDescent="0.25">
      <c r="A22" s="17">
        <v>2746.9879999999998</v>
      </c>
      <c r="B22" s="16">
        <v>1.0827381</v>
      </c>
      <c r="C22" s="42">
        <f t="shared" si="1"/>
        <v>3.4523419247656929E-2</v>
      </c>
      <c r="E22" s="16">
        <v>2746.9879999999998</v>
      </c>
      <c r="F22" s="15">
        <v>1.0813470999999999</v>
      </c>
      <c r="G22" s="42">
        <f t="shared" si="0"/>
        <v>3.396511987245468E-2</v>
      </c>
    </row>
    <row r="23" spans="1:7" x14ac:dyDescent="0.25">
      <c r="A23" s="17">
        <v>2734.9398000000001</v>
      </c>
      <c r="B23" s="16">
        <v>1.0827092</v>
      </c>
      <c r="C23" s="42">
        <f t="shared" si="1"/>
        <v>3.4511827083278004E-2</v>
      </c>
      <c r="E23" s="16">
        <v>2734.9398000000001</v>
      </c>
      <c r="F23" s="15">
        <v>1.0811557999999999</v>
      </c>
      <c r="G23" s="42">
        <f t="shared" si="0"/>
        <v>3.3888282486844869E-2</v>
      </c>
    </row>
    <row r="24" spans="1:7" x14ac:dyDescent="0.25">
      <c r="A24" s="17">
        <v>2722.8915999999999</v>
      </c>
      <c r="B24" s="16">
        <v>1.0826751999999999</v>
      </c>
      <c r="C24" s="42">
        <f t="shared" si="1"/>
        <v>3.4498188846680419E-2</v>
      </c>
      <c r="E24" s="16">
        <v>2722.8915999999999</v>
      </c>
      <c r="F24" s="15">
        <v>1.0809496000000001</v>
      </c>
      <c r="G24" s="42">
        <f t="shared" si="0"/>
        <v>3.3805445153900902E-2</v>
      </c>
    </row>
    <row r="25" spans="1:7" x14ac:dyDescent="0.25">
      <c r="A25" s="17">
        <v>2710.8434000000002</v>
      </c>
      <c r="B25" s="16">
        <v>1.0826349</v>
      </c>
      <c r="C25" s="42">
        <f t="shared" si="1"/>
        <v>3.4482022970372249E-2</v>
      </c>
      <c r="E25" s="16">
        <v>2710.8434000000002</v>
      </c>
      <c r="F25" s="15">
        <v>1.0807287999999999</v>
      </c>
      <c r="G25" s="42">
        <f t="shared" si="0"/>
        <v>3.3716724998360856E-2</v>
      </c>
    </row>
    <row r="26" spans="1:7" x14ac:dyDescent="0.25">
      <c r="A26" s="17">
        <v>2698.7952</v>
      </c>
      <c r="B26" s="16">
        <v>1.0825874</v>
      </c>
      <c r="C26" s="42">
        <f t="shared" si="1"/>
        <v>3.4462968125155008E-2</v>
      </c>
      <c r="E26" s="16">
        <v>2698.7952</v>
      </c>
      <c r="F26" s="15">
        <v>1.0804940000000001</v>
      </c>
      <c r="G26" s="42">
        <f t="shared" si="0"/>
        <v>3.3622359581938238E-2</v>
      </c>
    </row>
    <row r="27" spans="1:7" x14ac:dyDescent="0.25">
      <c r="A27" s="17">
        <v>2686.7469999999998</v>
      </c>
      <c r="B27" s="16">
        <v>1.0825312</v>
      </c>
      <c r="C27" s="42">
        <f t="shared" si="1"/>
        <v>3.4440422154797153E-2</v>
      </c>
      <c r="E27" s="16">
        <v>2686.7469999999998</v>
      </c>
      <c r="F27" s="15">
        <v>1.0802457999999999</v>
      </c>
      <c r="G27" s="42">
        <f t="shared" si="0"/>
        <v>3.3522586447863933E-2</v>
      </c>
    </row>
    <row r="28" spans="1:7" x14ac:dyDescent="0.25">
      <c r="A28" s="17">
        <v>2674.6988000000001</v>
      </c>
      <c r="B28" s="16">
        <v>1.082465</v>
      </c>
      <c r="C28" s="42">
        <f t="shared" si="1"/>
        <v>3.4413862944475244E-2</v>
      </c>
      <c r="E28" s="16">
        <v>2674.6988000000001</v>
      </c>
      <c r="F28" s="15">
        <v>1.0799851</v>
      </c>
      <c r="G28" s="42">
        <f t="shared" si="0"/>
        <v>3.3417763790265828E-2</v>
      </c>
    </row>
    <row r="29" spans="1:7" x14ac:dyDescent="0.25">
      <c r="A29" s="17">
        <v>2662.6505999999999</v>
      </c>
      <c r="B29" s="16">
        <v>1.082387</v>
      </c>
      <c r="C29" s="42">
        <f t="shared" si="1"/>
        <v>3.4382567530651928E-2</v>
      </c>
      <c r="E29" s="16">
        <v>2662.6505999999999</v>
      </c>
      <c r="F29" s="15">
        <v>1.0797125999999999</v>
      </c>
      <c r="G29" s="42">
        <f t="shared" si="0"/>
        <v>3.3308169519783701E-2</v>
      </c>
    </row>
    <row r="30" spans="1:7" x14ac:dyDescent="0.25">
      <c r="A30" s="17">
        <v>2650.6024000000002</v>
      </c>
      <c r="B30" s="16">
        <v>1.0822954</v>
      </c>
      <c r="C30" s="42">
        <f t="shared" si="1"/>
        <v>3.4345812601091756E-2</v>
      </c>
      <c r="E30" s="16">
        <v>2650.6024000000002</v>
      </c>
      <c r="F30" s="15">
        <v>1.0794291</v>
      </c>
      <c r="G30" s="42">
        <f t="shared" si="0"/>
        <v>3.3194121899539901E-2</v>
      </c>
    </row>
    <row r="31" spans="1:7" x14ac:dyDescent="0.25">
      <c r="A31" s="17">
        <v>2638.5542</v>
      </c>
      <c r="B31" s="16">
        <v>1.0821883000000001</v>
      </c>
      <c r="C31" s="42">
        <f t="shared" si="1"/>
        <v>3.43028342787789E-2</v>
      </c>
      <c r="E31" s="16">
        <v>2638.5542</v>
      </c>
      <c r="F31" s="15">
        <v>1.0791356000000001</v>
      </c>
      <c r="G31" s="42">
        <f t="shared" si="0"/>
        <v>3.3076019874408016E-2</v>
      </c>
    </row>
    <row r="32" spans="1:7" x14ac:dyDescent="0.25">
      <c r="A32" s="17">
        <v>2626.5059999999999</v>
      </c>
      <c r="B32" s="16">
        <v>1.0820635999999999</v>
      </c>
      <c r="C32" s="42">
        <f t="shared" si="1"/>
        <v>3.425278786601766E-2</v>
      </c>
      <c r="E32" s="16">
        <v>2626.5059999999999</v>
      </c>
      <c r="F32" s="15">
        <v>1.0788329000000001</v>
      </c>
      <c r="G32" s="42">
        <f t="shared" si="0"/>
        <v>3.2954182191852116E-2</v>
      </c>
    </row>
    <row r="33" spans="1:7" x14ac:dyDescent="0.25">
      <c r="A33" s="17">
        <v>2614.4578000000001</v>
      </c>
      <c r="B33" s="16">
        <v>1.0819192</v>
      </c>
      <c r="C33" s="42">
        <f t="shared" si="1"/>
        <v>3.4194827956835497E-2</v>
      </c>
      <c r="E33" s="16">
        <v>2614.4578000000001</v>
      </c>
      <c r="F33" s="15">
        <v>1.0785217</v>
      </c>
      <c r="G33" s="42">
        <f t="shared" si="0"/>
        <v>3.2828887589188512E-2</v>
      </c>
    </row>
    <row r="34" spans="1:7" x14ac:dyDescent="0.25">
      <c r="A34" s="17">
        <v>2602.4096</v>
      </c>
      <c r="B34" s="16">
        <v>1.0817532000000001</v>
      </c>
      <c r="C34" s="42">
        <f t="shared" si="1"/>
        <v>3.4128188585609662E-2</v>
      </c>
      <c r="E34" s="16">
        <v>2602.4096</v>
      </c>
      <c r="F34" s="15">
        <v>1.0782027999999999</v>
      </c>
      <c r="G34" s="42">
        <f t="shared" si="0"/>
        <v>3.2700455319523709E-2</v>
      </c>
    </row>
    <row r="35" spans="1:7" x14ac:dyDescent="0.25">
      <c r="A35" s="17">
        <v>2590.3613999999998</v>
      </c>
      <c r="B35" s="16">
        <v>1.0815638000000001</v>
      </c>
      <c r="C35" s="42">
        <f t="shared" si="1"/>
        <v>3.4052142980566441E-2</v>
      </c>
      <c r="E35" s="16">
        <v>2590.3613999999998</v>
      </c>
      <c r="F35" s="15">
        <v>1.077877</v>
      </c>
      <c r="G35" s="42">
        <f t="shared" si="0"/>
        <v>3.2569204942537684E-2</v>
      </c>
    </row>
    <row r="36" spans="1:7" x14ac:dyDescent="0.25">
      <c r="A36" s="17">
        <v>2578.3132999999998</v>
      </c>
      <c r="B36" s="16">
        <v>1.0813495</v>
      </c>
      <c r="C36" s="42">
        <f t="shared" si="1"/>
        <v>3.3966083767951252E-2</v>
      </c>
      <c r="E36" s="16">
        <v>2578.3132999999998</v>
      </c>
      <c r="F36" s="15">
        <v>1.0775447</v>
      </c>
      <c r="G36" s="42">
        <f t="shared" si="0"/>
        <v>3.2435295130383707E-2</v>
      </c>
    </row>
    <row r="37" spans="1:7" x14ac:dyDescent="0.25">
      <c r="A37" s="17">
        <v>2566.2651000000001</v>
      </c>
      <c r="B37" s="16">
        <v>1.0811092</v>
      </c>
      <c r="C37" s="42">
        <f t="shared" si="1"/>
        <v>3.3869563113539766E-2</v>
      </c>
      <c r="E37" s="16">
        <v>2566.2651000000001</v>
      </c>
      <c r="F37" s="15">
        <v>1.0772067000000001</v>
      </c>
      <c r="G37" s="42">
        <f t="shared" si="0"/>
        <v>3.2299045968566469E-2</v>
      </c>
    </row>
    <row r="38" spans="1:7" x14ac:dyDescent="0.25">
      <c r="A38" s="17">
        <v>2554.2168999999999</v>
      </c>
      <c r="B38" s="16">
        <v>1.0808420999999999</v>
      </c>
      <c r="C38" s="42">
        <f t="shared" si="1"/>
        <v>3.3762252595762071E-2</v>
      </c>
      <c r="E38" s="16">
        <v>2554.2168999999999</v>
      </c>
      <c r="F38" s="15">
        <v>1.0768633999999999</v>
      </c>
      <c r="G38" s="42">
        <f t="shared" si="0"/>
        <v>3.2160616586068877E-2</v>
      </c>
    </row>
    <row r="39" spans="1:7" x14ac:dyDescent="0.25">
      <c r="A39" s="17">
        <v>2542.1687000000002</v>
      </c>
      <c r="B39" s="16">
        <v>1.0805479</v>
      </c>
      <c r="C39" s="42">
        <f t="shared" si="1"/>
        <v>3.3644023643684948E-2</v>
      </c>
      <c r="E39" s="16">
        <v>2542.1687000000002</v>
      </c>
      <c r="F39" s="15">
        <v>1.0765152</v>
      </c>
      <c r="G39" s="42">
        <f t="shared" si="0"/>
        <v>3.2020166281680557E-2</v>
      </c>
    </row>
    <row r="40" spans="1:7" x14ac:dyDescent="0.25">
      <c r="A40" s="17">
        <v>2530.1205</v>
      </c>
      <c r="B40" s="16">
        <v>1.0802266</v>
      </c>
      <c r="C40" s="42">
        <f t="shared" si="1"/>
        <v>3.3514867345270712E-2</v>
      </c>
      <c r="E40" s="16">
        <v>2530.1205</v>
      </c>
      <c r="F40" s="15">
        <v>1.0761624000000001</v>
      </c>
      <c r="G40" s="42">
        <f t="shared" si="0"/>
        <v>3.1877814176017136E-2</v>
      </c>
    </row>
    <row r="41" spans="1:7" x14ac:dyDescent="0.25">
      <c r="A41" s="17">
        <v>2518.0722999999998</v>
      </c>
      <c r="B41" s="16">
        <v>1.0798785</v>
      </c>
      <c r="C41" s="42">
        <f t="shared" si="1"/>
        <v>3.3374894609259666E-2</v>
      </c>
      <c r="E41" s="16">
        <v>2518.0722999999998</v>
      </c>
      <c r="F41" s="15">
        <v>1.0758053999999999</v>
      </c>
      <c r="G41" s="42">
        <f t="shared" si="0"/>
        <v>3.1733719890348136E-2</v>
      </c>
    </row>
    <row r="42" spans="1:7" x14ac:dyDescent="0.25">
      <c r="A42" s="17">
        <v>2506.0241000000001</v>
      </c>
      <c r="B42" s="16">
        <v>1.0795044</v>
      </c>
      <c r="C42" s="42">
        <f t="shared" si="1"/>
        <v>3.3224416834053236E-2</v>
      </c>
      <c r="E42" s="16">
        <v>2506.0241000000001</v>
      </c>
      <c r="F42" s="15">
        <v>1.0754444000000001</v>
      </c>
      <c r="G42" s="42">
        <f t="shared" si="0"/>
        <v>3.1587962471159858E-2</v>
      </c>
    </row>
    <row r="43" spans="1:7" x14ac:dyDescent="0.25">
      <c r="A43" s="17">
        <v>2493.9758999999999</v>
      </c>
      <c r="B43" s="16">
        <v>1.0791052999999999</v>
      </c>
      <c r="C43" s="42">
        <f t="shared" si="1"/>
        <v>3.306382557042406E-2</v>
      </c>
      <c r="E43" s="16">
        <v>2493.9758999999999</v>
      </c>
      <c r="F43" s="15">
        <v>1.0750796</v>
      </c>
      <c r="G43" s="42">
        <f t="shared" si="0"/>
        <v>3.144062105249356E-2</v>
      </c>
    </row>
    <row r="44" spans="1:7" x14ac:dyDescent="0.25">
      <c r="A44" s="17">
        <v>2481.9277000000002</v>
      </c>
      <c r="B44" s="16">
        <v>1.0786821</v>
      </c>
      <c r="C44" s="42">
        <f t="shared" si="1"/>
        <v>3.2893471969232375E-2</v>
      </c>
      <c r="E44" s="16">
        <v>2481.9277000000002</v>
      </c>
      <c r="F44" s="15">
        <v>1.074711</v>
      </c>
      <c r="G44" s="42">
        <f t="shared" si="0"/>
        <v>3.1291694038301336E-2</v>
      </c>
    </row>
    <row r="45" spans="1:7" x14ac:dyDescent="0.25">
      <c r="A45" s="17">
        <v>2469.8795</v>
      </c>
      <c r="B45" s="16">
        <v>1.0782361</v>
      </c>
      <c r="C45" s="42">
        <f t="shared" si="1"/>
        <v>3.2713868179260738E-2</v>
      </c>
      <c r="E45" s="16">
        <v>2469.8795</v>
      </c>
      <c r="F45" s="15">
        <v>1.0743388</v>
      </c>
      <c r="G45" s="42">
        <f t="shared" si="0"/>
        <v>3.1141260662787586E-2</v>
      </c>
    </row>
    <row r="46" spans="1:7" x14ac:dyDescent="0.25">
      <c r="A46" s="17">
        <v>2457.8312999999998</v>
      </c>
      <c r="B46" s="16">
        <v>1.0777684999999999</v>
      </c>
      <c r="C46" s="42">
        <f t="shared" si="1"/>
        <v>3.2525486296474289E-2</v>
      </c>
      <c r="E46" s="16">
        <v>2457.8312999999998</v>
      </c>
      <c r="F46" s="15">
        <v>1.0739628999999999</v>
      </c>
      <c r="G46" s="42">
        <f t="shared" si="0"/>
        <v>3.0989278939351321E-2</v>
      </c>
    </row>
    <row r="47" spans="1:7" x14ac:dyDescent="0.25">
      <c r="A47" s="17">
        <v>2445.7831000000001</v>
      </c>
      <c r="B47" s="16">
        <v>1.0772807</v>
      </c>
      <c r="C47" s="42">
        <f t="shared" si="1"/>
        <v>3.2328879321663305E-2</v>
      </c>
      <c r="E47" s="16">
        <v>2445.7831000000001</v>
      </c>
      <c r="F47" s="15">
        <v>1.0735832999999999</v>
      </c>
      <c r="G47" s="42">
        <f t="shared" si="0"/>
        <v>3.0835747260221497E-2</v>
      </c>
    </row>
    <row r="48" spans="1:7" x14ac:dyDescent="0.25">
      <c r="A48" s="17">
        <v>2433.7348999999999</v>
      </c>
      <c r="B48" s="16">
        <v>1.0767739000000001</v>
      </c>
      <c r="C48" s="42">
        <f t="shared" si="1"/>
        <v>3.2124520112300846E-2</v>
      </c>
      <c r="E48" s="16">
        <v>2433.7348999999999</v>
      </c>
      <c r="F48" s="15">
        <v>1.0731999999999999</v>
      </c>
      <c r="G48" s="42">
        <f t="shared" si="0"/>
        <v>3.0680663999901367E-2</v>
      </c>
    </row>
    <row r="49" spans="1:7" x14ac:dyDescent="0.25">
      <c r="A49" s="17">
        <v>2421.6867000000002</v>
      </c>
      <c r="B49" s="16">
        <v>1.0762493</v>
      </c>
      <c r="C49" s="42">
        <f t="shared" si="1"/>
        <v>3.1912881993663593E-2</v>
      </c>
      <c r="E49" s="16">
        <v>2421.6867000000002</v>
      </c>
      <c r="F49" s="15">
        <v>1.0728129</v>
      </c>
      <c r="G49" s="42">
        <f t="shared" si="0"/>
        <v>3.0523987033264234E-2</v>
      </c>
    </row>
    <row r="50" spans="1:7" x14ac:dyDescent="0.25">
      <c r="A50" s="17">
        <v>2409.6386000000002</v>
      </c>
      <c r="B50" s="16">
        <v>1.0757080000000001</v>
      </c>
      <c r="C50" s="42">
        <f t="shared" si="1"/>
        <v>3.1694398468909452E-2</v>
      </c>
      <c r="E50" s="16">
        <v>2409.6386000000002</v>
      </c>
      <c r="F50" s="15">
        <v>1.0724218000000001</v>
      </c>
      <c r="G50" s="42">
        <f t="shared" si="0"/>
        <v>3.0365633661715546E-2</v>
      </c>
    </row>
    <row r="51" spans="1:7" x14ac:dyDescent="0.25">
      <c r="A51" s="17">
        <v>2397.5904</v>
      </c>
      <c r="B51" s="16">
        <v>1.075151</v>
      </c>
      <c r="C51" s="42">
        <f t="shared" si="1"/>
        <v>3.1469463192512648E-2</v>
      </c>
      <c r="E51" s="16">
        <v>2397.5904</v>
      </c>
      <c r="F51" s="15">
        <v>1.0720266000000001</v>
      </c>
      <c r="G51" s="42">
        <f t="shared" si="0"/>
        <v>3.0205561560012164E-2</v>
      </c>
    </row>
    <row r="52" spans="1:7" x14ac:dyDescent="0.25">
      <c r="A52" s="17">
        <v>2385.5421999999999</v>
      </c>
      <c r="B52" s="16">
        <v>1.0745794</v>
      </c>
      <c r="C52" s="42">
        <f t="shared" si="1"/>
        <v>3.1238510760797381E-2</v>
      </c>
      <c r="E52" s="16">
        <v>2385.5421999999999</v>
      </c>
      <c r="F52" s="15">
        <v>1.0716270000000001</v>
      </c>
      <c r="G52" s="42">
        <f t="shared" si="0"/>
        <v>3.0043647268469285E-2</v>
      </c>
    </row>
    <row r="53" spans="1:7" x14ac:dyDescent="0.25">
      <c r="A53" s="17">
        <v>2373.4940000000001</v>
      </c>
      <c r="B53" s="16">
        <v>1.0739939000000001</v>
      </c>
      <c r="C53" s="42">
        <f t="shared" si="1"/>
        <v>3.1001814693273361E-2</v>
      </c>
      <c r="E53" s="16">
        <v>2373.4940000000001</v>
      </c>
      <c r="F53" s="15">
        <v>1.071223</v>
      </c>
      <c r="G53" s="42">
        <f t="shared" si="0"/>
        <v>2.9879888748024271E-2</v>
      </c>
    </row>
    <row r="54" spans="1:7" x14ac:dyDescent="0.25">
      <c r="A54" s="17">
        <v>2361.4458</v>
      </c>
      <c r="B54" s="16">
        <v>1.0733953000000001</v>
      </c>
      <c r="C54" s="42">
        <f t="shared" si="1"/>
        <v>3.0759689340681517E-2</v>
      </c>
      <c r="E54" s="16">
        <v>2361.4458</v>
      </c>
      <c r="F54" s="15">
        <v>1.0708141</v>
      </c>
      <c r="G54" s="42">
        <f t="shared" si="0"/>
        <v>2.9714081147579525E-2</v>
      </c>
    </row>
    <row r="55" spans="1:7" x14ac:dyDescent="0.25">
      <c r="A55" s="17">
        <v>2349.3975999999998</v>
      </c>
      <c r="B55" s="16">
        <v>1.072784</v>
      </c>
      <c r="C55" s="42">
        <f t="shared" si="1"/>
        <v>3.05122876217599E-2</v>
      </c>
      <c r="E55" s="16">
        <v>2349.3975999999998</v>
      </c>
      <c r="F55" s="15">
        <v>1.0704001999999999</v>
      </c>
      <c r="G55" s="42">
        <f t="shared" si="0"/>
        <v>2.954618156994392E-2</v>
      </c>
    </row>
    <row r="56" spans="1:7" x14ac:dyDescent="0.25">
      <c r="A56" s="17">
        <v>2337.3494000000001</v>
      </c>
      <c r="B56" s="16">
        <v>1.0721608</v>
      </c>
      <c r="C56" s="42">
        <f t="shared" si="1"/>
        <v>3.0259924643712317E-2</v>
      </c>
      <c r="E56" s="16">
        <v>2337.3494000000001</v>
      </c>
      <c r="F56" s="15">
        <v>1.0699810000000001</v>
      </c>
      <c r="G56" s="42">
        <f t="shared" si="0"/>
        <v>2.9376065845565881E-2</v>
      </c>
    </row>
    <row r="57" spans="1:7" x14ac:dyDescent="0.25">
      <c r="A57" s="17">
        <v>2325.3011999999999</v>
      </c>
      <c r="B57" s="16">
        <v>1.0715258000000001</v>
      </c>
      <c r="C57" s="42">
        <f t="shared" si="1"/>
        <v>3.000263236593757E-2</v>
      </c>
      <c r="E57" s="16">
        <v>2325.3011999999999</v>
      </c>
      <c r="F57" s="15">
        <v>1.0695562000000001</v>
      </c>
      <c r="G57" s="42">
        <f t="shared" si="0"/>
        <v>2.9203609579475483E-2</v>
      </c>
    </row>
    <row r="58" spans="1:7" x14ac:dyDescent="0.25">
      <c r="A58" s="17">
        <v>2313.2530000000002</v>
      </c>
      <c r="B58" s="16">
        <v>1.0708793000000001</v>
      </c>
      <c r="C58" s="42">
        <f t="shared" si="1"/>
        <v>2.9740523774921875E-2</v>
      </c>
      <c r="E58" s="16">
        <v>2313.2530000000002</v>
      </c>
      <c r="F58" s="15">
        <v>1.0691256</v>
      </c>
      <c r="G58" s="42">
        <f t="shared" si="0"/>
        <v>2.9028728766037511E-2</v>
      </c>
    </row>
    <row r="59" spans="1:7" x14ac:dyDescent="0.25">
      <c r="A59" s="17">
        <v>2301.2048</v>
      </c>
      <c r="B59" s="16">
        <v>1.0702217000000001</v>
      </c>
      <c r="C59" s="42">
        <f t="shared" si="1"/>
        <v>2.9473752557422513E-2</v>
      </c>
      <c r="E59" s="16">
        <v>2301.2048</v>
      </c>
      <c r="F59" s="15">
        <v>1.0686886</v>
      </c>
      <c r="G59" s="42">
        <f t="shared" si="0"/>
        <v>2.885117667452726E-2</v>
      </c>
    </row>
    <row r="60" spans="1:7" x14ac:dyDescent="0.25">
      <c r="A60" s="17">
        <v>2289.1565999999998</v>
      </c>
      <c r="B60" s="16">
        <v>1.0695528000000001</v>
      </c>
      <c r="C60" s="42">
        <f t="shared" si="1"/>
        <v>2.9202229003508138E-2</v>
      </c>
      <c r="E60" s="16">
        <v>2289.1565999999998</v>
      </c>
      <c r="F60" s="15">
        <v>1.0682450999999999</v>
      </c>
      <c r="G60" s="42">
        <f t="shared" si="0"/>
        <v>2.8670909401387681E-2</v>
      </c>
    </row>
    <row r="61" spans="1:7" x14ac:dyDescent="0.25">
      <c r="A61" s="17">
        <v>2277.1084000000001</v>
      </c>
      <c r="B61" s="16">
        <v>1.0688727</v>
      </c>
      <c r="C61" s="42">
        <f t="shared" si="1"/>
        <v>2.8925984928509112E-2</v>
      </c>
      <c r="E61" s="16">
        <v>2277.1084000000001</v>
      </c>
      <c r="F61" s="15">
        <v>1.0677947000000001</v>
      </c>
      <c r="G61" s="42">
        <f t="shared" si="0"/>
        <v>2.8487760906169474E-2</v>
      </c>
    </row>
    <row r="62" spans="1:7" x14ac:dyDescent="0.25">
      <c r="A62" s="17">
        <v>2265.0601999999999</v>
      </c>
      <c r="B62" s="16">
        <v>1.0681813</v>
      </c>
      <c r="C62" s="42">
        <f t="shared" si="1"/>
        <v>2.8644970770453668E-2</v>
      </c>
      <c r="E62" s="16">
        <v>2265.0601999999999</v>
      </c>
      <c r="F62" s="15">
        <v>1.067337</v>
      </c>
      <c r="G62" s="42">
        <f t="shared" si="0"/>
        <v>2.8301564815865581E-2</v>
      </c>
    </row>
    <row r="63" spans="1:7" x14ac:dyDescent="0.25">
      <c r="A63" s="17">
        <v>2253.0120000000002</v>
      </c>
      <c r="B63" s="16">
        <v>1.0674785</v>
      </c>
      <c r="C63" s="42">
        <f t="shared" si="1"/>
        <v>2.8359136694352794E-2</v>
      </c>
      <c r="E63" s="16">
        <v>2253.0120000000002</v>
      </c>
      <c r="F63" s="15">
        <v>1.0668717000000001</v>
      </c>
      <c r="G63" s="42">
        <f t="shared" si="0"/>
        <v>2.8112195120548255E-2</v>
      </c>
    </row>
    <row r="64" spans="1:7" x14ac:dyDescent="0.25">
      <c r="A64" s="17">
        <v>2240.9639000000002</v>
      </c>
      <c r="B64" s="16">
        <v>1.0667639</v>
      </c>
      <c r="C64" s="42">
        <f t="shared" si="1"/>
        <v>2.8068310452342444E-2</v>
      </c>
      <c r="E64" s="16">
        <v>2240.9639000000002</v>
      </c>
      <c r="F64" s="15">
        <v>1.0663982000000001</v>
      </c>
      <c r="G64" s="42">
        <f t="shared" si="0"/>
        <v>2.7919403349982139E-2</v>
      </c>
    </row>
    <row r="65" spans="1:7" x14ac:dyDescent="0.25">
      <c r="A65" s="17">
        <v>2228.9157</v>
      </c>
      <c r="B65" s="16">
        <v>1.0660373999999999</v>
      </c>
      <c r="C65" s="42">
        <f t="shared" si="1"/>
        <v>2.7772441396649524E-2</v>
      </c>
      <c r="E65" s="16">
        <v>2228.9157</v>
      </c>
      <c r="F65" s="15">
        <v>1.0659164000000001</v>
      </c>
      <c r="G65" s="42">
        <f t="shared" ref="G65:G128" si="2">LOG10(F65)</f>
        <v>2.7723144237990046E-2</v>
      </c>
    </row>
    <row r="66" spans="1:7" x14ac:dyDescent="0.25">
      <c r="A66" s="17">
        <v>2216.8674999999998</v>
      </c>
      <c r="B66" s="16">
        <v>1.0652984999999999</v>
      </c>
      <c r="C66" s="42">
        <f>LOG10(B66)</f>
        <v>2.747131551073486E-2</v>
      </c>
      <c r="E66" s="16">
        <v>2216.8674999999998</v>
      </c>
      <c r="F66" s="15">
        <v>1.0654256</v>
      </c>
      <c r="G66" s="42">
        <f t="shared" si="2"/>
        <v>2.7523127783112493E-2</v>
      </c>
    </row>
    <row r="67" spans="1:7" x14ac:dyDescent="0.25">
      <c r="A67" s="17">
        <v>2204.8193000000001</v>
      </c>
      <c r="B67" s="16">
        <v>1.0645468</v>
      </c>
      <c r="C67" s="42">
        <f t="shared" ref="C67:C130" si="3">LOG10(B67)</f>
        <v>2.716475880861037E-2</v>
      </c>
      <c r="E67" s="16">
        <v>2204.8193000000001</v>
      </c>
      <c r="F67" s="15">
        <v>1.0649256</v>
      </c>
      <c r="G67" s="42">
        <f t="shared" si="2"/>
        <v>2.7319267269466829E-2</v>
      </c>
    </row>
    <row r="68" spans="1:7" x14ac:dyDescent="0.25">
      <c r="A68" s="17">
        <v>2192.7710999999999</v>
      </c>
      <c r="B68" s="16">
        <v>1.063782</v>
      </c>
      <c r="C68" s="42">
        <f t="shared" si="3"/>
        <v>2.6852637454000034E-2</v>
      </c>
      <c r="E68" s="16">
        <v>2192.7710999999999</v>
      </c>
      <c r="F68" s="15">
        <v>1.0644157999999999</v>
      </c>
      <c r="G68" s="42">
        <f t="shared" si="2"/>
        <v>2.7111312517725625E-2</v>
      </c>
    </row>
    <row r="69" spans="1:7" x14ac:dyDescent="0.25">
      <c r="A69" s="17">
        <v>2180.7229000000002</v>
      </c>
      <c r="B69" s="16">
        <v>1.0630035</v>
      </c>
      <c r="C69" s="42">
        <f t="shared" si="3"/>
        <v>2.6534694465144604E-2</v>
      </c>
      <c r="E69" s="16">
        <v>2180.7229000000002</v>
      </c>
      <c r="F69" s="15">
        <v>1.0638958000000001</v>
      </c>
      <c r="G69" s="42">
        <f t="shared" si="2"/>
        <v>2.6899094405412265E-2</v>
      </c>
    </row>
    <row r="70" spans="1:7" x14ac:dyDescent="0.25">
      <c r="A70" s="17">
        <v>2168.6747</v>
      </c>
      <c r="B70" s="16">
        <v>1.0622107999999999</v>
      </c>
      <c r="C70" s="42">
        <f t="shared" si="3"/>
        <v>2.6210712783136997E-2</v>
      </c>
      <c r="E70" s="16">
        <v>2168.6747</v>
      </c>
      <c r="F70" s="15">
        <v>1.0633652</v>
      </c>
      <c r="G70" s="42">
        <f t="shared" si="2"/>
        <v>2.6682443362708304E-2</v>
      </c>
    </row>
    <row r="71" spans="1:7" x14ac:dyDescent="0.25">
      <c r="A71" s="17">
        <v>2156.6264999999999</v>
      </c>
      <c r="B71" s="16">
        <v>1.0614034000000001</v>
      </c>
      <c r="C71" s="42">
        <f t="shared" si="3"/>
        <v>2.5880474473763883E-2</v>
      </c>
      <c r="E71" s="16">
        <v>2156.6264999999999</v>
      </c>
      <c r="F71" s="15">
        <v>1.0628234999999999</v>
      </c>
      <c r="G71" s="42">
        <f t="shared" si="2"/>
        <v>2.6461148492749449E-2</v>
      </c>
    </row>
    <row r="72" spans="1:7" x14ac:dyDescent="0.25">
      <c r="A72" s="17">
        <v>2144.5783000000001</v>
      </c>
      <c r="B72" s="16">
        <v>1.0605807</v>
      </c>
      <c r="C72" s="42">
        <f t="shared" si="3"/>
        <v>2.5543719746747871E-2</v>
      </c>
      <c r="E72" s="16">
        <v>2144.5783000000001</v>
      </c>
      <c r="F72">
        <v>1.0622701000000001</v>
      </c>
      <c r="G72" s="42">
        <f t="shared" si="2"/>
        <v>2.6234957447123987E-2</v>
      </c>
    </row>
    <row r="73" spans="1:7" x14ac:dyDescent="0.25">
      <c r="A73" s="17">
        <v>2132.5300999999999</v>
      </c>
      <c r="B73" s="16">
        <v>1.0597421</v>
      </c>
      <c r="C73" s="42">
        <f t="shared" si="3"/>
        <v>2.5200187741607878E-2</v>
      </c>
      <c r="E73" s="16">
        <v>2132.5300999999999</v>
      </c>
      <c r="F73">
        <v>1.0617046000000001</v>
      </c>
      <c r="G73" s="42">
        <f t="shared" si="2"/>
        <v>2.6003699009516972E-2</v>
      </c>
    </row>
    <row r="74" spans="1:7" x14ac:dyDescent="0.25">
      <c r="A74" s="17">
        <v>2120.4819000000002</v>
      </c>
      <c r="B74" s="16">
        <v>1.0588869999999999</v>
      </c>
      <c r="C74" s="42">
        <f t="shared" si="3"/>
        <v>2.4849616486223174E-2</v>
      </c>
      <c r="E74" s="16">
        <v>2120.4819000000002</v>
      </c>
      <c r="F74">
        <v>1.0611264</v>
      </c>
      <c r="G74" s="42">
        <f t="shared" si="2"/>
        <v>2.576711957795022E-2</v>
      </c>
    </row>
    <row r="75" spans="1:7" x14ac:dyDescent="0.25">
      <c r="A75" s="17">
        <v>2108.4337</v>
      </c>
      <c r="B75" s="16">
        <v>1.0580149000000001</v>
      </c>
      <c r="C75" s="42">
        <f t="shared" si="3"/>
        <v>2.4491783901638406E-2</v>
      </c>
      <c r="E75" s="16">
        <v>2108.4337</v>
      </c>
      <c r="F75">
        <v>1.0605351000000001</v>
      </c>
      <c r="G75" s="42">
        <f t="shared" si="2"/>
        <v>2.5525046717790351E-2</v>
      </c>
    </row>
    <row r="76" spans="1:7" x14ac:dyDescent="0.25">
      <c r="A76" s="17">
        <v>2096.3854999999999</v>
      </c>
      <c r="B76" s="16">
        <v>1.0571250999999999</v>
      </c>
      <c r="C76" s="42">
        <f t="shared" si="3"/>
        <v>2.4126384681923622E-2</v>
      </c>
      <c r="E76" s="16">
        <v>2096.3854999999999</v>
      </c>
      <c r="F76">
        <v>1.0599301000000001</v>
      </c>
      <c r="G76" s="42">
        <f t="shared" si="2"/>
        <v>2.5277225467358055E-2</v>
      </c>
    </row>
    <row r="77" spans="1:7" x14ac:dyDescent="0.25">
      <c r="A77" s="17">
        <v>2084.3373000000001</v>
      </c>
      <c r="B77" s="16">
        <v>1.056217</v>
      </c>
      <c r="C77" s="42">
        <f t="shared" si="3"/>
        <v>2.3753153255464659E-2</v>
      </c>
      <c r="E77" s="16">
        <v>2084.3373000000001</v>
      </c>
      <c r="F77">
        <v>1.0593108</v>
      </c>
      <c r="G77" s="42">
        <f t="shared" si="2"/>
        <v>2.50234000713884E-2</v>
      </c>
    </row>
    <row r="78" spans="1:7" x14ac:dyDescent="0.25">
      <c r="A78" s="17">
        <v>2072.2892000000002</v>
      </c>
      <c r="B78" s="16">
        <v>1.0552900000000001</v>
      </c>
      <c r="C78" s="42">
        <f t="shared" si="3"/>
        <v>2.3371822754936312E-2</v>
      </c>
      <c r="E78" s="16">
        <v>2072.2892000000002</v>
      </c>
      <c r="F78">
        <v>1.0586766000000001</v>
      </c>
      <c r="G78" s="42">
        <f t="shared" si="2"/>
        <v>2.4763313945611817E-2</v>
      </c>
    </row>
    <row r="79" spans="1:7" x14ac:dyDescent="0.25">
      <c r="A79" s="17">
        <v>2060.241</v>
      </c>
      <c r="B79" s="16">
        <v>1.0543434</v>
      </c>
      <c r="C79" s="42">
        <f t="shared" si="3"/>
        <v>2.2982083775491418E-2</v>
      </c>
      <c r="E79" s="16">
        <v>2060.241</v>
      </c>
      <c r="F79">
        <v>1.0580270000000001</v>
      </c>
      <c r="G79" s="42">
        <f t="shared" si="2"/>
        <v>2.4496750687249852E-2</v>
      </c>
    </row>
    <row r="80" spans="1:7" x14ac:dyDescent="0.25">
      <c r="A80" s="17">
        <v>2048.1927999999998</v>
      </c>
      <c r="B80" s="16">
        <v>1.0533767999999999</v>
      </c>
      <c r="C80" s="42">
        <f t="shared" si="3"/>
        <v>2.2583749048105034E-2</v>
      </c>
      <c r="E80" s="16">
        <v>2048.1927999999998</v>
      </c>
      <c r="F80">
        <v>1.0573612999999999</v>
      </c>
      <c r="G80" s="42">
        <f t="shared" si="2"/>
        <v>2.4223410945182849E-2</v>
      </c>
    </row>
    <row r="81" spans="1:7" x14ac:dyDescent="0.25">
      <c r="A81" s="17">
        <v>2036.1446000000001</v>
      </c>
      <c r="B81" s="16">
        <v>1.0523894</v>
      </c>
      <c r="C81" s="42">
        <f t="shared" si="3"/>
        <v>2.2176465083855249E-2</v>
      </c>
      <c r="E81" s="16">
        <v>2036.1446000000001</v>
      </c>
      <c r="F81">
        <v>1.0566789999999999</v>
      </c>
      <c r="G81" s="42">
        <f t="shared" si="2"/>
        <v>2.3943076520818896E-2</v>
      </c>
    </row>
    <row r="82" spans="1:7" x14ac:dyDescent="0.25">
      <c r="A82" s="17">
        <v>2024.0963999999999</v>
      </c>
      <c r="B82" s="16">
        <v>1.0513808</v>
      </c>
      <c r="C82" s="42">
        <f t="shared" si="3"/>
        <v>2.1760041799593739E-2</v>
      </c>
      <c r="E82" s="16">
        <v>2024.0963999999999</v>
      </c>
      <c r="F82">
        <v>1.0559794</v>
      </c>
      <c r="G82" s="42">
        <f t="shared" si="2"/>
        <v>2.3655446082651153E-2</v>
      </c>
    </row>
    <row r="83" spans="1:7" x14ac:dyDescent="0.25">
      <c r="A83" s="17">
        <v>2012.0482</v>
      </c>
      <c r="B83" s="16">
        <v>1.0503503000000001</v>
      </c>
      <c r="C83" s="42">
        <f t="shared" si="3"/>
        <v>2.1334163817900664E-2</v>
      </c>
      <c r="E83" s="16">
        <v>2012.0482</v>
      </c>
      <c r="F83">
        <v>1.0552618</v>
      </c>
      <c r="G83" s="42">
        <f t="shared" si="2"/>
        <v>2.3360217160237888E-2</v>
      </c>
    </row>
    <row r="84" spans="1:7" x14ac:dyDescent="0.25">
      <c r="A84" s="17">
        <v>2000</v>
      </c>
      <c r="B84" s="16">
        <v>1.0492977000000001</v>
      </c>
      <c r="C84" s="42">
        <f t="shared" si="3"/>
        <v>2.0898720915139873E-2</v>
      </c>
      <c r="E84" s="16">
        <v>2000</v>
      </c>
      <c r="F84">
        <v>1.0545256000000001</v>
      </c>
      <c r="G84" s="42">
        <f t="shared" si="2"/>
        <v>2.3057127274921364E-2</v>
      </c>
    </row>
    <row r="85" spans="1:7" x14ac:dyDescent="0.25">
      <c r="A85" s="17">
        <v>1987.9518</v>
      </c>
      <c r="B85" s="16">
        <v>1.0482222999999999</v>
      </c>
      <c r="C85" s="42">
        <f t="shared" si="3"/>
        <v>2.0453394694878588E-2</v>
      </c>
      <c r="E85" s="16">
        <v>1987.9518</v>
      </c>
      <c r="F85">
        <v>1.0537700000000001</v>
      </c>
      <c r="G85" s="42">
        <f t="shared" si="2"/>
        <v>2.2745830391717632E-2</v>
      </c>
    </row>
    <row r="86" spans="1:7" x14ac:dyDescent="0.25">
      <c r="A86" s="17">
        <v>1975.9036000000001</v>
      </c>
      <c r="B86" s="16">
        <v>1.0471237</v>
      </c>
      <c r="C86" s="42">
        <f t="shared" si="3"/>
        <v>1.9997989275880573E-2</v>
      </c>
      <c r="E86" s="16">
        <v>1975.9036000000001</v>
      </c>
      <c r="F86">
        <v>1.0529945000000001</v>
      </c>
      <c r="G86" s="42">
        <f t="shared" si="2"/>
        <v>2.2426102784832622E-2</v>
      </c>
    </row>
    <row r="87" spans="1:7" x14ac:dyDescent="0.25">
      <c r="A87" s="17">
        <v>1963.8553999999999</v>
      </c>
      <c r="B87" s="16">
        <v>1.0460016999999999</v>
      </c>
      <c r="C87" s="42">
        <f t="shared" si="3"/>
        <v>1.9532390363013796E-2</v>
      </c>
      <c r="E87" s="16">
        <v>1963.8553999999999</v>
      </c>
      <c r="F87">
        <v>1.0521982999999999</v>
      </c>
      <c r="G87" s="42">
        <f t="shared" si="2"/>
        <v>2.2097595787299106E-2</v>
      </c>
    </row>
    <row r="88" spans="1:7" x14ac:dyDescent="0.25">
      <c r="A88" s="17">
        <v>1951.8072</v>
      </c>
      <c r="B88" s="16">
        <v>1.044856</v>
      </c>
      <c r="C88" s="42">
        <f t="shared" si="3"/>
        <v>1.9056440959363569E-2</v>
      </c>
      <c r="E88" s="16">
        <v>1951.8072</v>
      </c>
      <c r="F88">
        <v>1.0513806999999999</v>
      </c>
      <c r="G88" s="42">
        <f t="shared" si="2"/>
        <v>2.1760000492533273E-2</v>
      </c>
    </row>
    <row r="89" spans="1:7" x14ac:dyDescent="0.25">
      <c r="A89" s="17">
        <v>1939.759</v>
      </c>
      <c r="B89" s="16">
        <v>1.0436863999999999</v>
      </c>
      <c r="C89" s="42">
        <f t="shared" si="3"/>
        <v>1.857002432819212E-2</v>
      </c>
      <c r="E89" s="16">
        <v>1939.759</v>
      </c>
      <c r="F89">
        <v>1.0505409000000001</v>
      </c>
      <c r="G89" s="42">
        <f t="shared" si="2"/>
        <v>2.1412965165136428E-2</v>
      </c>
    </row>
    <row r="90" spans="1:7" x14ac:dyDescent="0.25">
      <c r="A90" s="17">
        <v>1927.7108000000001</v>
      </c>
      <c r="B90" s="16">
        <v>1.0424928</v>
      </c>
      <c r="C90" s="42">
        <f t="shared" si="3"/>
        <v>1.8073064191533494E-2</v>
      </c>
      <c r="E90" s="16">
        <v>1927.7108000000001</v>
      </c>
      <c r="F90">
        <v>1.0496782</v>
      </c>
      <c r="G90" s="42">
        <f t="shared" si="2"/>
        <v>2.1056177751280089E-2</v>
      </c>
    </row>
    <row r="91" spans="1:7" x14ac:dyDescent="0.25">
      <c r="A91" s="17">
        <v>1915.6627000000001</v>
      </c>
      <c r="B91" s="16">
        <v>1.0412752000000001</v>
      </c>
      <c r="C91" s="42">
        <f t="shared" si="3"/>
        <v>1.756552494402706E-2</v>
      </c>
      <c r="E91" s="16">
        <v>1915.6627000000001</v>
      </c>
      <c r="F91">
        <v>1.0487918000000001</v>
      </c>
      <c r="G91" s="42">
        <f t="shared" si="2"/>
        <v>2.0689283155070137E-2</v>
      </c>
    </row>
    <row r="92" spans="1:7" x14ac:dyDescent="0.25">
      <c r="A92" s="17">
        <v>1903.6144999999999</v>
      </c>
      <c r="B92" s="16">
        <v>1.0400336999999999</v>
      </c>
      <c r="C92" s="42">
        <f t="shared" si="3"/>
        <v>1.7047411882355704E-2</v>
      </c>
      <c r="E92" s="16">
        <v>1903.6144999999999</v>
      </c>
      <c r="F92">
        <v>1.0478810999999999</v>
      </c>
      <c r="G92" s="42">
        <f t="shared" si="2"/>
        <v>2.0312007320062841E-2</v>
      </c>
    </row>
    <row r="93" spans="1:7" x14ac:dyDescent="0.25">
      <c r="A93" s="17">
        <v>1891.5663</v>
      </c>
      <c r="B93" s="16">
        <v>1.0387687000000001</v>
      </c>
      <c r="C93" s="42">
        <f t="shared" si="3"/>
        <v>1.6518855067701441E-2</v>
      </c>
      <c r="E93" s="16">
        <v>1891.5663</v>
      </c>
      <c r="F93">
        <v>1.046945</v>
      </c>
      <c r="G93" s="42">
        <f t="shared" si="2"/>
        <v>1.9923867138336097E-2</v>
      </c>
    </row>
    <row r="94" spans="1:7" x14ac:dyDescent="0.25">
      <c r="A94" s="17">
        <v>1879.5181</v>
      </c>
      <c r="B94" s="16">
        <v>1.0374805</v>
      </c>
      <c r="C94" s="42">
        <f t="shared" si="3"/>
        <v>1.5979942664145864E-2</v>
      </c>
      <c r="E94" s="16">
        <v>1879.5181</v>
      </c>
      <c r="F94">
        <v>1.0459830000000001</v>
      </c>
      <c r="G94" s="42">
        <f t="shared" si="2"/>
        <v>1.9524626150577894E-2</v>
      </c>
    </row>
    <row r="95" spans="1:7" x14ac:dyDescent="0.25">
      <c r="A95" s="17">
        <v>1867.4699000000001</v>
      </c>
      <c r="B95" s="16">
        <v>1.0361697999999999</v>
      </c>
      <c r="C95" s="42">
        <f t="shared" si="3"/>
        <v>1.5430930274509707E-2</v>
      </c>
      <c r="E95" s="16">
        <v>1867.4699000000001</v>
      </c>
      <c r="F95">
        <v>1.0449941</v>
      </c>
      <c r="G95" s="42">
        <f t="shared" si="2"/>
        <v>1.911383844259756E-2</v>
      </c>
    </row>
    <row r="96" spans="1:7" x14ac:dyDescent="0.25">
      <c r="A96" s="17">
        <v>1855.4217000000001</v>
      </c>
      <c r="B96" s="16">
        <v>1.0348374</v>
      </c>
      <c r="C96" s="42">
        <f t="shared" si="3"/>
        <v>1.4872116140474076E-2</v>
      </c>
      <c r="E96" s="16">
        <v>1855.4217000000001</v>
      </c>
      <c r="F96">
        <v>1.0439775</v>
      </c>
      <c r="G96" s="42">
        <f t="shared" si="2"/>
        <v>1.8691138770513441E-2</v>
      </c>
    </row>
    <row r="97" spans="1:7" x14ac:dyDescent="0.25">
      <c r="A97" s="17">
        <v>1843.3734999999999</v>
      </c>
      <c r="B97" s="16">
        <v>1.0334843</v>
      </c>
      <c r="C97" s="42">
        <f t="shared" si="3"/>
        <v>1.4303883503068968E-2</v>
      </c>
      <c r="E97" s="16">
        <v>1843.3734999999999</v>
      </c>
      <c r="F97">
        <v>1.0429324</v>
      </c>
      <c r="G97" s="42">
        <f t="shared" si="2"/>
        <v>1.8256159568986928E-2</v>
      </c>
    </row>
    <row r="98" spans="1:7" x14ac:dyDescent="0.25">
      <c r="A98" s="17">
        <v>1831.3253</v>
      </c>
      <c r="B98" s="16">
        <v>1.0321115999999999</v>
      </c>
      <c r="C98" s="42">
        <f t="shared" si="3"/>
        <v>1.3726659155296786E-2</v>
      </c>
      <c r="E98" s="16">
        <v>1831.3253</v>
      </c>
      <c r="F98">
        <v>1.0418578000000001</v>
      </c>
      <c r="G98" s="42">
        <f t="shared" si="2"/>
        <v>1.7808447476341357E-2</v>
      </c>
    </row>
    <row r="99" spans="1:7" x14ac:dyDescent="0.25">
      <c r="A99" s="17">
        <v>1819.2771</v>
      </c>
      <c r="B99" s="16">
        <v>1.0307211000000001</v>
      </c>
      <c r="C99" s="42">
        <f t="shared" si="3"/>
        <v>1.314116662500097E-2</v>
      </c>
      <c r="E99" s="16">
        <v>1819.2771</v>
      </c>
      <c r="F99">
        <v>1.0407527000000001</v>
      </c>
      <c r="G99" s="42">
        <f t="shared" si="2"/>
        <v>1.7347546240131507E-2</v>
      </c>
    </row>
    <row r="100" spans="1:7" x14ac:dyDescent="0.25">
      <c r="A100" s="17">
        <v>1807.2289000000001</v>
      </c>
      <c r="B100" s="16">
        <v>1.0293143</v>
      </c>
      <c r="C100" s="42">
        <f t="shared" si="3"/>
        <v>1.2548006359777509E-2</v>
      </c>
      <c r="E100" s="16">
        <v>1807.2289000000001</v>
      </c>
      <c r="F100">
        <v>1.0396160999999999</v>
      </c>
      <c r="G100" s="42">
        <f t="shared" si="2"/>
        <v>1.6872996576393698E-2</v>
      </c>
    </row>
    <row r="101" spans="1:7" x14ac:dyDescent="0.25">
      <c r="A101" s="17">
        <v>1795.1806999999999</v>
      </c>
      <c r="B101" s="16">
        <v>1.0278935</v>
      </c>
      <c r="C101" s="42">
        <f t="shared" si="3"/>
        <v>1.1948119758145501E-2</v>
      </c>
      <c r="E101" s="16">
        <v>1795.1806999999999</v>
      </c>
      <c r="F101">
        <v>1.0384469000000001</v>
      </c>
      <c r="G101" s="42">
        <f t="shared" si="2"/>
        <v>1.6384294201323847E-2</v>
      </c>
    </row>
    <row r="102" spans="1:7" x14ac:dyDescent="0.25">
      <c r="A102" s="17">
        <v>1783.1324999999999</v>
      </c>
      <c r="B102" s="16">
        <v>1.0264609</v>
      </c>
      <c r="C102" s="42">
        <f t="shared" si="3"/>
        <v>1.13424108545335E-2</v>
      </c>
      <c r="E102" s="16">
        <v>1783.1324999999999</v>
      </c>
      <c r="F102">
        <v>1.0372437000000001</v>
      </c>
      <c r="G102" s="42">
        <f t="shared" si="2"/>
        <v>1.5880805695712926E-2</v>
      </c>
    </row>
    <row r="103" spans="1:7" x14ac:dyDescent="0.25">
      <c r="A103" s="17">
        <v>1771.0843</v>
      </c>
      <c r="B103" s="16">
        <v>1.0250195</v>
      </c>
      <c r="C103" s="42">
        <f t="shared" si="3"/>
        <v>1.0732127500887048E-2</v>
      </c>
      <c r="E103" s="16">
        <v>1771.0843</v>
      </c>
      <c r="F103">
        <v>1.0360050000000001</v>
      </c>
      <c r="G103" s="42">
        <f t="shared" si="2"/>
        <v>1.5361851419995609E-2</v>
      </c>
    </row>
    <row r="104" spans="1:7" x14ac:dyDescent="0.25">
      <c r="A104" s="17">
        <v>1759.0361</v>
      </c>
      <c r="B104" s="16">
        <v>1.0235721</v>
      </c>
      <c r="C104" s="42">
        <f t="shared" si="3"/>
        <v>1.0118439601645938E-2</v>
      </c>
      <c r="E104" s="16">
        <v>1759.0361</v>
      </c>
      <c r="F104">
        <v>1.0347291000000001</v>
      </c>
      <c r="G104" s="42">
        <f t="shared" si="2"/>
        <v>1.4826663054107406E-2</v>
      </c>
    </row>
    <row r="105" spans="1:7" x14ac:dyDescent="0.25">
      <c r="A105" s="17">
        <v>1746.9880000000001</v>
      </c>
      <c r="B105" s="16">
        <v>1.0221224</v>
      </c>
      <c r="C105" s="42">
        <f t="shared" si="3"/>
        <v>9.5029060351146857E-3</v>
      </c>
      <c r="E105" s="16">
        <v>1746.9880000000001</v>
      </c>
      <c r="F105">
        <v>1.0334136</v>
      </c>
      <c r="G105" s="42">
        <f t="shared" si="2"/>
        <v>1.4274172679053397E-2</v>
      </c>
    </row>
    <row r="106" spans="1:7" x14ac:dyDescent="0.25">
      <c r="A106" s="17">
        <v>1734.9398000000001</v>
      </c>
      <c r="B106" s="16">
        <v>1.0206740000000001</v>
      </c>
      <c r="C106" s="42">
        <f t="shared" si="3"/>
        <v>8.8870519705609771E-3</v>
      </c>
      <c r="E106" s="16">
        <v>1734.9398000000001</v>
      </c>
      <c r="F106">
        <v>1.0320560000000001</v>
      </c>
      <c r="G106" s="42">
        <f t="shared" si="2"/>
        <v>1.3703263019053214E-2</v>
      </c>
    </row>
    <row r="107" spans="1:7" x14ac:dyDescent="0.25">
      <c r="A107" s="17">
        <v>1722.8915999999999</v>
      </c>
      <c r="B107" s="16">
        <v>1.0192311999999999</v>
      </c>
      <c r="C107" s="42">
        <f t="shared" si="3"/>
        <v>8.2727095168264233E-3</v>
      </c>
      <c r="E107" s="16">
        <v>1722.8915999999999</v>
      </c>
      <c r="F107">
        <v>1.0306526</v>
      </c>
      <c r="G107" s="42">
        <f t="shared" si="2"/>
        <v>1.3112303181151527E-2</v>
      </c>
    </row>
    <row r="108" spans="1:7" x14ac:dyDescent="0.25">
      <c r="A108" s="17">
        <v>1710.8434</v>
      </c>
      <c r="B108" s="16">
        <v>1.0177982999999999</v>
      </c>
      <c r="C108" s="42">
        <f t="shared" si="3"/>
        <v>7.6617211479696667E-3</v>
      </c>
      <c r="E108" s="16">
        <v>1710.8434</v>
      </c>
      <c r="F108">
        <v>1.029199</v>
      </c>
      <c r="G108" s="42">
        <f t="shared" si="2"/>
        <v>1.2499355565229979E-2</v>
      </c>
    </row>
    <row r="109" spans="1:7" x14ac:dyDescent="0.25">
      <c r="A109" s="17">
        <v>1698.7952</v>
      </c>
      <c r="B109" s="16">
        <v>1.0163800999999999</v>
      </c>
      <c r="C109" s="42">
        <f t="shared" si="3"/>
        <v>7.0561532842782363E-3</v>
      </c>
      <c r="E109" s="16">
        <v>1698.7952</v>
      </c>
      <c r="F109">
        <v>1.0276892</v>
      </c>
      <c r="G109" s="42">
        <f t="shared" si="2"/>
        <v>1.1861792544995673E-2</v>
      </c>
    </row>
    <row r="110" spans="1:7" x14ac:dyDescent="0.25">
      <c r="A110" s="17">
        <v>1686.7470000000001</v>
      </c>
      <c r="B110" s="16">
        <v>1.0149815</v>
      </c>
      <c r="C110" s="42">
        <f t="shared" si="3"/>
        <v>6.4581264648608397E-3</v>
      </c>
      <c r="E110" s="16">
        <v>1686.7470000000001</v>
      </c>
      <c r="F110">
        <v>1.0261153000000001</v>
      </c>
      <c r="G110" s="42">
        <f t="shared" si="2"/>
        <v>1.1196163251775465E-2</v>
      </c>
    </row>
    <row r="111" spans="1:7" x14ac:dyDescent="0.25">
      <c r="A111" s="17">
        <v>1674.6987999999999</v>
      </c>
      <c r="B111" s="16">
        <v>1.0136075</v>
      </c>
      <c r="C111" s="42">
        <f t="shared" si="3"/>
        <v>5.8698153684430248E-3</v>
      </c>
      <c r="E111" s="16">
        <v>1674.6987999999999</v>
      </c>
      <c r="F111">
        <v>1.024467</v>
      </c>
      <c r="G111" s="42">
        <f t="shared" si="2"/>
        <v>1.0497973524206432E-2</v>
      </c>
    </row>
    <row r="112" spans="1:7" x14ac:dyDescent="0.25">
      <c r="A112" s="17">
        <v>1662.6505999999999</v>
      </c>
      <c r="B112" s="16">
        <v>1.0122629000000001</v>
      </c>
      <c r="C112" s="42">
        <f t="shared" si="3"/>
        <v>5.2933200051521407E-3</v>
      </c>
      <c r="E112" s="16">
        <v>1662.6505999999999</v>
      </c>
      <c r="F112">
        <v>1.0227302</v>
      </c>
      <c r="G112" s="42">
        <f t="shared" si="2"/>
        <v>9.7610803346944199E-3</v>
      </c>
    </row>
    <row r="113" spans="1:7" x14ac:dyDescent="0.25">
      <c r="A113" s="17">
        <v>1650.6024</v>
      </c>
      <c r="B113" s="16">
        <v>1.0109526</v>
      </c>
      <c r="C113" s="42">
        <f t="shared" si="3"/>
        <v>4.7307935326165156E-3</v>
      </c>
      <c r="E113" s="16">
        <v>1650.6024</v>
      </c>
      <c r="F113">
        <v>1.0208862000000001</v>
      </c>
      <c r="G113" s="42">
        <f t="shared" si="2"/>
        <v>8.9773332068348276E-3</v>
      </c>
    </row>
    <row r="114" spans="1:7" x14ac:dyDescent="0.25">
      <c r="A114" s="17">
        <v>1638.5542</v>
      </c>
      <c r="B114" s="16">
        <v>1.0096805</v>
      </c>
      <c r="C114" s="42">
        <f t="shared" si="3"/>
        <v>4.1839687939569199E-3</v>
      </c>
      <c r="E114" s="16">
        <v>1638.5542</v>
      </c>
      <c r="F114">
        <v>1.0189101</v>
      </c>
      <c r="G114" s="42">
        <f t="shared" si="2"/>
        <v>8.1358672289116151E-3</v>
      </c>
    </row>
    <row r="115" spans="1:7" x14ac:dyDescent="0.25">
      <c r="A115" s="17">
        <v>1626.5060000000001</v>
      </c>
      <c r="B115" s="16">
        <v>1.0084500000000001</v>
      </c>
      <c r="C115" s="42">
        <f t="shared" si="3"/>
        <v>3.6543703104049245E-3</v>
      </c>
      <c r="E115" s="16">
        <v>1626.5060000000001</v>
      </c>
      <c r="F115">
        <v>1.0167683000000001</v>
      </c>
      <c r="G115" s="42">
        <f t="shared" si="2"/>
        <v>7.2219976662463003E-3</v>
      </c>
    </row>
    <row r="116" spans="1:7" x14ac:dyDescent="0.25">
      <c r="A116" s="17">
        <v>1614.4577999999999</v>
      </c>
      <c r="B116" s="16">
        <v>1.0072631000000001</v>
      </c>
      <c r="C116" s="42">
        <f t="shared" si="3"/>
        <v>3.1429243311693108E-3</v>
      </c>
      <c r="E116" s="16">
        <v>1614.4577999999999</v>
      </c>
      <c r="F116">
        <v>1.0144162999999999</v>
      </c>
      <c r="G116" s="42">
        <f t="shared" si="2"/>
        <v>6.2162189911085276E-3</v>
      </c>
    </row>
    <row r="117" spans="1:7" x14ac:dyDescent="0.25">
      <c r="A117" s="17">
        <v>1602.4096</v>
      </c>
      <c r="B117" s="16">
        <v>1.0061198</v>
      </c>
      <c r="C117" s="42">
        <f t="shared" si="3"/>
        <v>2.6496958106238589E-3</v>
      </c>
      <c r="E117" s="16">
        <v>1602.4096</v>
      </c>
      <c r="F117">
        <v>1.011795</v>
      </c>
      <c r="G117" s="42">
        <f t="shared" si="2"/>
        <v>5.0925289193810312E-3</v>
      </c>
    </row>
    <row r="118" spans="1:7" x14ac:dyDescent="0.25">
      <c r="A118" s="17">
        <v>1590.3614</v>
      </c>
      <c r="B118" s="16">
        <v>1.0050174999999999</v>
      </c>
      <c r="C118" s="42">
        <f t="shared" si="3"/>
        <v>2.1736240323917957E-3</v>
      </c>
      <c r="E118" s="16">
        <v>1590.3614</v>
      </c>
      <c r="F118">
        <v>1.0088273000000001</v>
      </c>
      <c r="G118" s="42">
        <f t="shared" si="2"/>
        <v>3.8168262205892176E-3</v>
      </c>
    </row>
    <row r="119" spans="1:7" x14ac:dyDescent="0.25">
      <c r="A119" s="17">
        <v>1578.3133</v>
      </c>
      <c r="B119" s="16">
        <v>1.0039498</v>
      </c>
      <c r="C119" s="42">
        <f t="shared" si="3"/>
        <v>1.71199754201917E-3</v>
      </c>
      <c r="E119" s="16">
        <v>1578.3133</v>
      </c>
      <c r="F119">
        <v>1.005414</v>
      </c>
      <c r="G119" s="42">
        <f t="shared" si="2"/>
        <v>2.3449283163798984E-3</v>
      </c>
    </row>
    <row r="120" spans="1:7" x14ac:dyDescent="0.25">
      <c r="A120" s="17">
        <v>1566.2651000000001</v>
      </c>
      <c r="B120" s="16">
        <v>1.0029056000000001</v>
      </c>
      <c r="C120" s="42">
        <f t="shared" si="3"/>
        <v>1.2600563220112691E-3</v>
      </c>
      <c r="E120" s="16">
        <v>1566.2651000000001</v>
      </c>
      <c r="F120">
        <v>1.0014305999999999</v>
      </c>
      <c r="G120" s="42">
        <f t="shared" si="2"/>
        <v>6.2085769211605169E-4</v>
      </c>
    </row>
    <row r="121" spans="1:7" x14ac:dyDescent="0.25">
      <c r="A121" s="17">
        <v>1554.2168999999999</v>
      </c>
      <c r="B121" s="16">
        <v>1.0018666000000001</v>
      </c>
      <c r="C121" s="42">
        <f t="shared" si="3"/>
        <v>8.0989843664421371E-4</v>
      </c>
      <c r="E121" s="16">
        <v>1554.2168999999999</v>
      </c>
      <c r="F121">
        <v>0.99672576999999996</v>
      </c>
      <c r="G121" s="42">
        <f t="shared" si="2"/>
        <v>-1.4243130603007277E-3</v>
      </c>
    </row>
    <row r="122" spans="1:7" x14ac:dyDescent="0.25">
      <c r="A122" s="17">
        <v>1542.1686999999999</v>
      </c>
      <c r="B122" s="16">
        <v>1.0008060999999999</v>
      </c>
      <c r="C122" s="42">
        <f t="shared" si="3"/>
        <v>3.4994375597307133E-4</v>
      </c>
      <c r="E122" s="16">
        <v>1542.1686999999999</v>
      </c>
      <c r="F122">
        <v>0.99112445000000005</v>
      </c>
      <c r="G122" s="42">
        <f t="shared" si="2"/>
        <v>-3.8718101414852162E-3</v>
      </c>
    </row>
    <row r="123" spans="1:7" x14ac:dyDescent="0.25">
      <c r="A123" s="17">
        <v>1530.1205</v>
      </c>
      <c r="B123" s="16">
        <v>0.99968497000000001</v>
      </c>
      <c r="C123" s="42">
        <f t="shared" si="3"/>
        <v>-1.3683734570035439E-4</v>
      </c>
      <c r="E123" s="16">
        <v>1530.1205</v>
      </c>
      <c r="F123">
        <v>0.98443486999999996</v>
      </c>
      <c r="G123" s="42">
        <f t="shared" si="2"/>
        <v>-6.8130114052640462E-3</v>
      </c>
    </row>
    <row r="124" spans="1:7" x14ac:dyDescent="0.25">
      <c r="A124" s="17">
        <v>1518.0723</v>
      </c>
      <c r="B124" s="16">
        <v>0.99844818999999996</v>
      </c>
      <c r="C124" s="42">
        <f t="shared" si="3"/>
        <v>-6.7446597694052551E-4</v>
      </c>
      <c r="E124" s="16">
        <v>1518.0723</v>
      </c>
      <c r="F124">
        <v>0.97646157</v>
      </c>
      <c r="G124" s="42">
        <f t="shared" si="2"/>
        <v>-1.0344844301741809E-2</v>
      </c>
    </row>
    <row r="125" spans="1:7" x14ac:dyDescent="0.25">
      <c r="A125" s="17">
        <v>1506.0241000000001</v>
      </c>
      <c r="B125" s="16">
        <v>0.99701936000000002</v>
      </c>
      <c r="C125" s="42">
        <f t="shared" si="3"/>
        <v>-1.296408529330297E-3</v>
      </c>
      <c r="E125" s="16">
        <v>1506.0241000000001</v>
      </c>
      <c r="F125">
        <v>0.96702136999999999</v>
      </c>
      <c r="G125" s="42">
        <f t="shared" si="2"/>
        <v>-1.4563928429377343E-2</v>
      </c>
    </row>
    <row r="126" spans="1:7" x14ac:dyDescent="0.25">
      <c r="A126" s="17">
        <v>1493.9758999999999</v>
      </c>
      <c r="B126" s="16">
        <v>0.99529365999999997</v>
      </c>
      <c r="C126" s="42">
        <f t="shared" si="3"/>
        <v>-2.0487623686407264E-3</v>
      </c>
      <c r="E126" s="16">
        <v>1493.9758999999999</v>
      </c>
      <c r="F126">
        <v>0.9559588</v>
      </c>
      <c r="G126" s="42">
        <f t="shared" si="2"/>
        <v>-1.9560824583967396E-2</v>
      </c>
    </row>
    <row r="127" spans="1:7" x14ac:dyDescent="0.25">
      <c r="A127" s="17">
        <v>1481.9277</v>
      </c>
      <c r="B127" s="16">
        <v>0.99312900999999998</v>
      </c>
      <c r="C127" s="42">
        <f t="shared" si="3"/>
        <v>-2.9943318753731609E-3</v>
      </c>
      <c r="E127" s="16">
        <v>1481.9277</v>
      </c>
      <c r="F127">
        <v>0.94315773000000003</v>
      </c>
      <c r="G127" s="42">
        <f t="shared" si="2"/>
        <v>-2.5415671482852415E-2</v>
      </c>
    </row>
    <row r="128" spans="1:7" x14ac:dyDescent="0.25">
      <c r="A128" s="17">
        <v>1469.8795</v>
      </c>
      <c r="B128" s="16">
        <v>0.99033530000000003</v>
      </c>
      <c r="C128" s="42">
        <f t="shared" si="3"/>
        <v>-4.2177404673618872E-3</v>
      </c>
      <c r="E128" s="16">
        <v>1469.8795</v>
      </c>
      <c r="F128">
        <v>0.92854718999999997</v>
      </c>
      <c r="G128" s="42">
        <f t="shared" si="2"/>
        <v>-3.2196019941629989E-2</v>
      </c>
    </row>
    <row r="129" spans="1:7" x14ac:dyDescent="0.25">
      <c r="A129" s="17">
        <v>1457.8313000000001</v>
      </c>
      <c r="B129" s="16">
        <v>0.98666273000000004</v>
      </c>
      <c r="C129" s="42">
        <f t="shared" si="3"/>
        <v>-5.8312764404749671E-3</v>
      </c>
      <c r="E129" s="16">
        <v>1457.8313000000001</v>
      </c>
      <c r="F129">
        <v>0.91210188000000003</v>
      </c>
      <c r="G129" s="42">
        <f t="shared" ref="G129:G192" si="4">LOG10(F129)</f>
        <v>-3.995664911606546E-2</v>
      </c>
    </row>
    <row r="130" spans="1:7" x14ac:dyDescent="0.25">
      <c r="A130" s="17">
        <v>1445.7831000000001</v>
      </c>
      <c r="B130" s="16">
        <v>0.98179128999999998</v>
      </c>
      <c r="C130" s="42">
        <f t="shared" si="3"/>
        <v>-7.9808250796170321E-3</v>
      </c>
      <c r="E130" s="16">
        <v>1445.7831000000001</v>
      </c>
      <c r="F130">
        <v>0.89383886999999995</v>
      </c>
      <c r="G130" s="42">
        <f t="shared" si="4"/>
        <v>-4.874076328110033E-2</v>
      </c>
    </row>
    <row r="131" spans="1:7" x14ac:dyDescent="0.25">
      <c r="A131" s="17">
        <v>1433.7348999999999</v>
      </c>
      <c r="B131" s="16">
        <v>0.975325</v>
      </c>
      <c r="C131" s="42">
        <f t="shared" ref="C131:C194" si="5">LOG10(B131)</f>
        <v>-1.0850643596272998E-2</v>
      </c>
      <c r="E131" s="16">
        <v>1433.7348999999999</v>
      </c>
      <c r="F131">
        <v>0.87381231000000004</v>
      </c>
      <c r="G131" s="42">
        <f t="shared" si="4"/>
        <v>-5.8581841375804307E-2</v>
      </c>
    </row>
    <row r="132" spans="1:7" x14ac:dyDescent="0.25">
      <c r="A132" s="17">
        <v>1421.6867</v>
      </c>
      <c r="B132" s="16">
        <v>0.96679572999999996</v>
      </c>
      <c r="C132" s="42">
        <f t="shared" si="5"/>
        <v>-1.4665276387611217E-2</v>
      </c>
      <c r="E132" s="16">
        <v>1421.6867</v>
      </c>
      <c r="F132">
        <v>0.85210733999999999</v>
      </c>
      <c r="G132" s="42">
        <f t="shared" si="4"/>
        <v>-6.9505693691773229E-2</v>
      </c>
    </row>
    <row r="133" spans="1:7" x14ac:dyDescent="0.25">
      <c r="A133" s="17">
        <v>1409.6386</v>
      </c>
      <c r="B133" s="16">
        <v>0.95568021999999997</v>
      </c>
      <c r="C133" s="42">
        <f t="shared" si="5"/>
        <v>-1.9687402621305292E-2</v>
      </c>
      <c r="E133" s="16">
        <v>1409.6386</v>
      </c>
      <c r="F133">
        <v>0.82883412999999995</v>
      </c>
      <c r="G133" s="42">
        <f t="shared" si="4"/>
        <v>-8.1532373711920264E-2</v>
      </c>
    </row>
    <row r="134" spans="1:7" x14ac:dyDescent="0.25">
      <c r="A134" s="17">
        <v>1397.5904</v>
      </c>
      <c r="B134" s="16">
        <v>0.94143166</v>
      </c>
      <c r="C134" s="42">
        <f t="shared" si="5"/>
        <v>-2.6211200620353696E-2</v>
      </c>
      <c r="E134" s="16">
        <v>1397.5904</v>
      </c>
      <c r="F134">
        <v>0.80412225000000004</v>
      </c>
      <c r="G134" s="42">
        <f t="shared" si="4"/>
        <v>-9.4677920823184269E-2</v>
      </c>
    </row>
    <row r="135" spans="1:7" x14ac:dyDescent="0.25">
      <c r="A135" s="17">
        <v>1385.5422000000001</v>
      </c>
      <c r="B135" s="16">
        <v>0.92352367999999996</v>
      </c>
      <c r="C135" s="42">
        <f t="shared" si="5"/>
        <v>-3.4551964369399238E-2</v>
      </c>
      <c r="E135" s="16">
        <v>1385.5422000000001</v>
      </c>
      <c r="F135">
        <v>0.77811565999999999</v>
      </c>
      <c r="G135" s="42">
        <f t="shared" si="4"/>
        <v>-0.10895584418456232</v>
      </c>
    </row>
    <row r="136" spans="1:7" x14ac:dyDescent="0.25">
      <c r="A136" s="17">
        <v>1373.4939999999999</v>
      </c>
      <c r="B136" s="16">
        <v>0.90150284999999997</v>
      </c>
      <c r="C136" s="42">
        <f t="shared" si="5"/>
        <v>-4.5032895966186093E-2</v>
      </c>
      <c r="E136" s="16">
        <v>1373.4939999999999</v>
      </c>
      <c r="F136">
        <v>0.75096825</v>
      </c>
      <c r="G136" s="42">
        <f t="shared" si="4"/>
        <v>-0.12437842403615651</v>
      </c>
    </row>
    <row r="137" spans="1:7" x14ac:dyDescent="0.25">
      <c r="A137" s="17">
        <v>1361.4458</v>
      </c>
      <c r="B137" s="16">
        <v>0.87504451000000005</v>
      </c>
      <c r="C137" s="42">
        <f t="shared" si="5"/>
        <v>-5.7969855599686655E-2</v>
      </c>
      <c r="E137" s="16">
        <v>1361.4458</v>
      </c>
      <c r="F137">
        <v>0.72284002999999997</v>
      </c>
      <c r="G137" s="42">
        <f t="shared" si="4"/>
        <v>-0.14095780474596056</v>
      </c>
    </row>
    <row r="138" spans="1:7" x14ac:dyDescent="0.25">
      <c r="A138" s="17">
        <v>1349.3976</v>
      </c>
      <c r="B138" s="16">
        <v>0.84400569999999997</v>
      </c>
      <c r="C138" s="42">
        <f t="shared" si="5"/>
        <v>-7.3654620352795491E-2</v>
      </c>
      <c r="E138" s="16">
        <v>1349.3976</v>
      </c>
      <c r="F138">
        <v>0.69389383000000004</v>
      </c>
      <c r="G138" s="42">
        <f t="shared" si="4"/>
        <v>-0.15870697417403085</v>
      </c>
    </row>
    <row r="139" spans="1:7" x14ac:dyDescent="0.25">
      <c r="A139" s="17">
        <v>1337.3494000000001</v>
      </c>
      <c r="B139" s="16">
        <v>0.80846647000000005</v>
      </c>
      <c r="C139" s="42">
        <f t="shared" si="5"/>
        <v>-9.2337987131656696E-2</v>
      </c>
      <c r="E139" s="16">
        <v>1337.3494000000001</v>
      </c>
      <c r="F139">
        <v>0.66429273</v>
      </c>
      <c r="G139" s="42">
        <f t="shared" si="4"/>
        <v>-0.17764050043841464</v>
      </c>
    </row>
    <row r="140" spans="1:7" x14ac:dyDescent="0.25">
      <c r="A140" s="17">
        <v>1325.3012000000001</v>
      </c>
      <c r="B140" s="16">
        <v>0.76875099999999996</v>
      </c>
      <c r="C140" s="42">
        <f t="shared" si="5"/>
        <v>-0.11421430628098289</v>
      </c>
      <c r="E140" s="16">
        <v>1325.3012000000001</v>
      </c>
      <c r="F140">
        <v>0.63419793999999996</v>
      </c>
      <c r="G140" s="42">
        <f t="shared" si="4"/>
        <v>-0.19777517298077768</v>
      </c>
    </row>
    <row r="141" spans="1:7" x14ac:dyDescent="0.25">
      <c r="A141" s="17">
        <v>1313.2529999999999</v>
      </c>
      <c r="B141" s="16">
        <v>0.72542116999999995</v>
      </c>
      <c r="C141" s="42">
        <f t="shared" si="5"/>
        <v>-0.1394097745344294</v>
      </c>
      <c r="E141" s="16">
        <v>1313.2529999999999</v>
      </c>
      <c r="F141">
        <v>0.60376722000000005</v>
      </c>
      <c r="G141" s="42">
        <f t="shared" si="4"/>
        <v>-0.21913046958315643</v>
      </c>
    </row>
    <row r="142" spans="1:7" x14ac:dyDescent="0.25">
      <c r="A142" s="17">
        <v>1301.2048</v>
      </c>
      <c r="B142" s="16">
        <v>0.67924121000000004</v>
      </c>
      <c r="C142" s="42">
        <f t="shared" si="5"/>
        <v>-0.16797597303991546</v>
      </c>
      <c r="E142" s="16">
        <v>1301.2048</v>
      </c>
      <c r="F142">
        <v>0.57315369000000005</v>
      </c>
      <c r="G142" s="42">
        <f t="shared" si="4"/>
        <v>-0.24172890723134466</v>
      </c>
    </row>
    <row r="143" spans="1:7" x14ac:dyDescent="0.25">
      <c r="A143" s="17">
        <v>1289.1566</v>
      </c>
      <c r="B143" s="16">
        <v>0.63111779000000001</v>
      </c>
      <c r="C143" s="42">
        <f t="shared" si="5"/>
        <v>-0.19988957772422597</v>
      </c>
      <c r="E143" s="16">
        <v>1289.1566</v>
      </c>
      <c r="F143">
        <v>0.54250507000000003</v>
      </c>
      <c r="G143" s="42">
        <f t="shared" si="4"/>
        <v>-0.26559619874628193</v>
      </c>
    </row>
    <row r="144" spans="1:7" x14ac:dyDescent="0.25">
      <c r="A144" s="17">
        <v>1277.1084000000001</v>
      </c>
      <c r="B144" s="16">
        <v>0.58202553999999995</v>
      </c>
      <c r="C144" s="42">
        <f t="shared" si="5"/>
        <v>-0.23505795755337353</v>
      </c>
      <c r="E144" s="16">
        <v>1277.1084000000001</v>
      </c>
      <c r="F144">
        <v>0.51196311000000005</v>
      </c>
      <c r="G144" s="42">
        <f t="shared" si="4"/>
        <v>-0.29076133140821681</v>
      </c>
    </row>
    <row r="145" spans="1:7" x14ac:dyDescent="0.25">
      <c r="A145" s="17">
        <v>1265.0601999999999</v>
      </c>
      <c r="B145" s="16">
        <v>0.53293040000000003</v>
      </c>
      <c r="C145" s="42">
        <f t="shared" si="5"/>
        <v>-0.27332950555063357</v>
      </c>
      <c r="E145" s="16">
        <v>1265.0601999999999</v>
      </c>
      <c r="F145">
        <v>0.48166323999999999</v>
      </c>
      <c r="G145" s="42">
        <f t="shared" si="4"/>
        <v>-0.31725649729017874</v>
      </c>
    </row>
    <row r="146" spans="1:7" x14ac:dyDescent="0.25">
      <c r="A146" s="17">
        <v>1253.0119999999999</v>
      </c>
      <c r="B146" s="16">
        <v>0.48472225000000002</v>
      </c>
      <c r="C146" s="42">
        <f t="shared" si="5"/>
        <v>-0.31450704458415335</v>
      </c>
      <c r="E146" s="16">
        <v>1253.0119999999999</v>
      </c>
      <c r="F146">
        <v>0.45173437999999999</v>
      </c>
      <c r="G146" s="42">
        <f t="shared" si="4"/>
        <v>-0.34511685547336918</v>
      </c>
    </row>
    <row r="147" spans="1:7" x14ac:dyDescent="0.25">
      <c r="A147" s="17">
        <v>1240.9639</v>
      </c>
      <c r="B147" s="16">
        <v>0.43816481000000002</v>
      </c>
      <c r="C147" s="42">
        <f t="shared" si="5"/>
        <v>-0.35836250454003427</v>
      </c>
      <c r="E147" s="16">
        <v>1240.9639</v>
      </c>
      <c r="F147">
        <v>0.42229867999999998</v>
      </c>
      <c r="G147" s="42">
        <f t="shared" si="4"/>
        <v>-0.37438027606884572</v>
      </c>
    </row>
    <row r="148" spans="1:7" x14ac:dyDescent="0.25">
      <c r="A148" s="17">
        <v>1228.9157</v>
      </c>
      <c r="B148" s="16">
        <v>0.39386612999999998</v>
      </c>
      <c r="C148" s="42">
        <f t="shared" si="5"/>
        <v>-0.40465136416813247</v>
      </c>
      <c r="E148" s="16">
        <v>1228.9157</v>
      </c>
      <c r="F148">
        <v>0.39347135</v>
      </c>
      <c r="G148" s="42">
        <f t="shared" si="4"/>
        <v>-0.40508688462610459</v>
      </c>
    </row>
    <row r="149" spans="1:7" x14ac:dyDescent="0.25">
      <c r="A149" s="17">
        <v>1216.8675000000001</v>
      </c>
      <c r="B149" s="16">
        <v>0.35226890999999999</v>
      </c>
      <c r="C149" s="42">
        <f t="shared" si="5"/>
        <v>-0.45312568441243783</v>
      </c>
      <c r="E149" s="16">
        <v>1216.8675000000001</v>
      </c>
      <c r="F149">
        <v>0.36536035</v>
      </c>
      <c r="G149" s="42">
        <f t="shared" si="4"/>
        <v>-0.43727858536482889</v>
      </c>
    </row>
    <row r="150" spans="1:7" x14ac:dyDescent="0.25">
      <c r="A150" s="17">
        <v>1204.8193000000001</v>
      </c>
      <c r="B150" s="16">
        <v>0.31365704</v>
      </c>
      <c r="C150" s="42">
        <f t="shared" si="5"/>
        <v>-0.50354496032227747</v>
      </c>
      <c r="E150" s="16">
        <v>1204.8193000000001</v>
      </c>
      <c r="F150">
        <v>0.33806602000000002</v>
      </c>
      <c r="G150" s="42">
        <f t="shared" si="4"/>
        <v>-0.47099847924346244</v>
      </c>
    </row>
    <row r="151" spans="1:7" x14ac:dyDescent="0.25">
      <c r="A151" s="17">
        <v>1192.7710999999999</v>
      </c>
      <c r="B151" s="16">
        <v>0.27817323999999999</v>
      </c>
      <c r="C151" s="42">
        <f t="shared" si="5"/>
        <v>-0.55568465104892206</v>
      </c>
      <c r="E151" s="16">
        <v>1192.7710999999999</v>
      </c>
      <c r="F151">
        <v>0.31168056</v>
      </c>
      <c r="G151" s="42">
        <f t="shared" si="4"/>
        <v>-0.5062902844989523</v>
      </c>
    </row>
    <row r="152" spans="1:7" x14ac:dyDescent="0.25">
      <c r="A152" s="17">
        <v>1180.7229</v>
      </c>
      <c r="B152" s="16">
        <v>0.24584296999999999</v>
      </c>
      <c r="C152" s="42">
        <f t="shared" si="5"/>
        <v>-0.60934220605943967</v>
      </c>
      <c r="E152" s="16">
        <v>1180.7229</v>
      </c>
      <c r="F152">
        <v>0.28628745999999999</v>
      </c>
      <c r="G152" s="42">
        <f t="shared" si="4"/>
        <v>-0.54319767458432411</v>
      </c>
    </row>
    <row r="153" spans="1:7" x14ac:dyDescent="0.25">
      <c r="A153" s="17">
        <v>1168.6747</v>
      </c>
      <c r="B153" s="16">
        <v>0.21660028000000001</v>
      </c>
      <c r="C153" s="42">
        <f t="shared" si="5"/>
        <v>-0.66434098629621863</v>
      </c>
      <c r="E153" s="16">
        <v>1168.6747</v>
      </c>
      <c r="F153">
        <v>0.26196086000000002</v>
      </c>
      <c r="G153" s="42">
        <f t="shared" si="4"/>
        <v>-0.58176359248112963</v>
      </c>
    </row>
    <row r="154" spans="1:7" x14ac:dyDescent="0.25">
      <c r="A154" s="17">
        <v>1156.6265000000001</v>
      </c>
      <c r="B154" s="16">
        <v>0.19031271</v>
      </c>
      <c r="C154" s="42">
        <f t="shared" si="5"/>
        <v>-0.72053220646579774</v>
      </c>
      <c r="E154" s="16">
        <v>1156.6265000000001</v>
      </c>
      <c r="F154">
        <v>0.23876479</v>
      </c>
      <c r="G154" s="42">
        <f t="shared" si="4"/>
        <v>-0.6220297170575394</v>
      </c>
    </row>
    <row r="155" spans="1:7" x14ac:dyDescent="0.25">
      <c r="A155" s="17">
        <v>1144.5782999999999</v>
      </c>
      <c r="B155" s="16">
        <v>0.16680329999999999</v>
      </c>
      <c r="C155" s="42">
        <f t="shared" si="5"/>
        <v>-0.77779536162625729</v>
      </c>
      <c r="E155" s="16">
        <v>1144.5782999999999</v>
      </c>
      <c r="F155">
        <v>0.21675262000000001</v>
      </c>
      <c r="G155" s="42">
        <f t="shared" si="4"/>
        <v>-0.66403564428005357</v>
      </c>
    </row>
    <row r="156" spans="1:7" x14ac:dyDescent="0.25">
      <c r="A156" s="17">
        <v>1132.5300999999999</v>
      </c>
      <c r="B156" s="16">
        <v>0.14586885999999999</v>
      </c>
      <c r="C156" s="42">
        <f t="shared" si="5"/>
        <v>-0.83603741114701557</v>
      </c>
      <c r="E156" s="16">
        <v>1132.5300999999999</v>
      </c>
      <c r="F156">
        <v>0.19596635000000001</v>
      </c>
      <c r="G156" s="42">
        <f t="shared" si="4"/>
        <v>-0.70781849631675375</v>
      </c>
    </row>
    <row r="157" spans="1:7" x14ac:dyDescent="0.25">
      <c r="A157" s="17">
        <v>1120.4819</v>
      </c>
      <c r="B157" s="16">
        <v>0.12729430999999999</v>
      </c>
      <c r="C157" s="42">
        <f t="shared" si="5"/>
        <v>-0.89519100868594048</v>
      </c>
      <c r="E157" s="16">
        <v>1120.4819</v>
      </c>
      <c r="F157">
        <v>0.17643628</v>
      </c>
      <c r="G157" s="42">
        <f t="shared" si="4"/>
        <v>-0.75341210750496579</v>
      </c>
    </row>
    <row r="158" spans="1:7" x14ac:dyDescent="0.25">
      <c r="A158" s="17">
        <v>1108.4337</v>
      </c>
      <c r="B158" s="16">
        <v>0.11086331000000001</v>
      </c>
      <c r="C158" s="42">
        <f t="shared" si="5"/>
        <v>-0.95521215899923817</v>
      </c>
      <c r="E158" s="16">
        <v>1108.4337</v>
      </c>
      <c r="F158">
        <v>0.15818070000000001</v>
      </c>
      <c r="G158" s="42">
        <f t="shared" si="4"/>
        <v>-0.80084650689919312</v>
      </c>
    </row>
    <row r="159" spans="1:7" x14ac:dyDescent="0.25">
      <c r="A159" s="17">
        <v>1096.3855000000001</v>
      </c>
      <c r="B159" s="16">
        <v>9.6365750999999999E-2</v>
      </c>
      <c r="C159" s="42">
        <f t="shared" si="5"/>
        <v>-1.0160772896924142</v>
      </c>
      <c r="E159" s="16">
        <v>1096.3855000000001</v>
      </c>
      <c r="F159">
        <v>0.14120583</v>
      </c>
      <c r="G159" s="42">
        <f t="shared" si="4"/>
        <v>-0.85014737209044433</v>
      </c>
    </row>
    <row r="160" spans="1:7" x14ac:dyDescent="0.25">
      <c r="A160" s="17">
        <v>1084.3372999999999</v>
      </c>
      <c r="B160" s="16">
        <v>8.3602630999999997E-2</v>
      </c>
      <c r="C160" s="42">
        <f t="shared" si="5"/>
        <v>-1.0777800549676551</v>
      </c>
      <c r="E160" s="16">
        <v>1084.3372999999999</v>
      </c>
      <c r="F160">
        <v>0.12550610000000001</v>
      </c>
      <c r="G160" s="42">
        <f t="shared" si="4"/>
        <v>-0.90133516556175708</v>
      </c>
    </row>
    <row r="161" spans="1:7" x14ac:dyDescent="0.25">
      <c r="A161" s="17">
        <v>1072.2891999999999</v>
      </c>
      <c r="B161" s="16">
        <v>7.2388891999999996E-2</v>
      </c>
      <c r="C161" s="42">
        <f t="shared" si="5"/>
        <v>-1.1403280707257248</v>
      </c>
      <c r="E161" s="16">
        <v>1072.2891999999999</v>
      </c>
      <c r="F161">
        <v>0.11106455</v>
      </c>
      <c r="G161" s="42">
        <f t="shared" si="4"/>
        <v>-0.95442453868430832</v>
      </c>
    </row>
    <row r="162" spans="1:7" x14ac:dyDescent="0.25">
      <c r="A162" s="17">
        <v>1060.241</v>
      </c>
      <c r="B162" s="16">
        <v>6.2554796999999995E-2</v>
      </c>
      <c r="C162" s="42">
        <f t="shared" si="5"/>
        <v>-1.2037393809226227</v>
      </c>
      <c r="E162" s="16">
        <v>1060.241</v>
      </c>
      <c r="F162">
        <v>9.7853551999999996E-2</v>
      </c>
      <c r="G162" s="42">
        <f t="shared" si="4"/>
        <v>-1.0094234052026934</v>
      </c>
    </row>
    <row r="163" spans="1:7" x14ac:dyDescent="0.25">
      <c r="A163" s="17">
        <v>1048.1928</v>
      </c>
      <c r="B163" s="16">
        <v>5.3946227999999999E-2</v>
      </c>
      <c r="C163" s="42">
        <f t="shared" si="5"/>
        <v>-1.2680389164315922</v>
      </c>
      <c r="E163" s="16">
        <v>1048.1928</v>
      </c>
      <c r="F163">
        <v>8.5835764999999994E-2</v>
      </c>
      <c r="G163" s="42">
        <f t="shared" si="4"/>
        <v>-1.0663317179118936</v>
      </c>
    </row>
    <row r="164" spans="1:7" x14ac:dyDescent="0.25">
      <c r="A164" s="17">
        <v>1036.1446000000001</v>
      </c>
      <c r="B164" s="16">
        <v>4.6424280999999998E-2</v>
      </c>
      <c r="C164" s="42">
        <f t="shared" si="5"/>
        <v>-1.3332548137088183</v>
      </c>
      <c r="E164" s="16">
        <v>1036.1446000000001</v>
      </c>
      <c r="F164">
        <v>7.4965214000000002E-2</v>
      </c>
      <c r="G164" s="42">
        <f t="shared" si="4"/>
        <v>-1.1251402149073733</v>
      </c>
    </row>
    <row r="165" spans="1:7" x14ac:dyDescent="0.25">
      <c r="A165" s="17">
        <v>1024.0963999999999</v>
      </c>
      <c r="B165" s="16">
        <v>3.9864405999999998E-2</v>
      </c>
      <c r="C165" s="42">
        <f t="shared" si="5"/>
        <v>-1.3994147027318982</v>
      </c>
      <c r="E165" s="16">
        <v>1024.0963999999999</v>
      </c>
      <c r="F165">
        <v>6.5188566000000003E-2</v>
      </c>
      <c r="G165" s="42">
        <f t="shared" si="4"/>
        <v>-1.1858285723443329</v>
      </c>
    </row>
    <row r="166" spans="1:7" x14ac:dyDescent="0.25">
      <c r="A166" s="17">
        <v>1012.0482</v>
      </c>
      <c r="B166" s="16">
        <v>3.4155322000000002E-2</v>
      </c>
      <c r="C166" s="42">
        <f t="shared" si="5"/>
        <v>-1.4665416159897238</v>
      </c>
      <c r="E166" s="16">
        <v>1012.0482</v>
      </c>
      <c r="F166">
        <v>5.6446472999999997E-2</v>
      </c>
      <c r="G166" s="42">
        <f t="shared" si="4"/>
        <v>-1.2483631893367422</v>
      </c>
    </row>
    <row r="167" spans="1:7" x14ac:dyDescent="0.25">
      <c r="A167" s="17">
        <v>1000</v>
      </c>
      <c r="B167" s="16">
        <v>2.9197809000000002E-2</v>
      </c>
      <c r="C167" s="42">
        <f t="shared" si="5"/>
        <v>-1.5346497367334533</v>
      </c>
      <c r="E167" s="16">
        <v>1000</v>
      </c>
      <c r="F167">
        <v>4.8674971999999997E-2</v>
      </c>
      <c r="G167" s="42">
        <f t="shared" si="4"/>
        <v>-1.3126942896332823</v>
      </c>
    </row>
    <row r="168" spans="1:7" x14ac:dyDescent="0.25">
      <c r="A168" s="17">
        <v>987.95181000000002</v>
      </c>
      <c r="B168" s="16">
        <v>2.4903498E-2</v>
      </c>
      <c r="C168" s="42">
        <f t="shared" si="5"/>
        <v>-1.6037396466632885</v>
      </c>
      <c r="E168" s="16">
        <v>987.95181000000002</v>
      </c>
      <c r="F168">
        <v>4.1806863E-2</v>
      </c>
      <c r="G168" s="42">
        <f t="shared" si="4"/>
        <v>-1.3787524187423854</v>
      </c>
    </row>
    <row r="169" spans="1:7" x14ac:dyDescent="0.25">
      <c r="A169" s="17">
        <v>975.90360999999996</v>
      </c>
      <c r="B169" s="16">
        <v>2.1193713999999999E-2</v>
      </c>
      <c r="C169" s="42">
        <f t="shared" si="5"/>
        <v>-1.6737929305771426</v>
      </c>
      <c r="E169" s="16">
        <v>975.90360999999996</v>
      </c>
      <c r="F169">
        <v>3.5773051E-2</v>
      </c>
      <c r="G169" s="42">
        <f t="shared" si="4"/>
        <v>-1.4464440183090059</v>
      </c>
    </row>
    <row r="170" spans="1:7" x14ac:dyDescent="0.25">
      <c r="A170" s="17">
        <v>963.85541999999998</v>
      </c>
      <c r="B170" s="16">
        <v>1.799839E-2</v>
      </c>
      <c r="C170" s="42">
        <f t="shared" si="5"/>
        <v>-1.7447663418627015</v>
      </c>
      <c r="E170" s="16">
        <v>963.85541999999998</v>
      </c>
      <c r="F170">
        <v>3.0503780000000001E-2</v>
      </c>
      <c r="G170" s="42">
        <f t="shared" si="4"/>
        <v>-1.5156463399508349</v>
      </c>
    </row>
    <row r="171" spans="1:7" x14ac:dyDescent="0.25">
      <c r="A171" s="17">
        <v>951.80723</v>
      </c>
      <c r="B171" s="16">
        <v>1.5255095999999999E-2</v>
      </c>
      <c r="C171" s="42">
        <f t="shared" si="5"/>
        <v>-1.8165850550068854</v>
      </c>
      <c r="E171" s="16">
        <v>951.80723</v>
      </c>
      <c r="F171">
        <v>2.5929766999999999E-2</v>
      </c>
      <c r="G171" s="42">
        <f t="shared" si="4"/>
        <v>-1.5862013857014901</v>
      </c>
    </row>
    <row r="172" spans="1:7" x14ac:dyDescent="0.25">
      <c r="A172" s="17">
        <v>939.75904000000003</v>
      </c>
      <c r="B172" s="16">
        <v>1.2908167E-2</v>
      </c>
      <c r="C172" s="42">
        <f t="shared" si="5"/>
        <v>-1.889135424527095</v>
      </c>
      <c r="E172" s="16">
        <v>939.75904000000003</v>
      </c>
      <c r="F172">
        <v>2.1983175000000001E-2</v>
      </c>
      <c r="G172" s="42">
        <f t="shared" si="4"/>
        <v>-1.6579095828224459</v>
      </c>
    </row>
    <row r="173" spans="1:7" x14ac:dyDescent="0.25">
      <c r="A173" s="17">
        <v>927.71083999999996</v>
      </c>
      <c r="B173" s="16">
        <v>1.0907933999999999E-2</v>
      </c>
      <c r="C173" s="42">
        <f t="shared" si="5"/>
        <v>-1.9622574984827474</v>
      </c>
      <c r="E173" s="16">
        <v>927.71083999999996</v>
      </c>
      <c r="F173">
        <v>1.8598447000000001E-2</v>
      </c>
      <c r="G173" s="42">
        <f t="shared" si="4"/>
        <v>-1.7305233185503002</v>
      </c>
    </row>
    <row r="174" spans="1:7" x14ac:dyDescent="0.25">
      <c r="A174" s="17">
        <v>915.66264999999999</v>
      </c>
      <c r="B174" s="16">
        <v>9.2100487000000009E-3</v>
      </c>
      <c r="C174" s="42">
        <f t="shared" si="5"/>
        <v>-2.0357380733769457</v>
      </c>
      <c r="E174" s="16">
        <v>915.66264999999999</v>
      </c>
      <c r="F174">
        <v>1.5712977999999999E-2</v>
      </c>
      <c r="G174" s="42">
        <f t="shared" si="4"/>
        <v>-1.8037414975570754</v>
      </c>
    </row>
    <row r="175" spans="1:7" x14ac:dyDescent="0.25">
      <c r="A175" s="17">
        <v>903.61446000000001</v>
      </c>
      <c r="B175" s="16">
        <v>7.7749113999999999E-3</v>
      </c>
      <c r="C175" s="42">
        <f t="shared" si="5"/>
        <v>-2.1093045513313937</v>
      </c>
      <c r="E175" s="16">
        <v>903.61446000000001</v>
      </c>
      <c r="F175">
        <v>1.3267637000000001E-2</v>
      </c>
      <c r="G175" s="42">
        <f t="shared" si="4"/>
        <v>-1.8772064192036204</v>
      </c>
    </row>
    <row r="176" spans="1:7" x14ac:dyDescent="0.25">
      <c r="A176" s="17">
        <v>891.56627000000003</v>
      </c>
      <c r="B176" s="16">
        <v>6.5671473000000003E-3</v>
      </c>
      <c r="C176" s="42">
        <f t="shared" si="5"/>
        <v>-2.1826232424515952</v>
      </c>
      <c r="E176" s="16">
        <v>891.56627000000003</v>
      </c>
      <c r="F176">
        <v>1.1207155E-2</v>
      </c>
      <c r="G176" s="42">
        <f t="shared" si="4"/>
        <v>-1.9505046215366684</v>
      </c>
    </row>
    <row r="177" spans="1:7" x14ac:dyDescent="0.25">
      <c r="A177" s="17">
        <v>879.51806999999997</v>
      </c>
      <c r="B177" s="16">
        <v>5.5551975999999998E-3</v>
      </c>
      <c r="C177" s="42">
        <f t="shared" si="5"/>
        <v>-2.2553004884668857</v>
      </c>
      <c r="E177" s="16">
        <v>879.51806999999997</v>
      </c>
      <c r="F177">
        <v>9.4803929000000006E-3</v>
      </c>
      <c r="G177" s="42">
        <f t="shared" si="4"/>
        <v>-2.0231736636359785</v>
      </c>
    </row>
    <row r="178" spans="1:7" x14ac:dyDescent="0.25">
      <c r="A178" s="17">
        <v>867.46987999999999</v>
      </c>
      <c r="B178" s="16">
        <v>4.7109227E-3</v>
      </c>
      <c r="C178" s="42">
        <f t="shared" si="5"/>
        <v>-2.326894021900352</v>
      </c>
      <c r="E178" s="16">
        <v>867.46987999999999</v>
      </c>
      <c r="F178">
        <v>8.0405062000000003E-3</v>
      </c>
      <c r="G178" s="42">
        <f t="shared" si="4"/>
        <v>-2.0947166088452738</v>
      </c>
    </row>
    <row r="179" spans="1:7" x14ac:dyDescent="0.25">
      <c r="A179" s="17">
        <v>855.42169000000001</v>
      </c>
      <c r="B179" s="16">
        <v>4.0093348999999997E-3</v>
      </c>
      <c r="C179" s="42">
        <f t="shared" si="5"/>
        <v>-2.3969276655885166</v>
      </c>
      <c r="E179" s="16">
        <v>855.42169000000001</v>
      </c>
      <c r="F179">
        <v>6.8450365999999999E-3</v>
      </c>
      <c r="G179" s="42">
        <f t="shared" si="4"/>
        <v>-2.1646242253772456</v>
      </c>
    </row>
    <row r="180" spans="1:7" x14ac:dyDescent="0.25">
      <c r="A180" s="17">
        <v>843.37348999999995</v>
      </c>
      <c r="B180" s="16">
        <v>3.4282917000000002E-3</v>
      </c>
      <c r="C180" s="42">
        <f t="shared" si="5"/>
        <v>-2.4649222327492168</v>
      </c>
      <c r="E180" s="16">
        <v>843.37348999999995</v>
      </c>
      <c r="F180">
        <v>5.8559320999999999E-3</v>
      </c>
      <c r="G180" s="42">
        <f t="shared" si="4"/>
        <v>-2.2324039675996445</v>
      </c>
    </row>
    <row r="181" spans="1:7" x14ac:dyDescent="0.25">
      <c r="A181" s="17">
        <v>831.32529999999997</v>
      </c>
      <c r="B181" s="16">
        <v>2.9483591999999999E-3</v>
      </c>
      <c r="C181" s="42">
        <f t="shared" si="5"/>
        <v>-2.5304196072869267</v>
      </c>
      <c r="E181" s="16">
        <v>831.32529999999997</v>
      </c>
      <c r="F181">
        <v>5.0395068999999999E-3</v>
      </c>
      <c r="G181" s="42">
        <f t="shared" si="4"/>
        <v>-2.2976119558333772</v>
      </c>
    </row>
    <row r="182" spans="1:7" x14ac:dyDescent="0.25">
      <c r="A182" s="17">
        <v>819.27710999999999</v>
      </c>
      <c r="B182" s="16">
        <v>2.5525411999999998E-3</v>
      </c>
      <c r="C182" s="42">
        <f t="shared" si="5"/>
        <v>-2.5930272393338041</v>
      </c>
      <c r="E182" s="16">
        <v>819.27710999999999</v>
      </c>
      <c r="F182">
        <v>4.3663375000000003E-3</v>
      </c>
      <c r="G182" s="42">
        <f t="shared" si="4"/>
        <v>-2.3598826981452725</v>
      </c>
    </row>
    <row r="183" spans="1:7" x14ac:dyDescent="0.25">
      <c r="A183" s="17">
        <v>807.22892000000002</v>
      </c>
      <c r="B183" s="16">
        <v>2.2262184E-3</v>
      </c>
      <c r="C183" s="42">
        <f t="shared" si="5"/>
        <v>-2.6524322320668374</v>
      </c>
      <c r="E183" s="16">
        <v>807.22892000000002</v>
      </c>
      <c r="F183">
        <v>3.8110868999999999E-3</v>
      </c>
      <c r="G183" s="42">
        <f t="shared" si="4"/>
        <v>-2.4189511483781345</v>
      </c>
    </row>
    <row r="184" spans="1:7" x14ac:dyDescent="0.25">
      <c r="A184" s="17">
        <v>795.18071999999995</v>
      </c>
      <c r="B184" s="16">
        <v>1.9568798999999998E-3</v>
      </c>
      <c r="C184" s="42">
        <f t="shared" si="5"/>
        <v>-2.7084358275703173</v>
      </c>
      <c r="E184" s="16">
        <v>795.18071999999995</v>
      </c>
      <c r="F184">
        <v>3.3522539999999998E-3</v>
      </c>
      <c r="G184" s="42">
        <f t="shared" si="4"/>
        <v>-2.4746630823391422</v>
      </c>
    </row>
    <row r="185" spans="1:7" x14ac:dyDescent="0.25">
      <c r="A185" s="17">
        <v>783.13252999999997</v>
      </c>
      <c r="B185" s="16">
        <v>1.7340331000000001E-3</v>
      </c>
      <c r="C185" s="42">
        <f t="shared" si="5"/>
        <v>-2.7609426167732165</v>
      </c>
      <c r="E185" s="16">
        <v>783.13252999999997</v>
      </c>
      <c r="F185">
        <v>2.9718507000000001E-3</v>
      </c>
      <c r="G185" s="42">
        <f t="shared" si="4"/>
        <v>-2.5269730124736571</v>
      </c>
    </row>
    <row r="186" spans="1:7" x14ac:dyDescent="0.25">
      <c r="A186" s="17">
        <v>771.08434</v>
      </c>
      <c r="B186" s="16">
        <v>1.5489289000000001E-3</v>
      </c>
      <c r="C186" s="42">
        <f t="shared" si="5"/>
        <v>-2.8099685170673605</v>
      </c>
      <c r="E186" s="16">
        <v>771.08434</v>
      </c>
      <c r="F186">
        <v>2.6550277000000001E-3</v>
      </c>
      <c r="G186" s="42">
        <f t="shared" si="4"/>
        <v>-2.5759309435488422</v>
      </c>
    </row>
    <row r="187" spans="1:7" x14ac:dyDescent="0.25">
      <c r="A187" s="17">
        <v>759.03614000000005</v>
      </c>
      <c r="B187" s="16">
        <v>1.3944095000000001E-3</v>
      </c>
      <c r="C187" s="42">
        <f t="shared" si="5"/>
        <v>-2.8556096670745381</v>
      </c>
      <c r="E187" s="16">
        <v>759.03614000000005</v>
      </c>
      <c r="F187">
        <v>2.3896643999999998E-3</v>
      </c>
      <c r="G187" s="42">
        <f t="shared" si="4"/>
        <v>-2.6216630862744656</v>
      </c>
    </row>
    <row r="188" spans="1:7" x14ac:dyDescent="0.25">
      <c r="A188" s="17">
        <v>746.98794999999996</v>
      </c>
      <c r="B188" s="16">
        <v>1.2646343E-3</v>
      </c>
      <c r="C188" s="42">
        <f t="shared" si="5"/>
        <v>-2.8980350432260149</v>
      </c>
      <c r="E188" s="16">
        <v>746.98794999999996</v>
      </c>
      <c r="F188">
        <v>2.1659625000000002E-3</v>
      </c>
      <c r="G188" s="42">
        <f t="shared" si="4"/>
        <v>-2.6643490667245735</v>
      </c>
    </row>
    <row r="189" spans="1:7" x14ac:dyDescent="0.25">
      <c r="A189" s="17">
        <v>734.93975999999998</v>
      </c>
      <c r="B189" s="16">
        <v>1.1549240000000001E-3</v>
      </c>
      <c r="C189" s="42">
        <f t="shared" si="5"/>
        <v>-2.9374465936649941</v>
      </c>
      <c r="E189" s="16">
        <v>734.93975999999998</v>
      </c>
      <c r="F189">
        <v>1.9760520999999999E-3</v>
      </c>
      <c r="G189" s="42">
        <f t="shared" si="4"/>
        <v>-2.7042016091187251</v>
      </c>
    </row>
    <row r="190" spans="1:7" x14ac:dyDescent="0.25">
      <c r="A190" s="17">
        <v>722.89157</v>
      </c>
      <c r="B190" s="16">
        <v>1.0614935999999999E-3</v>
      </c>
      <c r="C190" s="42">
        <f t="shared" si="5"/>
        <v>-2.9740826199558845</v>
      </c>
      <c r="E190" s="16">
        <v>722.89157</v>
      </c>
      <c r="F190">
        <v>1.8136437E-3</v>
      </c>
      <c r="G190" s="42">
        <f t="shared" si="4"/>
        <v>-2.7414480283688514</v>
      </c>
    </row>
    <row r="191" spans="1:7" x14ac:dyDescent="0.25">
      <c r="A191" s="17">
        <v>710.84337000000005</v>
      </c>
      <c r="B191" s="16">
        <v>9.8136609000000008E-4</v>
      </c>
      <c r="C191" s="42">
        <f t="shared" si="5"/>
        <v>-3.0081689526525506</v>
      </c>
      <c r="E191" s="16">
        <v>710.84337000000005</v>
      </c>
      <c r="F191">
        <v>1.6737185E-3</v>
      </c>
      <c r="G191" s="42">
        <f t="shared" si="4"/>
        <v>-2.7763175834854841</v>
      </c>
    </row>
    <row r="192" spans="1:7" x14ac:dyDescent="0.25">
      <c r="A192" s="17">
        <v>698.79517999999996</v>
      </c>
      <c r="B192" s="16">
        <v>9.1211142999999997E-4</v>
      </c>
      <c r="C192" s="42">
        <f t="shared" si="5"/>
        <v>-3.0399521019369833</v>
      </c>
      <c r="E192" s="16">
        <v>698.79517999999996</v>
      </c>
      <c r="F192">
        <v>1.5522755E-3</v>
      </c>
      <c r="G192" s="42">
        <f t="shared" si="4"/>
        <v>-2.8090311970523931</v>
      </c>
    </row>
    <row r="193" spans="1:7" x14ac:dyDescent="0.25">
      <c r="A193" s="17">
        <v>686.74698999999998</v>
      </c>
      <c r="B193" s="16">
        <v>8.5184899000000005E-4</v>
      </c>
      <c r="C193" s="42">
        <f t="shared" si="5"/>
        <v>-3.0696373871844806</v>
      </c>
      <c r="E193" s="16">
        <v>686.74698999999998</v>
      </c>
      <c r="F193">
        <v>1.4461163E-3</v>
      </c>
      <c r="G193" s="42">
        <f t="shared" ref="G193:G250" si="6">LOG10(F193)</f>
        <v>-2.8397967786755212</v>
      </c>
    </row>
    <row r="194" spans="1:7" x14ac:dyDescent="0.25">
      <c r="A194" s="17">
        <v>674.69880000000001</v>
      </c>
      <c r="B194" s="16">
        <v>7.9902442999999997E-4</v>
      </c>
      <c r="C194" s="42">
        <f t="shared" si="5"/>
        <v>-3.0974399420226857</v>
      </c>
      <c r="E194" s="16">
        <v>674.69880000000001</v>
      </c>
      <c r="F194">
        <v>1.3526815000000001E-3</v>
      </c>
      <c r="G194" s="42">
        <f t="shared" si="6"/>
        <v>-2.8688044495781555</v>
      </c>
    </row>
    <row r="195" spans="1:7" x14ac:dyDescent="0.25">
      <c r="A195" s="17">
        <v>662.65060000000005</v>
      </c>
      <c r="B195" s="16">
        <v>7.5244196999999999E-4</v>
      </c>
      <c r="C195" s="42">
        <f t="shared" ref="C195:C250" si="7">LOG10(B195)</f>
        <v>-3.1235269882000076</v>
      </c>
      <c r="E195" s="16">
        <v>662.65060000000005</v>
      </c>
      <c r="F195">
        <v>1.2699075E-3</v>
      </c>
      <c r="G195" s="42">
        <f t="shared" si="6"/>
        <v>-2.8962279118807457</v>
      </c>
    </row>
    <row r="196" spans="1:7" x14ac:dyDescent="0.25">
      <c r="A196" s="17">
        <v>650.60240999999996</v>
      </c>
      <c r="B196" s="16">
        <v>7.1104689000000003E-4</v>
      </c>
      <c r="C196" s="42">
        <f t="shared" si="7"/>
        <v>-3.1481017587684232</v>
      </c>
      <c r="E196" s="16">
        <v>650.60240999999996</v>
      </c>
      <c r="F196">
        <v>1.1961325000000001E-3</v>
      </c>
      <c r="G196" s="42">
        <f t="shared" si="6"/>
        <v>-2.9222207092844363</v>
      </c>
    </row>
    <row r="197" spans="1:7" x14ac:dyDescent="0.25">
      <c r="A197" s="17">
        <v>638.55421999999999</v>
      </c>
      <c r="B197" s="16">
        <v>6.7411729000000004E-4</v>
      </c>
      <c r="C197" s="42">
        <f t="shared" si="7"/>
        <v>-3.1712645337790319</v>
      </c>
      <c r="E197" s="16">
        <v>638.55421999999999</v>
      </c>
      <c r="F197">
        <v>1.1299971E-3</v>
      </c>
      <c r="G197" s="42">
        <f t="shared" si="6"/>
        <v>-2.9469226710790704</v>
      </c>
    </row>
    <row r="198" spans="1:7" x14ac:dyDescent="0.25">
      <c r="A198" s="17">
        <v>626.50602000000003</v>
      </c>
      <c r="B198" s="16">
        <v>6.4093623999999995E-4</v>
      </c>
      <c r="C198" s="42">
        <f t="shared" si="7"/>
        <v>-3.1931851717190054</v>
      </c>
      <c r="E198" s="16">
        <v>626.50602000000003</v>
      </c>
      <c r="F198">
        <v>1.0704006E-3</v>
      </c>
      <c r="G198" s="42">
        <f t="shared" si="6"/>
        <v>-2.9704536561377095</v>
      </c>
    </row>
    <row r="199" spans="1:7" x14ac:dyDescent="0.25">
      <c r="A199" s="17">
        <v>614.45782999999994</v>
      </c>
      <c r="B199" s="16">
        <v>6.1103041000000002E-4</v>
      </c>
      <c r="C199" s="42">
        <f t="shared" si="7"/>
        <v>-3.2139371750822474</v>
      </c>
      <c r="E199" s="16">
        <v>614.45782999999994</v>
      </c>
      <c r="F199">
        <v>1.0164245999999999E-3</v>
      </c>
      <c r="G199" s="42">
        <f t="shared" si="6"/>
        <v>-2.9929248324892712</v>
      </c>
    </row>
    <row r="200" spans="1:7" x14ac:dyDescent="0.25">
      <c r="A200" s="17">
        <v>602.40963999999997</v>
      </c>
      <c r="B200" s="16">
        <v>5.8389030999999995E-4</v>
      </c>
      <c r="C200" s="42">
        <f t="shared" si="7"/>
        <v>-3.2336687320589528</v>
      </c>
      <c r="E200" s="16">
        <v>602.40963999999997</v>
      </c>
      <c r="F200">
        <v>9.6732090999999997E-4</v>
      </c>
      <c r="G200" s="42">
        <f t="shared" si="6"/>
        <v>-3.0144294242400265</v>
      </c>
    </row>
    <row r="201" spans="1:7" x14ac:dyDescent="0.25">
      <c r="A201" s="17">
        <v>590.36144999999999</v>
      </c>
      <c r="B201" s="16">
        <v>5.5919127000000001E-4</v>
      </c>
      <c r="C201" s="42">
        <f t="shared" si="7"/>
        <v>-3.2524396173418135</v>
      </c>
      <c r="E201" s="16">
        <v>590.36144999999999</v>
      </c>
      <c r="F201">
        <v>9.2245805000000004E-4</v>
      </c>
      <c r="G201" s="42">
        <f t="shared" si="6"/>
        <v>-3.0350533748358592</v>
      </c>
    </row>
    <row r="202" spans="1:7" x14ac:dyDescent="0.25">
      <c r="A202" s="17">
        <v>578.31325000000004</v>
      </c>
      <c r="B202" s="16">
        <v>5.3661764999999998E-4</v>
      </c>
      <c r="C202" s="42">
        <f t="shared" si="7"/>
        <v>-3.27033504696124</v>
      </c>
      <c r="E202" s="16">
        <v>578.31325000000004</v>
      </c>
      <c r="F202">
        <v>8.8130984000000005E-4</v>
      </c>
      <c r="G202" s="42">
        <f t="shared" si="6"/>
        <v>-3.0548713808663694</v>
      </c>
    </row>
    <row r="203" spans="1:7" x14ac:dyDescent="0.25">
      <c r="A203" s="17">
        <v>566.26505999999995</v>
      </c>
      <c r="B203" s="16">
        <v>5.1588971000000004E-4</v>
      </c>
      <c r="C203" s="42">
        <f t="shared" si="7"/>
        <v>-3.2874431345317836</v>
      </c>
      <c r="E203" s="16">
        <v>566.26505999999995</v>
      </c>
      <c r="F203">
        <v>8.4343188000000002E-4</v>
      </c>
      <c r="G203" s="42">
        <f t="shared" si="6"/>
        <v>-3.0739499875677554</v>
      </c>
    </row>
    <row r="204" spans="1:7" x14ac:dyDescent="0.25">
      <c r="A204" s="17">
        <v>554.21686999999997</v>
      </c>
      <c r="B204" s="16">
        <v>4.9682999999999997E-4</v>
      </c>
      <c r="C204" s="42">
        <f t="shared" si="7"/>
        <v>-3.3037921881110854</v>
      </c>
      <c r="E204" s="16">
        <v>554.21686999999997</v>
      </c>
      <c r="F204">
        <v>8.0844703E-4</v>
      </c>
      <c r="G204" s="42">
        <f t="shared" si="6"/>
        <v>-3.0923484300956479</v>
      </c>
    </row>
    <row r="205" spans="1:7" x14ac:dyDescent="0.25">
      <c r="A205" s="17">
        <v>542.16867000000002</v>
      </c>
      <c r="B205" s="16">
        <v>4.7921674E-4</v>
      </c>
      <c r="C205" s="42">
        <f t="shared" si="7"/>
        <v>-3.3194680195781645</v>
      </c>
      <c r="E205" s="16">
        <v>542.16867000000002</v>
      </c>
      <c r="F205">
        <v>7.7603332999999996E-4</v>
      </c>
      <c r="G205" s="42">
        <f t="shared" si="6"/>
        <v>-3.1101196257466674</v>
      </c>
    </row>
    <row r="206" spans="1:7" x14ac:dyDescent="0.25">
      <c r="A206" s="17">
        <v>530.12048000000004</v>
      </c>
      <c r="B206" s="16">
        <v>4.6291794000000001E-4</v>
      </c>
      <c r="C206" s="42">
        <f t="shared" si="7"/>
        <v>-3.3344959881693779</v>
      </c>
      <c r="E206" s="16">
        <v>530.12048000000004</v>
      </c>
      <c r="F206">
        <v>7.4591423000000003E-4</v>
      </c>
      <c r="G206" s="42">
        <f t="shared" si="6"/>
        <v>-3.1273111076201197</v>
      </c>
    </row>
    <row r="207" spans="1:7" x14ac:dyDescent="0.25">
      <c r="A207" s="17">
        <v>518.07228999999995</v>
      </c>
      <c r="B207" s="16">
        <v>4.4776864999999998E-4</v>
      </c>
      <c r="C207" s="42">
        <f t="shared" si="7"/>
        <v>-3.3489463163144255</v>
      </c>
      <c r="E207" s="16">
        <v>518.07228999999995</v>
      </c>
      <c r="F207">
        <v>7.1785128E-4</v>
      </c>
      <c r="G207" s="42">
        <f t="shared" si="6"/>
        <v>-3.1439655208905504</v>
      </c>
    </row>
    <row r="208" spans="1:7" x14ac:dyDescent="0.25">
      <c r="A208" s="17">
        <v>506.02409999999998</v>
      </c>
      <c r="B208" s="16">
        <v>4.3367960000000001E-4</v>
      </c>
      <c r="C208" s="42">
        <f t="shared" si="7"/>
        <v>-3.3628310062944076</v>
      </c>
      <c r="E208" s="16">
        <v>506.02409999999998</v>
      </c>
      <c r="F208">
        <v>6.9163779999999999E-4</v>
      </c>
      <c r="G208" s="42">
        <f t="shared" si="6"/>
        <v>-3.1601212793038296</v>
      </c>
    </row>
    <row r="209" spans="1:7" x14ac:dyDescent="0.25">
      <c r="A209" s="17">
        <v>493.97590000000002</v>
      </c>
      <c r="B209" s="16">
        <v>4.2052156000000002E-4</v>
      </c>
      <c r="C209" s="42">
        <f t="shared" si="7"/>
        <v>-3.3762117331621528</v>
      </c>
      <c r="E209" s="16">
        <v>493.97590000000002</v>
      </c>
      <c r="F209">
        <v>6.6709326000000005E-4</v>
      </c>
      <c r="G209" s="42">
        <f t="shared" si="6"/>
        <v>-3.1758134472346828</v>
      </c>
    </row>
    <row r="210" spans="1:7" x14ac:dyDescent="0.25">
      <c r="A210" s="17">
        <v>481.92770999999999</v>
      </c>
      <c r="B210" s="16">
        <v>4.0822938999999998E-4</v>
      </c>
      <c r="C210" s="42">
        <f t="shared" si="7"/>
        <v>-3.3890957319684283</v>
      </c>
      <c r="E210" s="16">
        <v>481.92770999999999</v>
      </c>
      <c r="F210">
        <v>6.4406003999999996E-4</v>
      </c>
      <c r="G210" s="42">
        <f t="shared" si="6"/>
        <v>-3.1910736453338471</v>
      </c>
    </row>
    <row r="211" spans="1:7" x14ac:dyDescent="0.25">
      <c r="A211" s="17">
        <v>469.87952000000001</v>
      </c>
      <c r="B211" s="16">
        <v>3.9671196999999998E-4</v>
      </c>
      <c r="C211" s="42">
        <f t="shared" si="7"/>
        <v>-3.401524695350099</v>
      </c>
      <c r="E211" s="16">
        <v>469.87952000000001</v>
      </c>
      <c r="F211">
        <v>6.2239930000000004E-4</v>
      </c>
      <c r="G211" s="42">
        <f t="shared" si="6"/>
        <v>-3.2059309044603794</v>
      </c>
    </row>
    <row r="212" spans="1:7" x14ac:dyDescent="0.25">
      <c r="A212" s="17">
        <v>457.83132999999998</v>
      </c>
      <c r="B212" s="16">
        <v>3.8590096000000001E-4</v>
      </c>
      <c r="C212" s="42">
        <f t="shared" si="7"/>
        <v>-3.4135241410394248</v>
      </c>
      <c r="E212" s="16">
        <v>457.83132999999998</v>
      </c>
      <c r="F212">
        <v>6.0198830999999998E-4</v>
      </c>
      <c r="G212" s="42">
        <f t="shared" si="6"/>
        <v>-3.2204119422169053</v>
      </c>
    </row>
    <row r="213" spans="1:7" x14ac:dyDescent="0.25">
      <c r="A213" s="17">
        <v>445.78313000000003</v>
      </c>
      <c r="B213" s="16">
        <v>3.7573739999999998E-4</v>
      </c>
      <c r="C213" s="42">
        <f t="shared" si="7"/>
        <v>-3.4251155741534882</v>
      </c>
      <c r="E213" s="16">
        <v>445.78313000000003</v>
      </c>
      <c r="F213">
        <v>5.8271851E-4</v>
      </c>
      <c r="G213" s="42">
        <f t="shared" si="6"/>
        <v>-3.2345411863663749</v>
      </c>
    </row>
    <row r="214" spans="1:7" x14ac:dyDescent="0.25">
      <c r="A214" s="17">
        <v>433.73493999999999</v>
      </c>
      <c r="B214" s="16">
        <v>3.6616869E-4</v>
      </c>
      <c r="C214" s="42">
        <f t="shared" si="7"/>
        <v>-3.4363187936814112</v>
      </c>
      <c r="E214" s="16">
        <v>433.73493999999999</v>
      </c>
      <c r="F214">
        <v>5.6449314999999995E-4</v>
      </c>
      <c r="G214" s="42">
        <f t="shared" si="6"/>
        <v>-3.2483413237748877</v>
      </c>
    </row>
    <row r="215" spans="1:7" x14ac:dyDescent="0.25">
      <c r="A215" s="17">
        <v>421.68675000000002</v>
      </c>
      <c r="B215" s="16">
        <v>3.5714248E-4</v>
      </c>
      <c r="C215" s="42">
        <f t="shared" si="7"/>
        <v>-3.4471584899574341</v>
      </c>
      <c r="E215" s="16">
        <v>421.68675000000002</v>
      </c>
      <c r="F215">
        <v>5.4722582000000001E-4</v>
      </c>
      <c r="G215" s="42">
        <f t="shared" si="6"/>
        <v>-3.2618334192942027</v>
      </c>
    </row>
    <row r="216" spans="1:7" x14ac:dyDescent="0.25">
      <c r="A216" s="17">
        <v>409.63855000000001</v>
      </c>
      <c r="B216" s="16">
        <v>3.4861803000000002E-4</v>
      </c>
      <c r="C216" s="42">
        <f t="shared" si="7"/>
        <v>-3.457650155587991</v>
      </c>
      <c r="E216" s="16">
        <v>409.63855000000001</v>
      </c>
      <c r="F216">
        <v>5.3083904000000002E-4</v>
      </c>
      <c r="G216" s="42">
        <f t="shared" si="6"/>
        <v>-3.2750371449012445</v>
      </c>
    </row>
    <row r="217" spans="1:7" x14ac:dyDescent="0.25">
      <c r="A217" s="17">
        <v>397.59035999999998</v>
      </c>
      <c r="B217" s="16">
        <v>3.4055849000000002E-4</v>
      </c>
      <c r="C217" s="42">
        <f t="shared" si="7"/>
        <v>-3.4678082884420354</v>
      </c>
      <c r="E217" s="16">
        <v>397.59035999999998</v>
      </c>
      <c r="F217">
        <v>5.1526312000000002E-4</v>
      </c>
      <c r="G217" s="42">
        <f t="shared" si="6"/>
        <v>-3.2879709410896338</v>
      </c>
    </row>
    <row r="218" spans="1:7" x14ac:dyDescent="0.25">
      <c r="A218" s="17">
        <v>385.54217</v>
      </c>
      <c r="B218" s="16">
        <v>3.3292503999999998E-4</v>
      </c>
      <c r="C218" s="42">
        <f t="shared" si="7"/>
        <v>-3.4776535394036792</v>
      </c>
      <c r="E218" s="16">
        <v>385.54217</v>
      </c>
      <c r="F218">
        <v>5.0043517E-4</v>
      </c>
      <c r="G218" s="42">
        <f t="shared" si="6"/>
        <v>-3.30065217619646</v>
      </c>
    </row>
    <row r="219" spans="1:7" x14ac:dyDescent="0.25">
      <c r="A219" s="17">
        <v>373.49398000000002</v>
      </c>
      <c r="B219" s="16">
        <v>3.2569206999999998E-4</v>
      </c>
      <c r="C219" s="42">
        <f t="shared" si="7"/>
        <v>-3.4871928155744212</v>
      </c>
      <c r="E219" s="16">
        <v>373.49398000000002</v>
      </c>
      <c r="F219">
        <v>4.8629818000000001E-4</v>
      </c>
      <c r="G219" s="42">
        <f t="shared" si="6"/>
        <v>-3.3130973558018333</v>
      </c>
    </row>
    <row r="220" spans="1:7" x14ac:dyDescent="0.25">
      <c r="A220" s="17">
        <v>361.44578000000001</v>
      </c>
      <c r="B220" s="16">
        <v>3.1882558999999998E-4</v>
      </c>
      <c r="C220" s="42">
        <f t="shared" si="7"/>
        <v>-3.4964468279604519</v>
      </c>
      <c r="E220" s="16">
        <v>361.44578000000001</v>
      </c>
      <c r="F220">
        <v>4.7280036999999999E-4</v>
      </c>
      <c r="G220" s="42">
        <f t="shared" si="6"/>
        <v>-3.3253221922602711</v>
      </c>
    </row>
    <row r="221" spans="1:7" x14ac:dyDescent="0.25">
      <c r="A221" s="17">
        <v>349.39758999999998</v>
      </c>
      <c r="B221" s="16">
        <v>3.1230546999999999E-4</v>
      </c>
      <c r="C221" s="42">
        <f t="shared" si="7"/>
        <v>-3.5054204090774808</v>
      </c>
      <c r="E221" s="16">
        <v>349.39758999999998</v>
      </c>
      <c r="F221">
        <v>4.5989450999999999E-4</v>
      </c>
      <c r="G221" s="42">
        <f t="shared" si="6"/>
        <v>-3.337341774794166</v>
      </c>
    </row>
    <row r="222" spans="1:7" x14ac:dyDescent="0.25">
      <c r="A222" s="17">
        <v>337.3494</v>
      </c>
      <c r="B222" s="16">
        <v>3.0610480999999998E-4</v>
      </c>
      <c r="C222" s="42">
        <f t="shared" si="7"/>
        <v>-3.5141298460313966</v>
      </c>
      <c r="E222" s="16">
        <v>337.3494</v>
      </c>
      <c r="F222">
        <v>4.4753734999999998E-4</v>
      </c>
      <c r="G222" s="42">
        <f t="shared" si="6"/>
        <v>-3.3491707140419043</v>
      </c>
    </row>
    <row r="223" spans="1:7" x14ac:dyDescent="0.25">
      <c r="A223" s="17">
        <v>325.30119999999999</v>
      </c>
      <c r="B223" s="16">
        <v>3.0020502999999999E-4</v>
      </c>
      <c r="C223" s="42">
        <f t="shared" si="7"/>
        <v>-3.5225820353341111</v>
      </c>
      <c r="E223" s="16">
        <v>325.30119999999999</v>
      </c>
      <c r="F223">
        <v>4.3568917999999999E-4</v>
      </c>
      <c r="G223" s="42">
        <f t="shared" si="6"/>
        <v>-3.3608232252940891</v>
      </c>
    </row>
    <row r="224" spans="1:7" x14ac:dyDescent="0.25">
      <c r="A224" s="17">
        <v>313.25301000000002</v>
      </c>
      <c r="B224" s="16">
        <v>2.9458658999999998E-4</v>
      </c>
      <c r="C224" s="42">
        <f t="shared" si="7"/>
        <v>-3.5307870267451062</v>
      </c>
      <c r="E224" s="16">
        <v>313.25301000000002</v>
      </c>
      <c r="F224">
        <v>4.2431334E-4</v>
      </c>
      <c r="G224" s="42">
        <f t="shared" si="6"/>
        <v>-3.3723133142213246</v>
      </c>
    </row>
    <row r="225" spans="1:7" x14ac:dyDescent="0.25">
      <c r="A225" s="17">
        <v>301.20481999999998</v>
      </c>
      <c r="B225" s="16">
        <v>2.8923202999999999E-4</v>
      </c>
      <c r="C225" s="42">
        <f t="shared" si="7"/>
        <v>-3.5387536142751745</v>
      </c>
      <c r="E225" s="16">
        <v>301.20481999999998</v>
      </c>
      <c r="F225">
        <v>4.1337587E-4</v>
      </c>
      <c r="G225" s="42">
        <f t="shared" si="6"/>
        <v>-3.3836548780515057</v>
      </c>
    </row>
    <row r="226" spans="1:7" x14ac:dyDescent="0.25">
      <c r="A226" s="17">
        <v>289.15663000000001</v>
      </c>
      <c r="B226" s="16">
        <v>2.8412567999999997E-4</v>
      </c>
      <c r="C226" s="42">
        <f t="shared" si="7"/>
        <v>-3.5464895118656732</v>
      </c>
      <c r="E226" s="16">
        <v>289.15663000000001</v>
      </c>
      <c r="F226">
        <v>4.0284517000000001E-4</v>
      </c>
      <c r="G226" s="42">
        <f t="shared" si="6"/>
        <v>-3.3948618390570995</v>
      </c>
    </row>
    <row r="227" spans="1:7" x14ac:dyDescent="0.25">
      <c r="A227" s="17">
        <v>277.10843</v>
      </c>
      <c r="B227" s="16">
        <v>2.7925280000000002E-4</v>
      </c>
      <c r="C227" s="42">
        <f t="shared" si="7"/>
        <v>-3.5540024636252348</v>
      </c>
      <c r="E227" s="16">
        <v>277.10843</v>
      </c>
      <c r="F227">
        <v>3.9269164999999998E-4</v>
      </c>
      <c r="G227" s="42">
        <f t="shared" si="6"/>
        <v>-3.4059483332533356</v>
      </c>
    </row>
    <row r="228" spans="1:7" x14ac:dyDescent="0.25">
      <c r="A228" s="17">
        <v>265.06024000000002</v>
      </c>
      <c r="B228" s="16">
        <v>2.7459973E-4</v>
      </c>
      <c r="C228" s="42">
        <f t="shared" si="7"/>
        <v>-3.5612998941188114</v>
      </c>
      <c r="E228" s="16">
        <v>265.06024000000002</v>
      </c>
      <c r="F228">
        <v>3.8288744999999999E-4</v>
      </c>
      <c r="G228" s="42">
        <f t="shared" si="6"/>
        <v>-3.4169288684004751</v>
      </c>
    </row>
    <row r="229" spans="1:7" x14ac:dyDescent="0.25">
      <c r="A229" s="17">
        <v>253.01204999999999</v>
      </c>
      <c r="B229" s="16">
        <v>2.7015501000000002E-4</v>
      </c>
      <c r="C229" s="42">
        <f t="shared" si="7"/>
        <v>-3.5683869740985812</v>
      </c>
      <c r="E229" s="16">
        <v>253.01204999999999</v>
      </c>
      <c r="F229">
        <v>3.7340616000000002E-4</v>
      </c>
      <c r="G229" s="42">
        <f t="shared" si="6"/>
        <v>-3.4278185218664747</v>
      </c>
    </row>
    <row r="230" spans="1:7" x14ac:dyDescent="0.25">
      <c r="A230" s="17">
        <v>240.96386000000001</v>
      </c>
      <c r="B230" s="16">
        <v>2.6590670000000002E-4</v>
      </c>
      <c r="C230" s="42">
        <f t="shared" si="7"/>
        <v>-3.5752707196959999</v>
      </c>
      <c r="E230" s="16">
        <v>240.96386000000001</v>
      </c>
      <c r="F230">
        <v>3.6422253999999999E-4</v>
      </c>
      <c r="G230" s="42">
        <f t="shared" si="6"/>
        <v>-3.4386331812903612</v>
      </c>
    </row>
    <row r="231" spans="1:7" x14ac:dyDescent="0.25">
      <c r="A231" s="17">
        <v>228.91566</v>
      </c>
      <c r="B231" s="16">
        <v>2.6184447999999999E-4</v>
      </c>
      <c r="C231" s="42">
        <f t="shared" si="7"/>
        <v>-3.5819565771217046</v>
      </c>
      <c r="E231" s="16">
        <v>228.91566</v>
      </c>
      <c r="F231">
        <v>3.5531225000000002E-4</v>
      </c>
      <c r="G231" s="42">
        <f t="shared" si="6"/>
        <v>-3.4493898192044736</v>
      </c>
    </row>
    <row r="232" spans="1:7" x14ac:dyDescent="0.25">
      <c r="A232" s="17">
        <v>216.86747</v>
      </c>
      <c r="B232" s="16">
        <v>2.5795879000000001E-4</v>
      </c>
      <c r="C232" s="42">
        <f t="shared" si="7"/>
        <v>-3.5884496688627605</v>
      </c>
      <c r="E232" s="16">
        <v>216.86747</v>
      </c>
      <c r="F232">
        <v>3.4665158999999999E-4</v>
      </c>
      <c r="G232" s="42">
        <f t="shared" si="6"/>
        <v>-3.4601068034656635</v>
      </c>
    </row>
    <row r="233" spans="1:7" x14ac:dyDescent="0.25">
      <c r="A233" s="17">
        <v>204.81927999999999</v>
      </c>
      <c r="B233" s="16">
        <v>2.5424048000000001E-4</v>
      </c>
      <c r="C233" s="42">
        <f t="shared" si="7"/>
        <v>-3.594755300198234</v>
      </c>
      <c r="E233" s="16">
        <v>204.81927999999999</v>
      </c>
      <c r="F233">
        <v>3.3821714999999997E-4</v>
      </c>
      <c r="G233" s="42">
        <f t="shared" si="6"/>
        <v>-3.4708043743801325</v>
      </c>
    </row>
    <row r="234" spans="1:7" x14ac:dyDescent="0.25">
      <c r="A234" s="17">
        <v>192.77108000000001</v>
      </c>
      <c r="B234" s="16">
        <v>2.5068095999999999E-4</v>
      </c>
      <c r="C234" s="42">
        <f t="shared" si="7"/>
        <v>-3.6008786508082551</v>
      </c>
      <c r="E234" s="16">
        <v>192.77108000000001</v>
      </c>
      <c r="F234">
        <v>3.2998555E-4</v>
      </c>
      <c r="G234" s="42">
        <f t="shared" si="6"/>
        <v>-3.4815050773726099</v>
      </c>
    </row>
    <row r="235" spans="1:7" x14ac:dyDescent="0.25">
      <c r="A235" s="17">
        <v>180.72289000000001</v>
      </c>
      <c r="B235" s="16">
        <v>2.4727217000000001E-4</v>
      </c>
      <c r="C235" s="42">
        <f t="shared" si="7"/>
        <v>-3.6068247598843843</v>
      </c>
      <c r="E235" s="16">
        <v>180.72289000000001</v>
      </c>
      <c r="F235">
        <v>3.2193298999999998E-4</v>
      </c>
      <c r="G235" s="42">
        <f t="shared" si="6"/>
        <v>-3.49223451681909</v>
      </c>
    </row>
    <row r="236" spans="1:7" x14ac:dyDescent="0.25">
      <c r="A236" s="17">
        <v>168.6747</v>
      </c>
      <c r="B236" s="16">
        <v>2.4400647E-4</v>
      </c>
      <c r="C236" s="42">
        <f t="shared" si="7"/>
        <v>-3.612598657890596</v>
      </c>
      <c r="E236" s="16">
        <v>168.6747</v>
      </c>
      <c r="F236">
        <v>3.1403483999999999E-4</v>
      </c>
      <c r="G236" s="42">
        <f t="shared" si="6"/>
        <v>-3.5030221672758666</v>
      </c>
    </row>
    <row r="237" spans="1:7" x14ac:dyDescent="0.25">
      <c r="A237" s="17">
        <v>156.62651</v>
      </c>
      <c r="B237" s="16">
        <v>2.4087627999999999E-4</v>
      </c>
      <c r="C237" s="42">
        <f t="shared" si="7"/>
        <v>-3.6182059645193245</v>
      </c>
      <c r="E237" s="16">
        <v>156.62651</v>
      </c>
      <c r="F237">
        <v>3.0626505999999999E-4</v>
      </c>
      <c r="G237" s="42">
        <f t="shared" si="6"/>
        <v>-3.5139025464997795</v>
      </c>
    </row>
    <row r="238" spans="1:7" x14ac:dyDescent="0.25">
      <c r="A238" s="17">
        <v>144.57830999999999</v>
      </c>
      <c r="B238" s="16">
        <v>2.3787411E-4</v>
      </c>
      <c r="C238" s="42">
        <f t="shared" si="7"/>
        <v>-3.6236528236037651</v>
      </c>
      <c r="E238" s="16">
        <v>144.57830999999999</v>
      </c>
      <c r="F238">
        <v>2.9859546999999999E-4</v>
      </c>
      <c r="G238" s="42">
        <f t="shared" si="6"/>
        <v>-3.5249167852544172</v>
      </c>
    </row>
    <row r="239" spans="1:7" x14ac:dyDescent="0.25">
      <c r="A239" s="17">
        <v>132.53012000000001</v>
      </c>
      <c r="B239" s="16">
        <v>2.3499234E-4</v>
      </c>
      <c r="C239" s="42">
        <f t="shared" si="7"/>
        <v>-3.6289462941110324</v>
      </c>
      <c r="E239" s="16">
        <v>132.53012000000001</v>
      </c>
      <c r="F239">
        <v>2.9099477E-4</v>
      </c>
      <c r="G239" s="42">
        <f t="shared" si="6"/>
        <v>-3.5361148164455414</v>
      </c>
    </row>
    <row r="240" spans="1:7" x14ac:dyDescent="0.25">
      <c r="A240" s="17">
        <v>120.48193000000001</v>
      </c>
      <c r="B240" s="16">
        <v>2.3222294000000001E-4</v>
      </c>
      <c r="C240" s="42">
        <f t="shared" si="7"/>
        <v>-3.6340948809655833</v>
      </c>
      <c r="E240" s="16">
        <v>120.48193000000001</v>
      </c>
      <c r="F240">
        <v>2.8342720000000001E-4</v>
      </c>
      <c r="G240" s="42">
        <f t="shared" si="6"/>
        <v>-3.5475584736260934</v>
      </c>
    </row>
    <row r="241" spans="1:7" x14ac:dyDescent="0.25">
      <c r="A241" s="17">
        <v>108.43373</v>
      </c>
      <c r="B241" s="16">
        <v>2.2955718000000001E-4</v>
      </c>
      <c r="C241" s="42">
        <f t="shared" si="7"/>
        <v>-3.6391091189919962</v>
      </c>
      <c r="E241" s="16">
        <v>108.43373</v>
      </c>
      <c r="F241">
        <v>2.7585054000000002E-4</v>
      </c>
      <c r="G241" s="42">
        <f t="shared" si="6"/>
        <v>-3.5593261615384302</v>
      </c>
    </row>
    <row r="242" spans="1:7" x14ac:dyDescent="0.25">
      <c r="A242" s="17">
        <v>96.385542000000001</v>
      </c>
      <c r="B242" s="16">
        <v>2.2698518000000001E-4</v>
      </c>
      <c r="C242" s="42">
        <f t="shared" si="7"/>
        <v>-3.6440024972312401</v>
      </c>
      <c r="E242" s="16">
        <v>96.385542000000001</v>
      </c>
      <c r="F242">
        <v>2.6821316000000001E-4</v>
      </c>
      <c r="G242" s="42">
        <f t="shared" si="6"/>
        <v>-3.5715199171064658</v>
      </c>
    </row>
    <row r="243" spans="1:7" x14ac:dyDescent="0.25">
      <c r="A243" s="17">
        <v>84.337349000000003</v>
      </c>
      <c r="B243" s="16">
        <v>2.2449528999999999E-4</v>
      </c>
      <c r="C243" s="42">
        <f t="shared" si="7"/>
        <v>-3.6487927662351241</v>
      </c>
      <c r="E243" s="16">
        <v>84.337349000000003</v>
      </c>
      <c r="F243">
        <v>2.6044925999999999E-4</v>
      </c>
      <c r="G243" s="42">
        <f t="shared" si="6"/>
        <v>-3.5842768721662934</v>
      </c>
    </row>
    <row r="244" spans="1:7" x14ac:dyDescent="0.25">
      <c r="A244" s="17">
        <v>72.289157000000003</v>
      </c>
      <c r="B244" s="16">
        <v>2.2207320999999999E-4</v>
      </c>
      <c r="C244" s="42">
        <f t="shared" si="7"/>
        <v>-3.6535038297942823</v>
      </c>
      <c r="E244" s="16">
        <v>72.289157000000003</v>
      </c>
      <c r="F244">
        <v>2.5247097E-4</v>
      </c>
      <c r="G244" s="42">
        <f t="shared" si="6"/>
        <v>-3.5977885513814116</v>
      </c>
    </row>
    <row r="245" spans="1:7" x14ac:dyDescent="0.25">
      <c r="A245" s="17">
        <v>60.240963999999998</v>
      </c>
      <c r="B245" s="16">
        <v>2.1970048999999999E-4</v>
      </c>
      <c r="C245" s="42">
        <f t="shared" si="7"/>
        <v>-3.6581689744674786</v>
      </c>
      <c r="E245" s="16">
        <v>60.240963999999998</v>
      </c>
      <c r="F245">
        <v>2.4415390999999999E-4</v>
      </c>
      <c r="G245" s="42">
        <f t="shared" si="6"/>
        <v>-3.6123363163201518</v>
      </c>
    </row>
    <row r="246" spans="1:7" x14ac:dyDescent="0.25">
      <c r="A246" s="17">
        <v>48.192771</v>
      </c>
      <c r="B246" s="16">
        <v>2.1735204999999999E-4</v>
      </c>
      <c r="C246" s="42">
        <f t="shared" si="7"/>
        <v>-3.6628362593172237</v>
      </c>
      <c r="E246" s="16">
        <v>48.192771</v>
      </c>
      <c r="F246">
        <v>2.3530856E-4</v>
      </c>
      <c r="G246" s="42">
        <f t="shared" si="6"/>
        <v>-3.6283622738730821</v>
      </c>
    </row>
    <row r="247" spans="1:7" x14ac:dyDescent="0.25">
      <c r="A247" s="17">
        <v>36.144578000000003</v>
      </c>
      <c r="B247" s="16">
        <v>2.1499105999999999E-4</v>
      </c>
      <c r="C247" s="42">
        <f t="shared" si="7"/>
        <v>-3.6675795990304052</v>
      </c>
      <c r="E247" s="16">
        <v>36.144578000000003</v>
      </c>
      <c r="F247">
        <v>2.2561515E-4</v>
      </c>
      <c r="G247" s="42">
        <f t="shared" si="6"/>
        <v>-3.6466317409453977</v>
      </c>
    </row>
    <row r="248" spans="1:7" x14ac:dyDescent="0.25">
      <c r="A248" s="17">
        <v>24.096385999999999</v>
      </c>
      <c r="B248" s="16">
        <v>2.1255673000000001E-4</v>
      </c>
      <c r="C248" s="42">
        <f t="shared" si="7"/>
        <v>-3.6725251397884056</v>
      </c>
      <c r="E248" s="16">
        <v>24.096385999999999</v>
      </c>
      <c r="F248">
        <v>2.1444319000000001E-4</v>
      </c>
      <c r="G248" s="42">
        <f t="shared" si="6"/>
        <v>-3.6686877409491894</v>
      </c>
    </row>
    <row r="249" spans="1:7" x14ac:dyDescent="0.25">
      <c r="A249" s="17">
        <v>12.048192999999999</v>
      </c>
      <c r="B249" s="16">
        <v>2.0992265000000001E-4</v>
      </c>
      <c r="C249" s="42">
        <f t="shared" si="7"/>
        <v>-3.67794069986773</v>
      </c>
      <c r="E249" s="16">
        <v>12.048192999999999</v>
      </c>
      <c r="F249">
        <v>2.0013539000000001E-4</v>
      </c>
      <c r="G249" s="42">
        <f t="shared" si="6"/>
        <v>-3.6986761081517856</v>
      </c>
    </row>
    <row r="250" spans="1:7" x14ac:dyDescent="0.25">
      <c r="A250" s="17">
        <v>0</v>
      </c>
      <c r="B250" s="16">
        <v>2.0650825E-4</v>
      </c>
      <c r="C250" s="42">
        <f t="shared" si="7"/>
        <v>-3.6850625936060992</v>
      </c>
      <c r="E250" s="16">
        <v>0</v>
      </c>
      <c r="F250">
        <v>1.7223795E-4</v>
      </c>
      <c r="G250" s="42">
        <f t="shared" si="6"/>
        <v>-3.7638711521870434</v>
      </c>
    </row>
    <row r="251" spans="1:7" x14ac:dyDescent="0.25">
      <c r="C251" s="42"/>
    </row>
    <row r="252" spans="1:7" x14ac:dyDescent="0.25">
      <c r="C252" s="42"/>
    </row>
    <row r="253" spans="1:7" x14ac:dyDescent="0.25">
      <c r="C253" s="42"/>
    </row>
    <row r="254" spans="1:7" x14ac:dyDescent="0.25">
      <c r="C254" s="42"/>
    </row>
    <row r="255" spans="1:7" x14ac:dyDescent="0.25">
      <c r="C255" s="42"/>
    </row>
    <row r="256" spans="1:7" x14ac:dyDescent="0.25">
      <c r="C256" s="42"/>
    </row>
    <row r="257" spans="3:3" x14ac:dyDescent="0.25">
      <c r="C257" s="42"/>
    </row>
    <row r="258" spans="3:3" x14ac:dyDescent="0.25">
      <c r="C258" s="42"/>
    </row>
    <row r="259" spans="3:3" x14ac:dyDescent="0.25">
      <c r="C259" s="42"/>
    </row>
    <row r="260" spans="3:3" x14ac:dyDescent="0.25">
      <c r="C260" s="42"/>
    </row>
    <row r="261" spans="3:3" x14ac:dyDescent="0.25">
      <c r="C261" s="42"/>
    </row>
    <row r="262" spans="3:3" x14ac:dyDescent="0.25">
      <c r="C262" s="42"/>
    </row>
    <row r="263" spans="3:3" x14ac:dyDescent="0.25">
      <c r="C263" s="42"/>
    </row>
    <row r="264" spans="3:3" x14ac:dyDescent="0.25">
      <c r="C264" s="42"/>
    </row>
    <row r="265" spans="3:3" x14ac:dyDescent="0.25">
      <c r="C265" s="42"/>
    </row>
    <row r="266" spans="3:3" x14ac:dyDescent="0.25">
      <c r="C266" s="42"/>
    </row>
    <row r="267" spans="3:3" x14ac:dyDescent="0.25">
      <c r="C267" s="42"/>
    </row>
    <row r="268" spans="3:3" x14ac:dyDescent="0.25">
      <c r="C268" s="42"/>
    </row>
    <row r="269" spans="3:3" x14ac:dyDescent="0.25">
      <c r="C269" s="42"/>
    </row>
    <row r="270" spans="3:3" x14ac:dyDescent="0.25">
      <c r="C270" s="42"/>
    </row>
    <row r="271" spans="3:3" x14ac:dyDescent="0.25">
      <c r="C271" s="42"/>
    </row>
    <row r="272" spans="3:3" x14ac:dyDescent="0.25">
      <c r="C272" s="42"/>
    </row>
    <row r="273" spans="3:3" x14ac:dyDescent="0.25">
      <c r="C273" s="42"/>
    </row>
    <row r="274" spans="3:3" x14ac:dyDescent="0.25">
      <c r="C274" s="42"/>
    </row>
    <row r="275" spans="3:3" x14ac:dyDescent="0.25">
      <c r="C275" s="42"/>
    </row>
    <row r="276" spans="3:3" x14ac:dyDescent="0.25">
      <c r="C276" s="42"/>
    </row>
    <row r="277" spans="3:3" x14ac:dyDescent="0.25">
      <c r="C277" s="42"/>
    </row>
    <row r="278" spans="3:3" x14ac:dyDescent="0.25">
      <c r="C278" s="42"/>
    </row>
    <row r="279" spans="3:3" x14ac:dyDescent="0.25">
      <c r="C279" s="42"/>
    </row>
    <row r="280" spans="3:3" x14ac:dyDescent="0.25">
      <c r="C280" s="42"/>
    </row>
    <row r="281" spans="3:3" x14ac:dyDescent="0.25">
      <c r="C281" s="42"/>
    </row>
    <row r="282" spans="3:3" x14ac:dyDescent="0.25">
      <c r="C282" s="42"/>
    </row>
    <row r="283" spans="3:3" x14ac:dyDescent="0.25">
      <c r="C283" s="42"/>
    </row>
    <row r="284" spans="3:3" x14ac:dyDescent="0.25">
      <c r="C284" s="42"/>
    </row>
    <row r="285" spans="3:3" x14ac:dyDescent="0.25">
      <c r="C285" s="42"/>
    </row>
    <row r="286" spans="3:3" x14ac:dyDescent="0.25">
      <c r="C286" s="42"/>
    </row>
    <row r="287" spans="3:3" x14ac:dyDescent="0.25">
      <c r="C287" s="42"/>
    </row>
    <row r="288" spans="3:3" x14ac:dyDescent="0.25">
      <c r="C288" s="42"/>
    </row>
    <row r="289" spans="3:3" x14ac:dyDescent="0.25">
      <c r="C289" s="42"/>
    </row>
    <row r="290" spans="3:3" x14ac:dyDescent="0.25">
      <c r="C290" s="42"/>
    </row>
    <row r="291" spans="3:3" x14ac:dyDescent="0.25">
      <c r="C291" s="42"/>
    </row>
    <row r="292" spans="3:3" x14ac:dyDescent="0.25">
      <c r="C292" s="42"/>
    </row>
    <row r="293" spans="3:3" x14ac:dyDescent="0.25">
      <c r="C293" s="42"/>
    </row>
    <row r="294" spans="3:3" x14ac:dyDescent="0.25">
      <c r="C294" s="42"/>
    </row>
    <row r="295" spans="3:3" x14ac:dyDescent="0.25">
      <c r="C295" s="42"/>
    </row>
    <row r="296" spans="3:3" x14ac:dyDescent="0.25">
      <c r="C296" s="42"/>
    </row>
    <row r="297" spans="3:3" x14ac:dyDescent="0.25">
      <c r="C297" s="42"/>
    </row>
    <row r="298" spans="3:3" x14ac:dyDescent="0.25">
      <c r="C298" s="42"/>
    </row>
    <row r="299" spans="3:3" x14ac:dyDescent="0.25">
      <c r="C299" s="42"/>
    </row>
    <row r="300" spans="3:3" x14ac:dyDescent="0.25">
      <c r="C300" s="42"/>
    </row>
    <row r="301" spans="3:3" x14ac:dyDescent="0.25">
      <c r="C301" s="42"/>
    </row>
    <row r="302" spans="3:3" x14ac:dyDescent="0.25">
      <c r="C302" s="42"/>
    </row>
    <row r="303" spans="3:3" x14ac:dyDescent="0.25">
      <c r="C303" s="42"/>
    </row>
    <row r="304" spans="3:3" x14ac:dyDescent="0.25">
      <c r="C304" s="42"/>
    </row>
    <row r="305" spans="3:3" x14ac:dyDescent="0.25">
      <c r="C305" s="42"/>
    </row>
    <row r="306" spans="3:3" x14ac:dyDescent="0.25">
      <c r="C306" s="42"/>
    </row>
    <row r="307" spans="3:3" x14ac:dyDescent="0.25">
      <c r="C307" s="42"/>
    </row>
    <row r="308" spans="3:3" x14ac:dyDescent="0.25">
      <c r="C308" s="42"/>
    </row>
    <row r="309" spans="3:3" x14ac:dyDescent="0.25">
      <c r="C309" s="42"/>
    </row>
    <row r="310" spans="3:3" x14ac:dyDescent="0.25">
      <c r="C310" s="42"/>
    </row>
    <row r="311" spans="3:3" x14ac:dyDescent="0.25">
      <c r="C311" s="42"/>
    </row>
    <row r="312" spans="3:3" x14ac:dyDescent="0.25">
      <c r="C312" s="42"/>
    </row>
    <row r="313" spans="3:3" x14ac:dyDescent="0.25">
      <c r="C313" s="42"/>
    </row>
    <row r="314" spans="3:3" x14ac:dyDescent="0.25">
      <c r="C314" s="42"/>
    </row>
    <row r="315" spans="3:3" x14ac:dyDescent="0.25">
      <c r="C315" s="42"/>
    </row>
    <row r="316" spans="3:3" x14ac:dyDescent="0.25">
      <c r="C316" s="42"/>
    </row>
    <row r="317" spans="3:3" x14ac:dyDescent="0.25">
      <c r="C317" s="42"/>
    </row>
    <row r="318" spans="3:3" x14ac:dyDescent="0.25">
      <c r="C318" s="42"/>
    </row>
    <row r="319" spans="3:3" x14ac:dyDescent="0.25">
      <c r="C319" s="42"/>
    </row>
    <row r="320" spans="3:3" x14ac:dyDescent="0.25">
      <c r="C320" s="42"/>
    </row>
    <row r="321" spans="3:3" x14ac:dyDescent="0.25">
      <c r="C321" s="42"/>
    </row>
    <row r="322" spans="3:3" x14ac:dyDescent="0.25">
      <c r="C322" s="42"/>
    </row>
    <row r="323" spans="3:3" x14ac:dyDescent="0.25">
      <c r="C323" s="42"/>
    </row>
    <row r="324" spans="3:3" x14ac:dyDescent="0.25">
      <c r="C324" s="42"/>
    </row>
    <row r="325" spans="3:3" x14ac:dyDescent="0.25">
      <c r="C325" s="42"/>
    </row>
    <row r="326" spans="3:3" x14ac:dyDescent="0.25">
      <c r="C326" s="42"/>
    </row>
    <row r="327" spans="3:3" x14ac:dyDescent="0.25">
      <c r="C327" s="42"/>
    </row>
    <row r="328" spans="3:3" x14ac:dyDescent="0.25">
      <c r="C328" s="42"/>
    </row>
    <row r="329" spans="3:3" x14ac:dyDescent="0.25">
      <c r="C329" s="42"/>
    </row>
    <row r="330" spans="3:3" x14ac:dyDescent="0.25">
      <c r="C330" s="42"/>
    </row>
    <row r="331" spans="3:3" x14ac:dyDescent="0.25">
      <c r="C331" s="42"/>
    </row>
    <row r="332" spans="3:3" x14ac:dyDescent="0.25">
      <c r="C332" s="42"/>
    </row>
    <row r="333" spans="3:3" x14ac:dyDescent="0.25">
      <c r="C333" s="42"/>
    </row>
    <row r="334" spans="3:3" x14ac:dyDescent="0.25">
      <c r="C334" s="42"/>
    </row>
    <row r="335" spans="3:3" x14ac:dyDescent="0.25">
      <c r="C335" s="42"/>
    </row>
    <row r="336" spans="3:3" x14ac:dyDescent="0.25">
      <c r="C336" s="42"/>
    </row>
    <row r="337" spans="3:3" x14ac:dyDescent="0.25">
      <c r="C337" s="42"/>
    </row>
    <row r="338" spans="3:3" x14ac:dyDescent="0.25">
      <c r="C338" s="42"/>
    </row>
    <row r="339" spans="3:3" x14ac:dyDescent="0.25">
      <c r="C339" s="42"/>
    </row>
    <row r="340" spans="3:3" x14ac:dyDescent="0.25">
      <c r="C340" s="42"/>
    </row>
    <row r="341" spans="3:3" x14ac:dyDescent="0.25">
      <c r="C341" s="42"/>
    </row>
    <row r="342" spans="3:3" x14ac:dyDescent="0.25">
      <c r="C342" s="42"/>
    </row>
    <row r="343" spans="3:3" x14ac:dyDescent="0.25">
      <c r="C343" s="42"/>
    </row>
    <row r="344" spans="3:3" x14ac:dyDescent="0.25">
      <c r="C344" s="42"/>
    </row>
    <row r="345" spans="3:3" x14ac:dyDescent="0.25">
      <c r="C345" s="42"/>
    </row>
    <row r="346" spans="3:3" x14ac:dyDescent="0.25">
      <c r="C346" s="42"/>
    </row>
    <row r="347" spans="3:3" x14ac:dyDescent="0.25">
      <c r="C347" s="42"/>
    </row>
    <row r="348" spans="3:3" x14ac:dyDescent="0.25">
      <c r="C348" s="42"/>
    </row>
    <row r="349" spans="3:3" x14ac:dyDescent="0.25">
      <c r="C349" s="42"/>
    </row>
    <row r="350" spans="3:3" x14ac:dyDescent="0.25">
      <c r="C350" s="42"/>
    </row>
    <row r="351" spans="3:3" x14ac:dyDescent="0.25">
      <c r="C351" s="42"/>
    </row>
    <row r="352" spans="3:3" x14ac:dyDescent="0.25">
      <c r="C352" s="42"/>
    </row>
    <row r="353" spans="3:3" x14ac:dyDescent="0.25">
      <c r="C353" s="42"/>
    </row>
    <row r="354" spans="3:3" x14ac:dyDescent="0.25">
      <c r="C354" s="42"/>
    </row>
    <row r="355" spans="3:3" x14ac:dyDescent="0.25">
      <c r="C355" s="42"/>
    </row>
    <row r="356" spans="3:3" x14ac:dyDescent="0.25">
      <c r="C356" s="42"/>
    </row>
    <row r="357" spans="3:3" x14ac:dyDescent="0.25">
      <c r="C357" s="42"/>
    </row>
    <row r="358" spans="3:3" x14ac:dyDescent="0.25">
      <c r="C358" s="42"/>
    </row>
    <row r="359" spans="3:3" x14ac:dyDescent="0.25">
      <c r="C359" s="42"/>
    </row>
    <row r="360" spans="3:3" x14ac:dyDescent="0.25">
      <c r="C360" s="42"/>
    </row>
    <row r="361" spans="3:3" x14ac:dyDescent="0.25">
      <c r="C361" s="42"/>
    </row>
    <row r="362" spans="3:3" x14ac:dyDescent="0.25">
      <c r="C362" s="42"/>
    </row>
    <row r="363" spans="3:3" x14ac:dyDescent="0.25">
      <c r="C363" s="42"/>
    </row>
    <row r="364" spans="3:3" x14ac:dyDescent="0.25">
      <c r="C364" s="42"/>
    </row>
    <row r="365" spans="3:3" x14ac:dyDescent="0.25">
      <c r="C365" s="42"/>
    </row>
    <row r="366" spans="3:3" x14ac:dyDescent="0.25">
      <c r="C366" s="42"/>
    </row>
    <row r="367" spans="3:3" x14ac:dyDescent="0.25">
      <c r="C367" s="42"/>
    </row>
    <row r="368" spans="3:3" x14ac:dyDescent="0.25">
      <c r="C368" s="42"/>
    </row>
    <row r="369" spans="3:3" x14ac:dyDescent="0.25">
      <c r="C369" s="42"/>
    </row>
    <row r="370" spans="3:3" x14ac:dyDescent="0.25">
      <c r="C370" s="42"/>
    </row>
    <row r="371" spans="3:3" x14ac:dyDescent="0.25">
      <c r="C371" s="42"/>
    </row>
    <row r="372" spans="3:3" x14ac:dyDescent="0.25">
      <c r="C372" s="42"/>
    </row>
    <row r="373" spans="3:3" x14ac:dyDescent="0.25">
      <c r="C373" s="42"/>
    </row>
    <row r="374" spans="3:3" x14ac:dyDescent="0.25">
      <c r="C374" s="42"/>
    </row>
    <row r="375" spans="3:3" x14ac:dyDescent="0.25">
      <c r="C375" s="42"/>
    </row>
    <row r="376" spans="3:3" x14ac:dyDescent="0.25">
      <c r="C376" s="42"/>
    </row>
    <row r="377" spans="3:3" x14ac:dyDescent="0.25">
      <c r="C377" s="42"/>
    </row>
    <row r="378" spans="3:3" x14ac:dyDescent="0.25">
      <c r="C378" s="42"/>
    </row>
    <row r="379" spans="3:3" x14ac:dyDescent="0.25">
      <c r="C379" s="42"/>
    </row>
    <row r="380" spans="3:3" x14ac:dyDescent="0.25">
      <c r="C380" s="42"/>
    </row>
    <row r="381" spans="3:3" x14ac:dyDescent="0.25">
      <c r="C381" s="42"/>
    </row>
    <row r="382" spans="3:3" x14ac:dyDescent="0.25">
      <c r="C382" s="42"/>
    </row>
    <row r="383" spans="3:3" x14ac:dyDescent="0.25">
      <c r="C383" s="42"/>
    </row>
    <row r="384" spans="3:3" x14ac:dyDescent="0.25">
      <c r="C384" s="42"/>
    </row>
    <row r="385" spans="3:3" x14ac:dyDescent="0.25">
      <c r="C385" s="42"/>
    </row>
    <row r="386" spans="3:3" x14ac:dyDescent="0.25">
      <c r="C386" s="42"/>
    </row>
    <row r="387" spans="3:3" x14ac:dyDescent="0.25">
      <c r="C387" s="42"/>
    </row>
    <row r="388" spans="3:3" x14ac:dyDescent="0.25">
      <c r="C388" s="42"/>
    </row>
    <row r="389" spans="3:3" x14ac:dyDescent="0.25">
      <c r="C389" s="42"/>
    </row>
    <row r="390" spans="3:3" x14ac:dyDescent="0.25">
      <c r="C390" s="42"/>
    </row>
    <row r="391" spans="3:3" x14ac:dyDescent="0.25">
      <c r="C391" s="42"/>
    </row>
    <row r="392" spans="3:3" x14ac:dyDescent="0.25">
      <c r="C392" s="42"/>
    </row>
    <row r="393" spans="3:3" x14ac:dyDescent="0.25">
      <c r="C393" s="42"/>
    </row>
    <row r="394" spans="3:3" x14ac:dyDescent="0.25">
      <c r="C394" s="42"/>
    </row>
    <row r="395" spans="3:3" x14ac:dyDescent="0.25">
      <c r="C395" s="42"/>
    </row>
    <row r="396" spans="3:3" x14ac:dyDescent="0.25">
      <c r="C396" s="42"/>
    </row>
    <row r="397" spans="3:3" x14ac:dyDescent="0.25">
      <c r="C397" s="42"/>
    </row>
    <row r="398" spans="3:3" x14ac:dyDescent="0.25">
      <c r="C398" s="42"/>
    </row>
    <row r="399" spans="3:3" x14ac:dyDescent="0.25">
      <c r="C399" s="42"/>
    </row>
    <row r="400" spans="3:3" x14ac:dyDescent="0.25">
      <c r="C400" s="42"/>
    </row>
    <row r="401" spans="3:3" x14ac:dyDescent="0.25">
      <c r="C401" s="42"/>
    </row>
    <row r="402" spans="3:3" x14ac:dyDescent="0.25">
      <c r="C402" s="42"/>
    </row>
    <row r="403" spans="3:3" x14ac:dyDescent="0.25">
      <c r="C403" s="42"/>
    </row>
    <row r="404" spans="3:3" x14ac:dyDescent="0.25">
      <c r="C404" s="42"/>
    </row>
    <row r="405" spans="3:3" x14ac:dyDescent="0.25">
      <c r="C405" s="42"/>
    </row>
    <row r="406" spans="3:3" x14ac:dyDescent="0.25">
      <c r="C406" s="42"/>
    </row>
    <row r="407" spans="3:3" x14ac:dyDescent="0.25">
      <c r="C407" s="42"/>
    </row>
    <row r="408" spans="3:3" x14ac:dyDescent="0.25">
      <c r="C408" s="42"/>
    </row>
    <row r="409" spans="3:3" x14ac:dyDescent="0.25">
      <c r="C409" s="42"/>
    </row>
    <row r="410" spans="3:3" x14ac:dyDescent="0.25">
      <c r="C410" s="42"/>
    </row>
    <row r="411" spans="3:3" x14ac:dyDescent="0.25">
      <c r="C411" s="42"/>
    </row>
    <row r="412" spans="3:3" x14ac:dyDescent="0.25">
      <c r="C412" s="42"/>
    </row>
    <row r="413" spans="3:3" x14ac:dyDescent="0.25">
      <c r="C413" s="42"/>
    </row>
    <row r="414" spans="3:3" x14ac:dyDescent="0.25">
      <c r="C414" s="42"/>
    </row>
    <row r="415" spans="3:3" x14ac:dyDescent="0.25">
      <c r="C415" s="42"/>
    </row>
    <row r="416" spans="3:3" x14ac:dyDescent="0.25">
      <c r="C416" s="42"/>
    </row>
    <row r="417" spans="3:3" x14ac:dyDescent="0.25">
      <c r="C417" s="42"/>
    </row>
    <row r="418" spans="3:3" x14ac:dyDescent="0.25">
      <c r="C418" s="42"/>
    </row>
    <row r="419" spans="3:3" x14ac:dyDescent="0.25">
      <c r="C419" s="42"/>
    </row>
    <row r="420" spans="3:3" x14ac:dyDescent="0.25">
      <c r="C420" s="42"/>
    </row>
    <row r="421" spans="3:3" x14ac:dyDescent="0.25">
      <c r="C421" s="42"/>
    </row>
    <row r="422" spans="3:3" x14ac:dyDescent="0.25">
      <c r="C422" s="42"/>
    </row>
    <row r="423" spans="3:3" x14ac:dyDescent="0.25">
      <c r="C423" s="42"/>
    </row>
    <row r="424" spans="3:3" x14ac:dyDescent="0.25">
      <c r="C424" s="42"/>
    </row>
    <row r="425" spans="3:3" x14ac:dyDescent="0.25">
      <c r="C425" s="42"/>
    </row>
    <row r="426" spans="3:3" x14ac:dyDescent="0.25">
      <c r="C426" s="42"/>
    </row>
    <row r="427" spans="3:3" x14ac:dyDescent="0.25">
      <c r="C427" s="42"/>
    </row>
    <row r="428" spans="3:3" x14ac:dyDescent="0.25">
      <c r="C428" s="42"/>
    </row>
    <row r="429" spans="3:3" x14ac:dyDescent="0.25">
      <c r="C429" s="42"/>
    </row>
    <row r="430" spans="3:3" x14ac:dyDescent="0.25">
      <c r="C430" s="42"/>
    </row>
    <row r="431" spans="3:3" x14ac:dyDescent="0.25">
      <c r="C431" s="42"/>
    </row>
    <row r="432" spans="3:3" x14ac:dyDescent="0.25">
      <c r="C432" s="42"/>
    </row>
    <row r="433" spans="3:3" x14ac:dyDescent="0.25">
      <c r="C433" s="42"/>
    </row>
    <row r="434" spans="3:3" x14ac:dyDescent="0.25">
      <c r="C434" s="42"/>
    </row>
    <row r="435" spans="3:3" x14ac:dyDescent="0.25">
      <c r="C435" s="42"/>
    </row>
    <row r="436" spans="3:3" x14ac:dyDescent="0.25">
      <c r="C436" s="42"/>
    </row>
    <row r="437" spans="3:3" x14ac:dyDescent="0.25">
      <c r="C437" s="42"/>
    </row>
    <row r="438" spans="3:3" x14ac:dyDescent="0.25">
      <c r="C438" s="42"/>
    </row>
    <row r="439" spans="3:3" x14ac:dyDescent="0.25">
      <c r="C439" s="42"/>
    </row>
    <row r="440" spans="3:3" x14ac:dyDescent="0.25">
      <c r="C440" s="42"/>
    </row>
    <row r="441" spans="3:3" x14ac:dyDescent="0.25">
      <c r="C441" s="42"/>
    </row>
    <row r="442" spans="3:3" x14ac:dyDescent="0.25">
      <c r="C442" s="42"/>
    </row>
    <row r="443" spans="3:3" x14ac:dyDescent="0.25">
      <c r="C443" s="42"/>
    </row>
    <row r="444" spans="3:3" x14ac:dyDescent="0.25">
      <c r="C444" s="42"/>
    </row>
    <row r="445" spans="3:3" x14ac:dyDescent="0.25">
      <c r="C445" s="42"/>
    </row>
    <row r="446" spans="3:3" x14ac:dyDescent="0.25">
      <c r="C446" s="42"/>
    </row>
    <row r="447" spans="3:3" x14ac:dyDescent="0.25">
      <c r="C447" s="42"/>
    </row>
    <row r="448" spans="3:3" x14ac:dyDescent="0.25">
      <c r="C448" s="42"/>
    </row>
    <row r="449" spans="3:3" x14ac:dyDescent="0.25">
      <c r="C449" s="42"/>
    </row>
    <row r="450" spans="3:3" x14ac:dyDescent="0.25">
      <c r="C450" s="42"/>
    </row>
    <row r="451" spans="3:3" x14ac:dyDescent="0.25">
      <c r="C451" s="42"/>
    </row>
    <row r="452" spans="3:3" x14ac:dyDescent="0.25">
      <c r="C452" s="42"/>
    </row>
    <row r="453" spans="3:3" x14ac:dyDescent="0.25">
      <c r="C453" s="42"/>
    </row>
    <row r="454" spans="3:3" x14ac:dyDescent="0.25">
      <c r="C454" s="42"/>
    </row>
    <row r="455" spans="3:3" x14ac:dyDescent="0.25">
      <c r="C455" s="42"/>
    </row>
    <row r="456" spans="3:3" x14ac:dyDescent="0.25">
      <c r="C456" s="42"/>
    </row>
    <row r="457" spans="3:3" x14ac:dyDescent="0.25">
      <c r="C457" s="42"/>
    </row>
    <row r="458" spans="3:3" x14ac:dyDescent="0.25">
      <c r="C458" s="42"/>
    </row>
    <row r="459" spans="3:3" x14ac:dyDescent="0.25">
      <c r="C459" s="42"/>
    </row>
    <row r="460" spans="3:3" x14ac:dyDescent="0.25">
      <c r="C460" s="42"/>
    </row>
    <row r="461" spans="3:3" x14ac:dyDescent="0.25">
      <c r="C461" s="42"/>
    </row>
    <row r="462" spans="3:3" x14ac:dyDescent="0.25">
      <c r="C462" s="42"/>
    </row>
    <row r="463" spans="3:3" x14ac:dyDescent="0.25">
      <c r="C463" s="42"/>
    </row>
    <row r="464" spans="3:3" x14ac:dyDescent="0.25">
      <c r="C464" s="42"/>
    </row>
    <row r="465" spans="3:3" x14ac:dyDescent="0.25">
      <c r="C465" s="42"/>
    </row>
    <row r="466" spans="3:3" x14ac:dyDescent="0.25">
      <c r="C466" s="42"/>
    </row>
    <row r="467" spans="3:3" x14ac:dyDescent="0.25">
      <c r="C467" s="42"/>
    </row>
    <row r="468" spans="3:3" x14ac:dyDescent="0.25">
      <c r="C468" s="42"/>
    </row>
    <row r="469" spans="3:3" x14ac:dyDescent="0.25">
      <c r="C469" s="42"/>
    </row>
    <row r="470" spans="3:3" x14ac:dyDescent="0.25">
      <c r="C470" s="42"/>
    </row>
    <row r="471" spans="3:3" x14ac:dyDescent="0.25">
      <c r="C471" s="42"/>
    </row>
    <row r="472" spans="3:3" x14ac:dyDescent="0.25">
      <c r="C472" s="42"/>
    </row>
    <row r="473" spans="3:3" x14ac:dyDescent="0.25">
      <c r="C473" s="42"/>
    </row>
    <row r="474" spans="3:3" x14ac:dyDescent="0.25">
      <c r="C474" s="42"/>
    </row>
    <row r="475" spans="3:3" x14ac:dyDescent="0.25">
      <c r="C475" s="42"/>
    </row>
    <row r="476" spans="3:3" x14ac:dyDescent="0.25">
      <c r="C476" s="42"/>
    </row>
    <row r="477" spans="3:3" x14ac:dyDescent="0.25">
      <c r="C477" s="42"/>
    </row>
    <row r="478" spans="3:3" x14ac:dyDescent="0.25">
      <c r="C478" s="42"/>
    </row>
    <row r="479" spans="3:3" x14ac:dyDescent="0.25">
      <c r="C479" s="42"/>
    </row>
    <row r="480" spans="3:3" x14ac:dyDescent="0.25">
      <c r="C480" s="42"/>
    </row>
    <row r="481" spans="3:3" x14ac:dyDescent="0.25">
      <c r="C481" s="42"/>
    </row>
    <row r="482" spans="3:3" x14ac:dyDescent="0.25">
      <c r="C482" s="42"/>
    </row>
    <row r="483" spans="3:3" x14ac:dyDescent="0.25">
      <c r="C483" s="42"/>
    </row>
    <row r="484" spans="3:3" x14ac:dyDescent="0.25">
      <c r="C484" s="42"/>
    </row>
    <row r="485" spans="3:3" x14ac:dyDescent="0.25">
      <c r="C485" s="42"/>
    </row>
    <row r="486" spans="3:3" x14ac:dyDescent="0.25">
      <c r="C486" s="42"/>
    </row>
    <row r="487" spans="3:3" x14ac:dyDescent="0.25">
      <c r="C487" s="42"/>
    </row>
    <row r="488" spans="3:3" x14ac:dyDescent="0.25">
      <c r="C488" s="42"/>
    </row>
    <row r="489" spans="3:3" x14ac:dyDescent="0.25">
      <c r="C489" s="42"/>
    </row>
    <row r="490" spans="3:3" x14ac:dyDescent="0.25">
      <c r="C490" s="42"/>
    </row>
    <row r="491" spans="3:3" x14ac:dyDescent="0.25">
      <c r="C491" s="42"/>
    </row>
    <row r="492" spans="3:3" x14ac:dyDescent="0.25">
      <c r="C492" s="42"/>
    </row>
    <row r="493" spans="3:3" x14ac:dyDescent="0.25">
      <c r="C493" s="42"/>
    </row>
    <row r="494" spans="3:3" x14ac:dyDescent="0.25">
      <c r="C494" s="42"/>
    </row>
    <row r="495" spans="3:3" x14ac:dyDescent="0.25">
      <c r="C495" s="42"/>
    </row>
    <row r="496" spans="3:3" x14ac:dyDescent="0.25">
      <c r="C496" s="42"/>
    </row>
    <row r="497" spans="3:3" x14ac:dyDescent="0.25">
      <c r="C497" s="42"/>
    </row>
    <row r="498" spans="3:3" x14ac:dyDescent="0.25">
      <c r="C498" s="42"/>
    </row>
    <row r="499" spans="3:3" x14ac:dyDescent="0.25">
      <c r="C499" s="42"/>
    </row>
    <row r="500" spans="3:3" x14ac:dyDescent="0.25">
      <c r="C500" s="42"/>
    </row>
    <row r="501" spans="3:3" x14ac:dyDescent="0.25">
      <c r="C501" s="42"/>
    </row>
    <row r="502" spans="3:3" x14ac:dyDescent="0.25">
      <c r="C502" s="42"/>
    </row>
    <row r="503" spans="3:3" x14ac:dyDescent="0.25">
      <c r="C503" s="42"/>
    </row>
    <row r="504" spans="3:3" x14ac:dyDescent="0.25">
      <c r="C504" s="42"/>
    </row>
    <row r="505" spans="3:3" x14ac:dyDescent="0.25">
      <c r="C505" s="42"/>
    </row>
    <row r="506" spans="3:3" x14ac:dyDescent="0.25">
      <c r="C506" s="42"/>
    </row>
    <row r="507" spans="3:3" x14ac:dyDescent="0.25">
      <c r="C507" s="42"/>
    </row>
    <row r="508" spans="3:3" x14ac:dyDescent="0.25">
      <c r="C508" s="42"/>
    </row>
    <row r="509" spans="3:3" x14ac:dyDescent="0.25">
      <c r="C509" s="42"/>
    </row>
    <row r="510" spans="3:3" x14ac:dyDescent="0.25">
      <c r="C510" s="42"/>
    </row>
    <row r="511" spans="3:3" x14ac:dyDescent="0.25">
      <c r="C511" s="42"/>
    </row>
    <row r="512" spans="3:3" x14ac:dyDescent="0.25">
      <c r="C512" s="42"/>
    </row>
    <row r="513" spans="3:3" x14ac:dyDescent="0.25">
      <c r="C513" s="42"/>
    </row>
    <row r="514" spans="3:3" x14ac:dyDescent="0.25">
      <c r="C514" s="42"/>
    </row>
    <row r="515" spans="3:3" x14ac:dyDescent="0.25">
      <c r="C515" s="42"/>
    </row>
    <row r="516" spans="3:3" x14ac:dyDescent="0.25">
      <c r="C516" s="42"/>
    </row>
    <row r="517" spans="3:3" x14ac:dyDescent="0.25">
      <c r="C517" s="42"/>
    </row>
    <row r="518" spans="3:3" x14ac:dyDescent="0.25">
      <c r="C518" s="42"/>
    </row>
    <row r="519" spans="3:3" x14ac:dyDescent="0.25">
      <c r="C519" s="42"/>
    </row>
    <row r="520" spans="3:3" x14ac:dyDescent="0.25">
      <c r="C520" s="42"/>
    </row>
    <row r="521" spans="3:3" x14ac:dyDescent="0.25">
      <c r="C521" s="42"/>
    </row>
    <row r="522" spans="3:3" x14ac:dyDescent="0.25">
      <c r="C522" s="42"/>
    </row>
    <row r="523" spans="3:3" x14ac:dyDescent="0.25">
      <c r="C523" s="42"/>
    </row>
    <row r="524" spans="3:3" x14ac:dyDescent="0.25">
      <c r="C524" s="42"/>
    </row>
    <row r="525" spans="3:3" x14ac:dyDescent="0.25">
      <c r="C525" s="42"/>
    </row>
    <row r="526" spans="3:3" x14ac:dyDescent="0.25">
      <c r="C526" s="42"/>
    </row>
    <row r="527" spans="3:3" x14ac:dyDescent="0.25">
      <c r="C527" s="42"/>
    </row>
    <row r="528" spans="3:3" x14ac:dyDescent="0.25">
      <c r="C528" s="42"/>
    </row>
    <row r="529" spans="3:3" x14ac:dyDescent="0.25">
      <c r="C529" s="42"/>
    </row>
    <row r="530" spans="3:3" x14ac:dyDescent="0.25">
      <c r="C530" s="42"/>
    </row>
    <row r="531" spans="3:3" x14ac:dyDescent="0.25">
      <c r="C531" s="42"/>
    </row>
    <row r="532" spans="3:3" x14ac:dyDescent="0.25">
      <c r="C532" s="42"/>
    </row>
    <row r="533" spans="3:3" x14ac:dyDescent="0.25">
      <c r="C533" s="42"/>
    </row>
    <row r="534" spans="3:3" x14ac:dyDescent="0.25">
      <c r="C534" s="42"/>
    </row>
    <row r="535" spans="3:3" x14ac:dyDescent="0.25">
      <c r="C535" s="42"/>
    </row>
    <row r="536" spans="3:3" x14ac:dyDescent="0.25">
      <c r="C536" s="42"/>
    </row>
    <row r="537" spans="3:3" x14ac:dyDescent="0.25">
      <c r="C537" s="42"/>
    </row>
    <row r="538" spans="3:3" x14ac:dyDescent="0.25">
      <c r="C538" s="42"/>
    </row>
    <row r="539" spans="3:3" x14ac:dyDescent="0.25">
      <c r="C539" s="42"/>
    </row>
    <row r="540" spans="3:3" x14ac:dyDescent="0.25">
      <c r="C540" s="42"/>
    </row>
    <row r="541" spans="3:3" x14ac:dyDescent="0.25">
      <c r="C541" s="42"/>
    </row>
    <row r="542" spans="3:3" x14ac:dyDescent="0.25">
      <c r="C542" s="42"/>
    </row>
    <row r="543" spans="3:3" x14ac:dyDescent="0.25">
      <c r="C543" s="42"/>
    </row>
    <row r="544" spans="3:3" x14ac:dyDescent="0.25">
      <c r="C544" s="42"/>
    </row>
    <row r="545" spans="3:3" x14ac:dyDescent="0.25">
      <c r="C545" s="42"/>
    </row>
    <row r="546" spans="3:3" x14ac:dyDescent="0.25">
      <c r="C546" s="42"/>
    </row>
    <row r="547" spans="3:3" x14ac:dyDescent="0.25">
      <c r="C547" s="42"/>
    </row>
    <row r="548" spans="3:3" x14ac:dyDescent="0.25">
      <c r="C548" s="42"/>
    </row>
    <row r="549" spans="3:3" x14ac:dyDescent="0.25">
      <c r="C549" s="42"/>
    </row>
    <row r="550" spans="3:3" x14ac:dyDescent="0.25">
      <c r="C550" s="42"/>
    </row>
    <row r="551" spans="3:3" x14ac:dyDescent="0.25">
      <c r="C551" s="42"/>
    </row>
    <row r="552" spans="3:3" x14ac:dyDescent="0.25">
      <c r="C552" s="42"/>
    </row>
    <row r="553" spans="3:3" x14ac:dyDescent="0.25">
      <c r="C553" s="42"/>
    </row>
    <row r="554" spans="3:3" x14ac:dyDescent="0.25">
      <c r="C554" s="42"/>
    </row>
    <row r="555" spans="3:3" x14ac:dyDescent="0.25">
      <c r="C555" s="42"/>
    </row>
    <row r="556" spans="3:3" x14ac:dyDescent="0.25">
      <c r="C556" s="42"/>
    </row>
    <row r="557" spans="3:3" x14ac:dyDescent="0.25">
      <c r="C557" s="42"/>
    </row>
    <row r="558" spans="3:3" x14ac:dyDescent="0.25">
      <c r="C558" s="42"/>
    </row>
    <row r="559" spans="3:3" x14ac:dyDescent="0.25">
      <c r="C559" s="42"/>
    </row>
    <row r="560" spans="3:3" x14ac:dyDescent="0.25">
      <c r="C560" s="42"/>
    </row>
    <row r="561" spans="3:3" x14ac:dyDescent="0.25">
      <c r="C561" s="42"/>
    </row>
    <row r="562" spans="3:3" x14ac:dyDescent="0.25">
      <c r="C562" s="42"/>
    </row>
    <row r="563" spans="3:3" x14ac:dyDescent="0.25">
      <c r="C563" s="42"/>
    </row>
    <row r="564" spans="3:3" x14ac:dyDescent="0.25">
      <c r="C564" s="42"/>
    </row>
    <row r="565" spans="3:3" x14ac:dyDescent="0.25">
      <c r="C565" s="42"/>
    </row>
    <row r="566" spans="3:3" x14ac:dyDescent="0.25">
      <c r="C566" s="42"/>
    </row>
    <row r="567" spans="3:3" x14ac:dyDescent="0.25">
      <c r="C567" s="42"/>
    </row>
    <row r="568" spans="3:3" x14ac:dyDescent="0.25">
      <c r="C568" s="42"/>
    </row>
    <row r="569" spans="3:3" x14ac:dyDescent="0.25">
      <c r="C569" s="42"/>
    </row>
    <row r="570" spans="3:3" x14ac:dyDescent="0.25">
      <c r="C570" s="42"/>
    </row>
    <row r="571" spans="3:3" x14ac:dyDescent="0.25">
      <c r="C571" s="42"/>
    </row>
    <row r="572" spans="3:3" x14ac:dyDescent="0.25">
      <c r="C572" s="42"/>
    </row>
    <row r="573" spans="3:3" x14ac:dyDescent="0.25">
      <c r="C573" s="42"/>
    </row>
    <row r="574" spans="3:3" x14ac:dyDescent="0.25">
      <c r="C574" s="42"/>
    </row>
    <row r="575" spans="3:3" x14ac:dyDescent="0.25">
      <c r="C575" s="42"/>
    </row>
    <row r="576" spans="3:3" x14ac:dyDescent="0.25">
      <c r="C576" s="42"/>
    </row>
    <row r="577" spans="3:3" x14ac:dyDescent="0.25">
      <c r="C577" s="42"/>
    </row>
    <row r="578" spans="3:3" x14ac:dyDescent="0.25">
      <c r="C578" s="42"/>
    </row>
    <row r="579" spans="3:3" x14ac:dyDescent="0.25">
      <c r="C579" s="42"/>
    </row>
    <row r="580" spans="3:3" x14ac:dyDescent="0.25">
      <c r="C580" s="42"/>
    </row>
    <row r="581" spans="3:3" x14ac:dyDescent="0.25">
      <c r="C581" s="42"/>
    </row>
    <row r="582" spans="3:3" x14ac:dyDescent="0.25">
      <c r="C582" s="42"/>
    </row>
    <row r="583" spans="3:3" x14ac:dyDescent="0.25">
      <c r="C583" s="42"/>
    </row>
    <row r="584" spans="3:3" x14ac:dyDescent="0.25">
      <c r="C584" s="42"/>
    </row>
    <row r="585" spans="3:3" x14ac:dyDescent="0.25">
      <c r="C585" s="42"/>
    </row>
    <row r="586" spans="3:3" x14ac:dyDescent="0.25">
      <c r="C586" s="42"/>
    </row>
    <row r="587" spans="3:3" x14ac:dyDescent="0.25">
      <c r="C587" s="42"/>
    </row>
    <row r="588" spans="3:3" x14ac:dyDescent="0.25">
      <c r="C588" s="42"/>
    </row>
    <row r="589" spans="3:3" x14ac:dyDescent="0.25">
      <c r="C589" s="42"/>
    </row>
    <row r="590" spans="3:3" x14ac:dyDescent="0.25">
      <c r="C590" s="42"/>
    </row>
    <row r="591" spans="3:3" x14ac:dyDescent="0.25">
      <c r="C591" s="42"/>
    </row>
    <row r="592" spans="3:3" x14ac:dyDescent="0.25">
      <c r="C592" s="42"/>
    </row>
    <row r="593" spans="3:3" x14ac:dyDescent="0.25">
      <c r="C593" s="42"/>
    </row>
    <row r="594" spans="3:3" x14ac:dyDescent="0.25">
      <c r="C594" s="42"/>
    </row>
    <row r="595" spans="3:3" x14ac:dyDescent="0.25">
      <c r="C595" s="42"/>
    </row>
    <row r="596" spans="3:3" x14ac:dyDescent="0.25">
      <c r="C596" s="42"/>
    </row>
    <row r="597" spans="3:3" x14ac:dyDescent="0.25">
      <c r="C597" s="42"/>
    </row>
    <row r="598" spans="3:3" x14ac:dyDescent="0.25">
      <c r="C598" s="42"/>
    </row>
    <row r="599" spans="3:3" x14ac:dyDescent="0.25">
      <c r="C599" s="42"/>
    </row>
    <row r="600" spans="3:3" x14ac:dyDescent="0.25">
      <c r="C600" s="42"/>
    </row>
    <row r="601" spans="3:3" x14ac:dyDescent="0.25">
      <c r="C601" s="42"/>
    </row>
    <row r="602" spans="3:3" x14ac:dyDescent="0.25">
      <c r="C602" s="42"/>
    </row>
    <row r="603" spans="3:3" x14ac:dyDescent="0.25">
      <c r="C603" s="42"/>
    </row>
    <row r="604" spans="3:3" x14ac:dyDescent="0.25">
      <c r="C604" s="42"/>
    </row>
    <row r="605" spans="3:3" x14ac:dyDescent="0.25">
      <c r="C605" s="42"/>
    </row>
    <row r="606" spans="3:3" x14ac:dyDescent="0.25">
      <c r="C606" s="42"/>
    </row>
    <row r="607" spans="3:3" x14ac:dyDescent="0.25">
      <c r="C607" s="42"/>
    </row>
    <row r="608" spans="3:3" x14ac:dyDescent="0.25">
      <c r="C608" s="42"/>
    </row>
    <row r="609" spans="3:3" x14ac:dyDescent="0.25">
      <c r="C609" s="42"/>
    </row>
    <row r="610" spans="3:3" x14ac:dyDescent="0.25">
      <c r="C610" s="42"/>
    </row>
    <row r="611" spans="3:3" x14ac:dyDescent="0.25">
      <c r="C611" s="42"/>
    </row>
    <row r="612" spans="3:3" x14ac:dyDescent="0.25">
      <c r="C612" s="42"/>
    </row>
    <row r="613" spans="3:3" x14ac:dyDescent="0.25">
      <c r="C613" s="42"/>
    </row>
    <row r="614" spans="3:3" x14ac:dyDescent="0.25">
      <c r="C614" s="42"/>
    </row>
    <row r="615" spans="3:3" x14ac:dyDescent="0.25">
      <c r="C615" s="42"/>
    </row>
    <row r="616" spans="3:3" x14ac:dyDescent="0.25">
      <c r="C616" s="42"/>
    </row>
    <row r="617" spans="3:3" x14ac:dyDescent="0.25">
      <c r="C617" s="42"/>
    </row>
    <row r="618" spans="3:3" x14ac:dyDescent="0.25">
      <c r="C618" s="42"/>
    </row>
    <row r="619" spans="3:3" x14ac:dyDescent="0.25">
      <c r="C619" s="42"/>
    </row>
    <row r="620" spans="3:3" x14ac:dyDescent="0.25">
      <c r="C620" s="42"/>
    </row>
    <row r="621" spans="3:3" x14ac:dyDescent="0.25">
      <c r="C621" s="42"/>
    </row>
    <row r="622" spans="3:3" x14ac:dyDescent="0.25">
      <c r="C622" s="42"/>
    </row>
    <row r="623" spans="3:3" x14ac:dyDescent="0.25">
      <c r="C623" s="42"/>
    </row>
    <row r="624" spans="3:3" x14ac:dyDescent="0.25">
      <c r="C624" s="42"/>
    </row>
    <row r="625" spans="3:3" x14ac:dyDescent="0.25">
      <c r="C625" s="42"/>
    </row>
    <row r="626" spans="3:3" x14ac:dyDescent="0.25">
      <c r="C626" s="42"/>
    </row>
    <row r="627" spans="3:3" x14ac:dyDescent="0.25">
      <c r="C627" s="42"/>
    </row>
    <row r="628" spans="3:3" x14ac:dyDescent="0.25">
      <c r="C628" s="42"/>
    </row>
    <row r="629" spans="3:3" x14ac:dyDescent="0.25">
      <c r="C629" s="42"/>
    </row>
    <row r="630" spans="3:3" x14ac:dyDescent="0.25">
      <c r="C630" s="42"/>
    </row>
    <row r="631" spans="3:3" x14ac:dyDescent="0.25">
      <c r="C631" s="42"/>
    </row>
    <row r="632" spans="3:3" x14ac:dyDescent="0.25">
      <c r="C632" s="42"/>
    </row>
    <row r="633" spans="3:3" x14ac:dyDescent="0.25">
      <c r="C633" s="42"/>
    </row>
    <row r="634" spans="3:3" x14ac:dyDescent="0.25">
      <c r="C634" s="42"/>
    </row>
    <row r="635" spans="3:3" x14ac:dyDescent="0.25">
      <c r="C635" s="42"/>
    </row>
    <row r="636" spans="3:3" x14ac:dyDescent="0.25">
      <c r="C636" s="42"/>
    </row>
    <row r="637" spans="3:3" x14ac:dyDescent="0.25">
      <c r="C637" s="42"/>
    </row>
    <row r="638" spans="3:3" x14ac:dyDescent="0.25">
      <c r="C638" s="42"/>
    </row>
    <row r="639" spans="3:3" x14ac:dyDescent="0.25">
      <c r="C639" s="42"/>
    </row>
    <row r="640" spans="3:3" x14ac:dyDescent="0.25">
      <c r="C640" s="42"/>
    </row>
    <row r="641" spans="3:3" x14ac:dyDescent="0.25">
      <c r="C641" s="42"/>
    </row>
    <row r="642" spans="3:3" x14ac:dyDescent="0.25">
      <c r="C642" s="42"/>
    </row>
    <row r="643" spans="3:3" x14ac:dyDescent="0.25">
      <c r="C643" s="42"/>
    </row>
    <row r="644" spans="3:3" x14ac:dyDescent="0.25">
      <c r="C644" s="42"/>
    </row>
    <row r="645" spans="3:3" x14ac:dyDescent="0.25">
      <c r="C645" s="42"/>
    </row>
    <row r="646" spans="3:3" x14ac:dyDescent="0.25">
      <c r="C646" s="42"/>
    </row>
    <row r="647" spans="3:3" x14ac:dyDescent="0.25">
      <c r="C647" s="42"/>
    </row>
    <row r="648" spans="3:3" x14ac:dyDescent="0.25">
      <c r="C648" s="42"/>
    </row>
    <row r="649" spans="3:3" x14ac:dyDescent="0.25">
      <c r="C649" s="42"/>
    </row>
    <row r="650" spans="3:3" x14ac:dyDescent="0.25">
      <c r="C650" s="42"/>
    </row>
    <row r="651" spans="3:3" x14ac:dyDescent="0.25">
      <c r="C651" s="42"/>
    </row>
    <row r="652" spans="3:3" x14ac:dyDescent="0.25">
      <c r="C652" s="42"/>
    </row>
    <row r="653" spans="3:3" x14ac:dyDescent="0.25">
      <c r="C653" s="42"/>
    </row>
    <row r="654" spans="3:3" x14ac:dyDescent="0.25">
      <c r="C654" s="42"/>
    </row>
    <row r="655" spans="3:3" x14ac:dyDescent="0.25">
      <c r="C655" s="42"/>
    </row>
    <row r="656" spans="3:3" x14ac:dyDescent="0.25">
      <c r="C656" s="42"/>
    </row>
    <row r="657" spans="3:3" x14ac:dyDescent="0.25">
      <c r="C657" s="42"/>
    </row>
    <row r="658" spans="3:3" x14ac:dyDescent="0.25">
      <c r="C658" s="42"/>
    </row>
    <row r="659" spans="3:3" x14ac:dyDescent="0.25">
      <c r="C659" s="42"/>
    </row>
    <row r="660" spans="3:3" x14ac:dyDescent="0.25">
      <c r="C660" s="42"/>
    </row>
    <row r="661" spans="3:3" x14ac:dyDescent="0.25">
      <c r="C661" s="42"/>
    </row>
    <row r="662" spans="3:3" x14ac:dyDescent="0.25">
      <c r="C662" s="42"/>
    </row>
    <row r="663" spans="3:3" x14ac:dyDescent="0.25">
      <c r="C663" s="42"/>
    </row>
    <row r="664" spans="3:3" x14ac:dyDescent="0.25">
      <c r="C664" s="42"/>
    </row>
    <row r="665" spans="3:3" x14ac:dyDescent="0.25">
      <c r="C665" s="42"/>
    </row>
    <row r="666" spans="3:3" x14ac:dyDescent="0.25">
      <c r="C666" s="42"/>
    </row>
    <row r="667" spans="3:3" x14ac:dyDescent="0.25">
      <c r="C667" s="42"/>
    </row>
    <row r="668" spans="3:3" x14ac:dyDescent="0.25">
      <c r="C668" s="42"/>
    </row>
    <row r="669" spans="3:3" x14ac:dyDescent="0.25">
      <c r="C669" s="42"/>
    </row>
    <row r="670" spans="3:3" x14ac:dyDescent="0.25">
      <c r="C670" s="42"/>
    </row>
    <row r="671" spans="3:3" x14ac:dyDescent="0.25">
      <c r="C671" s="42"/>
    </row>
    <row r="672" spans="3:3" x14ac:dyDescent="0.25">
      <c r="C672" s="42"/>
    </row>
    <row r="673" spans="3:3" x14ac:dyDescent="0.25">
      <c r="C673" s="42"/>
    </row>
    <row r="674" spans="3:3" x14ac:dyDescent="0.25">
      <c r="C674" s="42"/>
    </row>
    <row r="675" spans="3:3" x14ac:dyDescent="0.25">
      <c r="C675" s="42"/>
    </row>
    <row r="676" spans="3:3" x14ac:dyDescent="0.25">
      <c r="C676" s="42"/>
    </row>
    <row r="677" spans="3:3" x14ac:dyDescent="0.25">
      <c r="C677" s="42"/>
    </row>
    <row r="678" spans="3:3" x14ac:dyDescent="0.25">
      <c r="C678" s="42"/>
    </row>
    <row r="679" spans="3:3" x14ac:dyDescent="0.25">
      <c r="C679" s="42"/>
    </row>
    <row r="680" spans="3:3" x14ac:dyDescent="0.25">
      <c r="C680" s="42"/>
    </row>
    <row r="681" spans="3:3" x14ac:dyDescent="0.25">
      <c r="C681" s="42"/>
    </row>
    <row r="682" spans="3:3" x14ac:dyDescent="0.25">
      <c r="C682" s="42"/>
    </row>
    <row r="683" spans="3:3" x14ac:dyDescent="0.25">
      <c r="C683" s="42"/>
    </row>
    <row r="684" spans="3:3" x14ac:dyDescent="0.25">
      <c r="C684" s="42"/>
    </row>
    <row r="685" spans="3:3" x14ac:dyDescent="0.25">
      <c r="C685" s="42"/>
    </row>
    <row r="686" spans="3:3" x14ac:dyDescent="0.25">
      <c r="C686" s="42"/>
    </row>
    <row r="687" spans="3:3" x14ac:dyDescent="0.25">
      <c r="C687" s="42"/>
    </row>
    <row r="688" spans="3:3" x14ac:dyDescent="0.25">
      <c r="C688" s="42"/>
    </row>
    <row r="689" spans="3:3" x14ac:dyDescent="0.25">
      <c r="C689" s="42"/>
    </row>
    <row r="690" spans="3:3" x14ac:dyDescent="0.25">
      <c r="C690" s="42"/>
    </row>
    <row r="691" spans="3:3" x14ac:dyDescent="0.25">
      <c r="C691" s="42"/>
    </row>
    <row r="692" spans="3:3" x14ac:dyDescent="0.25">
      <c r="C692" s="42"/>
    </row>
    <row r="693" spans="3:3" x14ac:dyDescent="0.25">
      <c r="C693" s="42"/>
    </row>
    <row r="694" spans="3:3" x14ac:dyDescent="0.25">
      <c r="C694" s="42"/>
    </row>
    <row r="695" spans="3:3" x14ac:dyDescent="0.25">
      <c r="C695" s="42"/>
    </row>
    <row r="696" spans="3:3" x14ac:dyDescent="0.25">
      <c r="C696" s="42"/>
    </row>
    <row r="697" spans="3:3" x14ac:dyDescent="0.25">
      <c r="C697" s="42"/>
    </row>
    <row r="698" spans="3:3" x14ac:dyDescent="0.25">
      <c r="C698" s="42"/>
    </row>
    <row r="699" spans="3:3" x14ac:dyDescent="0.25">
      <c r="C699" s="42"/>
    </row>
    <row r="700" spans="3:3" x14ac:dyDescent="0.25">
      <c r="C700" s="42"/>
    </row>
    <row r="701" spans="3:3" x14ac:dyDescent="0.25">
      <c r="C701" s="42"/>
    </row>
    <row r="702" spans="3:3" x14ac:dyDescent="0.25">
      <c r="C702" s="42"/>
    </row>
    <row r="703" spans="3:3" x14ac:dyDescent="0.25">
      <c r="C703" s="42"/>
    </row>
    <row r="704" spans="3:3" x14ac:dyDescent="0.25">
      <c r="C704" s="42"/>
    </row>
    <row r="705" spans="3:3" x14ac:dyDescent="0.25">
      <c r="C705" s="42"/>
    </row>
    <row r="706" spans="3:3" x14ac:dyDescent="0.25">
      <c r="C706" s="42"/>
    </row>
    <row r="707" spans="3:3" x14ac:dyDescent="0.25">
      <c r="C707" s="42"/>
    </row>
    <row r="708" spans="3:3" x14ac:dyDescent="0.25">
      <c r="C708" s="42"/>
    </row>
    <row r="709" spans="3:3" x14ac:dyDescent="0.25">
      <c r="C709" s="42"/>
    </row>
    <row r="710" spans="3:3" x14ac:dyDescent="0.25">
      <c r="C710" s="42"/>
    </row>
    <row r="711" spans="3:3" x14ac:dyDescent="0.25">
      <c r="C711" s="42"/>
    </row>
    <row r="712" spans="3:3" x14ac:dyDescent="0.25">
      <c r="C712" s="42"/>
    </row>
    <row r="713" spans="3:3" x14ac:dyDescent="0.25">
      <c r="C713" s="42"/>
    </row>
    <row r="714" spans="3:3" x14ac:dyDescent="0.25">
      <c r="C714" s="42"/>
    </row>
    <row r="715" spans="3:3" x14ac:dyDescent="0.25">
      <c r="C715" s="42"/>
    </row>
    <row r="716" spans="3:3" x14ac:dyDescent="0.25">
      <c r="C716" s="42"/>
    </row>
    <row r="717" spans="3:3" x14ac:dyDescent="0.25">
      <c r="C717" s="42"/>
    </row>
    <row r="718" spans="3:3" x14ac:dyDescent="0.25">
      <c r="C718" s="42"/>
    </row>
    <row r="719" spans="3:3" x14ac:dyDescent="0.25">
      <c r="C719" s="42"/>
    </row>
    <row r="720" spans="3:3" x14ac:dyDescent="0.25">
      <c r="C720" s="42"/>
    </row>
    <row r="721" spans="3:3" x14ac:dyDescent="0.25">
      <c r="C721" s="42"/>
    </row>
    <row r="722" spans="3:3" x14ac:dyDescent="0.25">
      <c r="C722" s="42"/>
    </row>
    <row r="723" spans="3:3" x14ac:dyDescent="0.25">
      <c r="C723" s="42"/>
    </row>
    <row r="724" spans="3:3" x14ac:dyDescent="0.25">
      <c r="C724" s="42"/>
    </row>
    <row r="725" spans="3:3" x14ac:dyDescent="0.25">
      <c r="C725" s="42"/>
    </row>
    <row r="726" spans="3:3" x14ac:dyDescent="0.25">
      <c r="C726" s="42"/>
    </row>
    <row r="727" spans="3:3" x14ac:dyDescent="0.25">
      <c r="C727" s="42"/>
    </row>
    <row r="728" spans="3:3" x14ac:dyDescent="0.25">
      <c r="C728" s="42"/>
    </row>
    <row r="729" spans="3:3" x14ac:dyDescent="0.25">
      <c r="C729" s="42"/>
    </row>
    <row r="730" spans="3:3" x14ac:dyDescent="0.25">
      <c r="C730" s="42"/>
    </row>
    <row r="731" spans="3:3" x14ac:dyDescent="0.25">
      <c r="C731" s="42"/>
    </row>
    <row r="732" spans="3:3" x14ac:dyDescent="0.25">
      <c r="C732" s="42"/>
    </row>
    <row r="733" spans="3:3" x14ac:dyDescent="0.25">
      <c r="C733" s="42"/>
    </row>
    <row r="734" spans="3:3" x14ac:dyDescent="0.25">
      <c r="C734" s="42"/>
    </row>
    <row r="735" spans="3:3" x14ac:dyDescent="0.25">
      <c r="C735" s="42"/>
    </row>
    <row r="736" spans="3:3" x14ac:dyDescent="0.25">
      <c r="C736" s="42"/>
    </row>
    <row r="737" spans="3:3" x14ac:dyDescent="0.25">
      <c r="C737" s="42"/>
    </row>
    <row r="738" spans="3:3" x14ac:dyDescent="0.25">
      <c r="C738" s="42"/>
    </row>
    <row r="739" spans="3:3" x14ac:dyDescent="0.25">
      <c r="C739" s="42"/>
    </row>
    <row r="740" spans="3:3" x14ac:dyDescent="0.25">
      <c r="C740" s="42"/>
    </row>
    <row r="741" spans="3:3" x14ac:dyDescent="0.25">
      <c r="C741" s="42"/>
    </row>
    <row r="742" spans="3:3" x14ac:dyDescent="0.25">
      <c r="C742" s="42"/>
    </row>
    <row r="743" spans="3:3" x14ac:dyDescent="0.25">
      <c r="C743" s="42"/>
    </row>
    <row r="744" spans="3:3" x14ac:dyDescent="0.25">
      <c r="C744" s="42"/>
    </row>
    <row r="745" spans="3:3" x14ac:dyDescent="0.25">
      <c r="C745" s="42"/>
    </row>
    <row r="746" spans="3:3" x14ac:dyDescent="0.25">
      <c r="C746" s="42"/>
    </row>
    <row r="747" spans="3:3" x14ac:dyDescent="0.25">
      <c r="C747" s="42"/>
    </row>
    <row r="748" spans="3:3" x14ac:dyDescent="0.25">
      <c r="C748" s="42"/>
    </row>
    <row r="749" spans="3:3" x14ac:dyDescent="0.25">
      <c r="C749" s="42"/>
    </row>
    <row r="750" spans="3:3" x14ac:dyDescent="0.25">
      <c r="C750" s="42"/>
    </row>
    <row r="751" spans="3:3" x14ac:dyDescent="0.25">
      <c r="C751" s="42"/>
    </row>
    <row r="752" spans="3:3" x14ac:dyDescent="0.25">
      <c r="C752" s="42"/>
    </row>
    <row r="753" spans="3:3" x14ac:dyDescent="0.25">
      <c r="C753" s="42"/>
    </row>
    <row r="754" spans="3:3" x14ac:dyDescent="0.25">
      <c r="C754" s="42"/>
    </row>
    <row r="755" spans="3:3" x14ac:dyDescent="0.25">
      <c r="C755" s="42"/>
    </row>
    <row r="756" spans="3:3" x14ac:dyDescent="0.25">
      <c r="C756" s="42"/>
    </row>
    <row r="757" spans="3:3" x14ac:dyDescent="0.25">
      <c r="C757" s="42"/>
    </row>
    <row r="758" spans="3:3" x14ac:dyDescent="0.25">
      <c r="C758" s="42"/>
    </row>
    <row r="759" spans="3:3" x14ac:dyDescent="0.25">
      <c r="C759" s="42"/>
    </row>
    <row r="760" spans="3:3" x14ac:dyDescent="0.25">
      <c r="C760" s="42"/>
    </row>
    <row r="761" spans="3:3" x14ac:dyDescent="0.25">
      <c r="C761" s="42"/>
    </row>
    <row r="762" spans="3:3" x14ac:dyDescent="0.25">
      <c r="C762" s="42"/>
    </row>
    <row r="763" spans="3:3" x14ac:dyDescent="0.25">
      <c r="C763" s="42"/>
    </row>
    <row r="764" spans="3:3" x14ac:dyDescent="0.25">
      <c r="C764" s="42"/>
    </row>
    <row r="765" spans="3:3" x14ac:dyDescent="0.25">
      <c r="C765" s="42"/>
    </row>
    <row r="766" spans="3:3" x14ac:dyDescent="0.25">
      <c r="C766" s="42"/>
    </row>
    <row r="767" spans="3:3" x14ac:dyDescent="0.25">
      <c r="C767" s="42"/>
    </row>
    <row r="768" spans="3:3" x14ac:dyDescent="0.25">
      <c r="C768" s="42"/>
    </row>
    <row r="769" spans="3:3" x14ac:dyDescent="0.25">
      <c r="C769" s="42"/>
    </row>
    <row r="770" spans="3:3" x14ac:dyDescent="0.25">
      <c r="C770" s="42"/>
    </row>
    <row r="771" spans="3:3" x14ac:dyDescent="0.25">
      <c r="C771" s="42"/>
    </row>
    <row r="772" spans="3:3" x14ac:dyDescent="0.25">
      <c r="C772" s="42"/>
    </row>
    <row r="773" spans="3:3" x14ac:dyDescent="0.25">
      <c r="C773" s="42"/>
    </row>
    <row r="774" spans="3:3" x14ac:dyDescent="0.25">
      <c r="C774" s="42"/>
    </row>
    <row r="775" spans="3:3" x14ac:dyDescent="0.25">
      <c r="C775" s="42"/>
    </row>
    <row r="776" spans="3:3" x14ac:dyDescent="0.25">
      <c r="C776" s="42"/>
    </row>
    <row r="777" spans="3:3" x14ac:dyDescent="0.25">
      <c r="C777" s="42"/>
    </row>
    <row r="778" spans="3:3" x14ac:dyDescent="0.25">
      <c r="C778" s="42"/>
    </row>
    <row r="779" spans="3:3" x14ac:dyDescent="0.25">
      <c r="C779" s="42"/>
    </row>
    <row r="780" spans="3:3" x14ac:dyDescent="0.25">
      <c r="C780" s="42"/>
    </row>
    <row r="781" spans="3:3" x14ac:dyDescent="0.25">
      <c r="C781" s="42"/>
    </row>
    <row r="782" spans="3:3" x14ac:dyDescent="0.25">
      <c r="C782" s="42"/>
    </row>
    <row r="783" spans="3:3" x14ac:dyDescent="0.25">
      <c r="C783" s="42"/>
    </row>
    <row r="784" spans="3:3" x14ac:dyDescent="0.25">
      <c r="C784" s="42"/>
    </row>
    <row r="785" spans="3:3" x14ac:dyDescent="0.25">
      <c r="C785" s="42"/>
    </row>
    <row r="786" spans="3:3" x14ac:dyDescent="0.25">
      <c r="C786" s="42"/>
    </row>
    <row r="787" spans="3:3" x14ac:dyDescent="0.25">
      <c r="C787" s="42"/>
    </row>
    <row r="788" spans="3:3" x14ac:dyDescent="0.25">
      <c r="C788" s="42"/>
    </row>
    <row r="789" spans="3:3" x14ac:dyDescent="0.25">
      <c r="C789" s="42"/>
    </row>
    <row r="790" spans="3:3" x14ac:dyDescent="0.25">
      <c r="C790" s="42"/>
    </row>
    <row r="791" spans="3:3" x14ac:dyDescent="0.25">
      <c r="C791" s="42"/>
    </row>
    <row r="792" spans="3:3" x14ac:dyDescent="0.25">
      <c r="C792" s="42"/>
    </row>
    <row r="793" spans="3:3" x14ac:dyDescent="0.25">
      <c r="C793" s="42"/>
    </row>
    <row r="794" spans="3:3" x14ac:dyDescent="0.25">
      <c r="C794" s="42"/>
    </row>
    <row r="795" spans="3:3" x14ac:dyDescent="0.25">
      <c r="C795" s="42"/>
    </row>
    <row r="796" spans="3:3" x14ac:dyDescent="0.25">
      <c r="C796" s="42"/>
    </row>
    <row r="797" spans="3:3" x14ac:dyDescent="0.25">
      <c r="C797" s="42"/>
    </row>
    <row r="798" spans="3:3" x14ac:dyDescent="0.25">
      <c r="C798" s="42"/>
    </row>
    <row r="799" spans="3:3" x14ac:dyDescent="0.25">
      <c r="C799" s="42"/>
    </row>
    <row r="800" spans="3:3" x14ac:dyDescent="0.25">
      <c r="C800" s="42"/>
    </row>
    <row r="801" spans="3:3" x14ac:dyDescent="0.25">
      <c r="C801" s="42"/>
    </row>
    <row r="802" spans="3:3" x14ac:dyDescent="0.25">
      <c r="C802" s="42"/>
    </row>
    <row r="803" spans="3:3" x14ac:dyDescent="0.25">
      <c r="C803" s="42"/>
    </row>
    <row r="804" spans="3:3" x14ac:dyDescent="0.25">
      <c r="C804" s="42"/>
    </row>
    <row r="805" spans="3:3" x14ac:dyDescent="0.25">
      <c r="C805" s="42"/>
    </row>
    <row r="806" spans="3:3" x14ac:dyDescent="0.25">
      <c r="C806" s="42"/>
    </row>
    <row r="807" spans="3:3" x14ac:dyDescent="0.25">
      <c r="C807" s="42"/>
    </row>
    <row r="808" spans="3:3" x14ac:dyDescent="0.25">
      <c r="C808" s="42"/>
    </row>
    <row r="809" spans="3:3" x14ac:dyDescent="0.25">
      <c r="C809" s="42"/>
    </row>
    <row r="810" spans="3:3" x14ac:dyDescent="0.25">
      <c r="C810" s="42"/>
    </row>
    <row r="811" spans="3:3" x14ac:dyDescent="0.25">
      <c r="C811" s="42"/>
    </row>
    <row r="812" spans="3:3" x14ac:dyDescent="0.25">
      <c r="C812" s="42"/>
    </row>
    <row r="813" spans="3:3" x14ac:dyDescent="0.25">
      <c r="C813" s="42"/>
    </row>
    <row r="814" spans="3:3" x14ac:dyDescent="0.25">
      <c r="C814" s="42"/>
    </row>
    <row r="815" spans="3:3" x14ac:dyDescent="0.25">
      <c r="C815" s="42"/>
    </row>
    <row r="816" spans="3:3" x14ac:dyDescent="0.25">
      <c r="C816" s="42"/>
    </row>
    <row r="817" spans="3:3" x14ac:dyDescent="0.25">
      <c r="C817" s="42"/>
    </row>
    <row r="818" spans="3:3" x14ac:dyDescent="0.25">
      <c r="C818" s="42"/>
    </row>
    <row r="819" spans="3:3" x14ac:dyDescent="0.25">
      <c r="C819" s="42"/>
    </row>
    <row r="820" spans="3:3" x14ac:dyDescent="0.25">
      <c r="C820" s="42"/>
    </row>
    <row r="821" spans="3:3" x14ac:dyDescent="0.25">
      <c r="C821" s="42"/>
    </row>
    <row r="822" spans="3:3" x14ac:dyDescent="0.25">
      <c r="C822" s="42"/>
    </row>
    <row r="823" spans="3:3" x14ac:dyDescent="0.25">
      <c r="C823" s="42"/>
    </row>
    <row r="824" spans="3:3" x14ac:dyDescent="0.25">
      <c r="C824" s="42"/>
    </row>
    <row r="825" spans="3:3" x14ac:dyDescent="0.25">
      <c r="C825" s="42"/>
    </row>
    <row r="826" spans="3:3" x14ac:dyDescent="0.25">
      <c r="C826" s="42"/>
    </row>
    <row r="827" spans="3:3" x14ac:dyDescent="0.25">
      <c r="C827" s="42"/>
    </row>
    <row r="828" spans="3:3" x14ac:dyDescent="0.25">
      <c r="C828" s="42"/>
    </row>
    <row r="829" spans="3:3" x14ac:dyDescent="0.25">
      <c r="C829" s="42"/>
    </row>
    <row r="830" spans="3:3" x14ac:dyDescent="0.25">
      <c r="C830" s="42"/>
    </row>
    <row r="831" spans="3:3" x14ac:dyDescent="0.25">
      <c r="C831" s="42"/>
    </row>
    <row r="832" spans="3:3" x14ac:dyDescent="0.25">
      <c r="C832" s="42"/>
    </row>
    <row r="833" spans="3:3" x14ac:dyDescent="0.25">
      <c r="C833" s="42"/>
    </row>
    <row r="834" spans="3:3" x14ac:dyDescent="0.25">
      <c r="C834" s="42"/>
    </row>
    <row r="835" spans="3:3" x14ac:dyDescent="0.25">
      <c r="C835" s="42"/>
    </row>
    <row r="836" spans="3:3" x14ac:dyDescent="0.25">
      <c r="C836" s="42"/>
    </row>
    <row r="837" spans="3:3" x14ac:dyDescent="0.25">
      <c r="C837" s="42"/>
    </row>
    <row r="838" spans="3:3" x14ac:dyDescent="0.25">
      <c r="C838" s="42"/>
    </row>
    <row r="839" spans="3:3" x14ac:dyDescent="0.25">
      <c r="C839" s="42"/>
    </row>
    <row r="840" spans="3:3" x14ac:dyDescent="0.25">
      <c r="C840" s="42"/>
    </row>
    <row r="841" spans="3:3" x14ac:dyDescent="0.25">
      <c r="C841" s="42"/>
    </row>
    <row r="842" spans="3:3" x14ac:dyDescent="0.25">
      <c r="C842" s="42"/>
    </row>
    <row r="843" spans="3:3" x14ac:dyDescent="0.25">
      <c r="C843" s="42"/>
    </row>
    <row r="844" spans="3:3" x14ac:dyDescent="0.25">
      <c r="C844" s="42"/>
    </row>
    <row r="845" spans="3:3" x14ac:dyDescent="0.25">
      <c r="C845" s="42"/>
    </row>
    <row r="846" spans="3:3" x14ac:dyDescent="0.25">
      <c r="C846" s="42"/>
    </row>
    <row r="847" spans="3:3" x14ac:dyDescent="0.25">
      <c r="C847" s="42"/>
    </row>
    <row r="848" spans="3:3" x14ac:dyDescent="0.25">
      <c r="C848" s="42"/>
    </row>
    <row r="849" spans="3:3" x14ac:dyDescent="0.25">
      <c r="C849" s="42"/>
    </row>
    <row r="850" spans="3:3" x14ac:dyDescent="0.25">
      <c r="C850" s="42"/>
    </row>
    <row r="851" spans="3:3" x14ac:dyDescent="0.25">
      <c r="C851" s="42"/>
    </row>
    <row r="852" spans="3:3" x14ac:dyDescent="0.25">
      <c r="C852" s="42"/>
    </row>
    <row r="853" spans="3:3" x14ac:dyDescent="0.25">
      <c r="C853" s="42"/>
    </row>
    <row r="854" spans="3:3" x14ac:dyDescent="0.25">
      <c r="C854" s="42"/>
    </row>
    <row r="855" spans="3:3" x14ac:dyDescent="0.25">
      <c r="C855" s="42"/>
    </row>
    <row r="856" spans="3:3" x14ac:dyDescent="0.25">
      <c r="C856" s="42"/>
    </row>
    <row r="857" spans="3:3" x14ac:dyDescent="0.25">
      <c r="C857" s="42"/>
    </row>
    <row r="858" spans="3:3" x14ac:dyDescent="0.25">
      <c r="C858" s="42"/>
    </row>
    <row r="859" spans="3:3" x14ac:dyDescent="0.25">
      <c r="C859" s="42"/>
    </row>
    <row r="860" spans="3:3" x14ac:dyDescent="0.25">
      <c r="C860" s="42"/>
    </row>
    <row r="861" spans="3:3" x14ac:dyDescent="0.25">
      <c r="C861" s="42"/>
    </row>
    <row r="862" spans="3:3" x14ac:dyDescent="0.25">
      <c r="C862" s="42"/>
    </row>
    <row r="863" spans="3:3" x14ac:dyDescent="0.25">
      <c r="C863" s="42"/>
    </row>
    <row r="864" spans="3:3" x14ac:dyDescent="0.25">
      <c r="C864" s="42"/>
    </row>
    <row r="865" spans="3:3" x14ac:dyDescent="0.25">
      <c r="C865" s="42"/>
    </row>
    <row r="866" spans="3:3" x14ac:dyDescent="0.25">
      <c r="C866" s="42"/>
    </row>
    <row r="867" spans="3:3" x14ac:dyDescent="0.25">
      <c r="C867" s="42"/>
    </row>
    <row r="868" spans="3:3" x14ac:dyDescent="0.25">
      <c r="C868" s="42"/>
    </row>
    <row r="869" spans="3:3" x14ac:dyDescent="0.25">
      <c r="C869" s="42"/>
    </row>
    <row r="870" spans="3:3" x14ac:dyDescent="0.25">
      <c r="C870" s="42"/>
    </row>
    <row r="871" spans="3:3" x14ac:dyDescent="0.25">
      <c r="C871" s="42"/>
    </row>
    <row r="872" spans="3:3" x14ac:dyDescent="0.25">
      <c r="C872" s="42"/>
    </row>
    <row r="873" spans="3:3" x14ac:dyDescent="0.25">
      <c r="C873" s="42"/>
    </row>
    <row r="874" spans="3:3" x14ac:dyDescent="0.25">
      <c r="C874" s="42"/>
    </row>
    <row r="875" spans="3:3" x14ac:dyDescent="0.25">
      <c r="C875" s="42"/>
    </row>
    <row r="876" spans="3:3" x14ac:dyDescent="0.25">
      <c r="C876" s="42"/>
    </row>
    <row r="877" spans="3:3" x14ac:dyDescent="0.25">
      <c r="C877" s="42"/>
    </row>
    <row r="878" spans="3:3" x14ac:dyDescent="0.25">
      <c r="C878" s="42"/>
    </row>
    <row r="879" spans="3:3" x14ac:dyDescent="0.25">
      <c r="C879" s="42"/>
    </row>
    <row r="880" spans="3:3" x14ac:dyDescent="0.25">
      <c r="C880" s="42"/>
    </row>
    <row r="881" spans="3:3" x14ac:dyDescent="0.25">
      <c r="C881" s="42"/>
    </row>
    <row r="882" spans="3:3" x14ac:dyDescent="0.25">
      <c r="C882" s="42"/>
    </row>
    <row r="883" spans="3:3" x14ac:dyDescent="0.25">
      <c r="C883" s="42"/>
    </row>
    <row r="884" spans="3:3" x14ac:dyDescent="0.25">
      <c r="C884" s="42"/>
    </row>
    <row r="885" spans="3:3" x14ac:dyDescent="0.25">
      <c r="C885" s="42"/>
    </row>
    <row r="886" spans="3:3" x14ac:dyDescent="0.25">
      <c r="C886" s="42"/>
    </row>
    <row r="887" spans="3:3" x14ac:dyDescent="0.25">
      <c r="C887" s="42"/>
    </row>
    <row r="888" spans="3:3" x14ac:dyDescent="0.25">
      <c r="C888" s="42"/>
    </row>
    <row r="889" spans="3:3" x14ac:dyDescent="0.25">
      <c r="C889" s="42"/>
    </row>
    <row r="890" spans="3:3" x14ac:dyDescent="0.25">
      <c r="C890" s="42"/>
    </row>
    <row r="891" spans="3:3" x14ac:dyDescent="0.25">
      <c r="C891" s="42"/>
    </row>
    <row r="892" spans="3:3" x14ac:dyDescent="0.25">
      <c r="C892" s="42"/>
    </row>
    <row r="893" spans="3:3" x14ac:dyDescent="0.25">
      <c r="C893" s="42"/>
    </row>
    <row r="894" spans="3:3" x14ac:dyDescent="0.25">
      <c r="C894" s="42"/>
    </row>
    <row r="895" spans="3:3" x14ac:dyDescent="0.25">
      <c r="C895" s="42"/>
    </row>
    <row r="896" spans="3:3" x14ac:dyDescent="0.25">
      <c r="C896" s="42"/>
    </row>
    <row r="897" spans="3:3" x14ac:dyDescent="0.25">
      <c r="C897" s="42"/>
    </row>
    <row r="898" spans="3:3" x14ac:dyDescent="0.25">
      <c r="C898" s="42"/>
    </row>
    <row r="899" spans="3:3" x14ac:dyDescent="0.25">
      <c r="C899" s="42"/>
    </row>
    <row r="900" spans="3:3" x14ac:dyDescent="0.25">
      <c r="C900" s="42"/>
    </row>
    <row r="901" spans="3:3" x14ac:dyDescent="0.25">
      <c r="C901" s="42"/>
    </row>
    <row r="902" spans="3:3" x14ac:dyDescent="0.25">
      <c r="C902" s="42"/>
    </row>
    <row r="903" spans="3:3" x14ac:dyDescent="0.25">
      <c r="C903" s="42"/>
    </row>
    <row r="904" spans="3:3" x14ac:dyDescent="0.25">
      <c r="C904" s="42"/>
    </row>
    <row r="905" spans="3:3" x14ac:dyDescent="0.25">
      <c r="C905" s="42"/>
    </row>
    <row r="906" spans="3:3" x14ac:dyDescent="0.25">
      <c r="C906" s="42"/>
    </row>
    <row r="907" spans="3:3" x14ac:dyDescent="0.25">
      <c r="C907" s="42"/>
    </row>
    <row r="908" spans="3:3" x14ac:dyDescent="0.25">
      <c r="C908" s="42"/>
    </row>
    <row r="909" spans="3:3" x14ac:dyDescent="0.25">
      <c r="C909" s="42"/>
    </row>
    <row r="910" spans="3:3" x14ac:dyDescent="0.25">
      <c r="C910" s="42"/>
    </row>
    <row r="911" spans="3:3" x14ac:dyDescent="0.25">
      <c r="C911" s="42"/>
    </row>
    <row r="912" spans="3:3" x14ac:dyDescent="0.25">
      <c r="C912" s="42"/>
    </row>
    <row r="913" spans="3:3" x14ac:dyDescent="0.25">
      <c r="C913" s="42"/>
    </row>
    <row r="914" spans="3:3" x14ac:dyDescent="0.25">
      <c r="C914" s="42"/>
    </row>
    <row r="915" spans="3:3" x14ac:dyDescent="0.25">
      <c r="C915" s="42"/>
    </row>
    <row r="916" spans="3:3" x14ac:dyDescent="0.25">
      <c r="C916" s="42"/>
    </row>
    <row r="917" spans="3:3" x14ac:dyDescent="0.25">
      <c r="C917" s="42"/>
    </row>
    <row r="918" spans="3:3" x14ac:dyDescent="0.25">
      <c r="C918" s="42"/>
    </row>
    <row r="919" spans="3:3" x14ac:dyDescent="0.25">
      <c r="C919" s="42"/>
    </row>
    <row r="920" spans="3:3" x14ac:dyDescent="0.25">
      <c r="C920" s="42"/>
    </row>
    <row r="921" spans="3:3" x14ac:dyDescent="0.25">
      <c r="C921" s="42"/>
    </row>
    <row r="922" spans="3:3" x14ac:dyDescent="0.25">
      <c r="C922" s="42"/>
    </row>
    <row r="923" spans="3:3" x14ac:dyDescent="0.25">
      <c r="C923" s="42"/>
    </row>
    <row r="924" spans="3:3" x14ac:dyDescent="0.25">
      <c r="C924" s="42"/>
    </row>
    <row r="925" spans="3:3" x14ac:dyDescent="0.25">
      <c r="C925" s="42"/>
    </row>
    <row r="926" spans="3:3" x14ac:dyDescent="0.25">
      <c r="C926" s="42"/>
    </row>
    <row r="927" spans="3:3" x14ac:dyDescent="0.25">
      <c r="C927" s="42"/>
    </row>
    <row r="928" spans="3:3" x14ac:dyDescent="0.25">
      <c r="C928" s="42"/>
    </row>
    <row r="929" spans="3:3" x14ac:dyDescent="0.25">
      <c r="C929" s="42"/>
    </row>
    <row r="930" spans="3:3" x14ac:dyDescent="0.25">
      <c r="C930" s="42"/>
    </row>
    <row r="931" spans="3:3" x14ac:dyDescent="0.25">
      <c r="C931" s="42"/>
    </row>
    <row r="932" spans="3:3" x14ac:dyDescent="0.25">
      <c r="C932" s="42"/>
    </row>
    <row r="933" spans="3:3" x14ac:dyDescent="0.25">
      <c r="C933" s="42"/>
    </row>
    <row r="934" spans="3:3" x14ac:dyDescent="0.25">
      <c r="C934" s="42"/>
    </row>
    <row r="935" spans="3:3" x14ac:dyDescent="0.25">
      <c r="C935" s="42"/>
    </row>
    <row r="936" spans="3:3" x14ac:dyDescent="0.25">
      <c r="C936" s="42"/>
    </row>
    <row r="937" spans="3:3" x14ac:dyDescent="0.25">
      <c r="C937" s="42"/>
    </row>
    <row r="938" spans="3:3" x14ac:dyDescent="0.25">
      <c r="C938" s="42"/>
    </row>
    <row r="939" spans="3:3" x14ac:dyDescent="0.25">
      <c r="C939" s="42"/>
    </row>
    <row r="940" spans="3:3" x14ac:dyDescent="0.25">
      <c r="C940" s="42"/>
    </row>
    <row r="941" spans="3:3" x14ac:dyDescent="0.25">
      <c r="C941" s="42"/>
    </row>
    <row r="942" spans="3:3" x14ac:dyDescent="0.25">
      <c r="C942" s="42"/>
    </row>
    <row r="943" spans="3:3" x14ac:dyDescent="0.25">
      <c r="C943" s="42"/>
    </row>
    <row r="944" spans="3:3" x14ac:dyDescent="0.25">
      <c r="C944" s="42"/>
    </row>
    <row r="945" spans="3:3" x14ac:dyDescent="0.25">
      <c r="C945" s="42"/>
    </row>
    <row r="946" spans="3:3" x14ac:dyDescent="0.25">
      <c r="C946" s="42"/>
    </row>
    <row r="947" spans="3:3" x14ac:dyDescent="0.25">
      <c r="C947" s="42"/>
    </row>
    <row r="948" spans="3:3" x14ac:dyDescent="0.25">
      <c r="C948" s="42"/>
    </row>
    <row r="949" spans="3:3" x14ac:dyDescent="0.25">
      <c r="C949" s="42"/>
    </row>
    <row r="950" spans="3:3" x14ac:dyDescent="0.25">
      <c r="C950" s="42"/>
    </row>
    <row r="951" spans="3:3" x14ac:dyDescent="0.25">
      <c r="C951" s="42"/>
    </row>
    <row r="952" spans="3:3" x14ac:dyDescent="0.25">
      <c r="C952" s="42"/>
    </row>
    <row r="953" spans="3:3" x14ac:dyDescent="0.25">
      <c r="C953" s="42"/>
    </row>
    <row r="954" spans="3:3" x14ac:dyDescent="0.25">
      <c r="C954" s="42"/>
    </row>
    <row r="955" spans="3:3" x14ac:dyDescent="0.25">
      <c r="C955" s="42"/>
    </row>
    <row r="956" spans="3:3" x14ac:dyDescent="0.25">
      <c r="C956" s="42"/>
    </row>
    <row r="957" spans="3:3" x14ac:dyDescent="0.25">
      <c r="C957" s="42"/>
    </row>
    <row r="958" spans="3:3" x14ac:dyDescent="0.25">
      <c r="C958" s="42"/>
    </row>
    <row r="959" spans="3:3" x14ac:dyDescent="0.25">
      <c r="C959" s="42"/>
    </row>
    <row r="960" spans="3:3" x14ac:dyDescent="0.25">
      <c r="C960" s="42"/>
    </row>
    <row r="961" spans="3:3" x14ac:dyDescent="0.25">
      <c r="C961" s="42"/>
    </row>
    <row r="962" spans="3:3" x14ac:dyDescent="0.25">
      <c r="C962" s="42"/>
    </row>
    <row r="963" spans="3:3" x14ac:dyDescent="0.25">
      <c r="C963" s="42"/>
    </row>
    <row r="964" spans="3:3" x14ac:dyDescent="0.25">
      <c r="C964" s="42"/>
    </row>
    <row r="965" spans="3:3" x14ac:dyDescent="0.25">
      <c r="C965" s="42"/>
    </row>
    <row r="966" spans="3:3" x14ac:dyDescent="0.25">
      <c r="C966" s="42"/>
    </row>
    <row r="967" spans="3:3" x14ac:dyDescent="0.25">
      <c r="C967" s="42"/>
    </row>
    <row r="968" spans="3:3" x14ac:dyDescent="0.25">
      <c r="C968" s="42"/>
    </row>
    <row r="969" spans="3:3" x14ac:dyDescent="0.25">
      <c r="C969" s="42"/>
    </row>
    <row r="970" spans="3:3" x14ac:dyDescent="0.25">
      <c r="C970" s="42"/>
    </row>
    <row r="971" spans="3:3" x14ac:dyDescent="0.25">
      <c r="C971" s="42"/>
    </row>
    <row r="972" spans="3:3" x14ac:dyDescent="0.25">
      <c r="C972" s="42"/>
    </row>
    <row r="973" spans="3:3" x14ac:dyDescent="0.25">
      <c r="C973" s="42"/>
    </row>
    <row r="974" spans="3:3" x14ac:dyDescent="0.25">
      <c r="C974" s="42"/>
    </row>
    <row r="975" spans="3:3" x14ac:dyDescent="0.25">
      <c r="C975" s="42"/>
    </row>
    <row r="976" spans="3:3" x14ac:dyDescent="0.25">
      <c r="C976" s="42"/>
    </row>
    <row r="977" spans="3:3" x14ac:dyDescent="0.25">
      <c r="C977" s="42"/>
    </row>
    <row r="978" spans="3:3" x14ac:dyDescent="0.25">
      <c r="C978" s="42"/>
    </row>
    <row r="979" spans="3:3" x14ac:dyDescent="0.25">
      <c r="C979" s="42"/>
    </row>
    <row r="980" spans="3:3" x14ac:dyDescent="0.25">
      <c r="C980" s="42"/>
    </row>
    <row r="981" spans="3:3" x14ac:dyDescent="0.25">
      <c r="C981" s="42"/>
    </row>
    <row r="982" spans="3:3" x14ac:dyDescent="0.25">
      <c r="C982" s="42"/>
    </row>
    <row r="983" spans="3:3" x14ac:dyDescent="0.25">
      <c r="C983" s="42"/>
    </row>
    <row r="984" spans="3:3" x14ac:dyDescent="0.25">
      <c r="C984" s="42"/>
    </row>
    <row r="985" spans="3:3" x14ac:dyDescent="0.25">
      <c r="C985" s="42"/>
    </row>
    <row r="986" spans="3:3" x14ac:dyDescent="0.25">
      <c r="C986" s="42"/>
    </row>
    <row r="987" spans="3:3" x14ac:dyDescent="0.25">
      <c r="C987" s="42"/>
    </row>
    <row r="988" spans="3:3" x14ac:dyDescent="0.25">
      <c r="C988" s="42"/>
    </row>
    <row r="989" spans="3:3" x14ac:dyDescent="0.25">
      <c r="C989" s="42"/>
    </row>
    <row r="990" spans="3:3" x14ac:dyDescent="0.25">
      <c r="C990" s="42"/>
    </row>
    <row r="991" spans="3:3" x14ac:dyDescent="0.25">
      <c r="C991" s="42"/>
    </row>
    <row r="992" spans="3:3" x14ac:dyDescent="0.25">
      <c r="C992" s="42"/>
    </row>
    <row r="993" spans="3:3" x14ac:dyDescent="0.25">
      <c r="C993" s="42"/>
    </row>
    <row r="994" spans="3:3" x14ac:dyDescent="0.25">
      <c r="C994" s="42"/>
    </row>
    <row r="995" spans="3:3" x14ac:dyDescent="0.25">
      <c r="C995" s="42"/>
    </row>
    <row r="996" spans="3:3" x14ac:dyDescent="0.25">
      <c r="C996" s="42"/>
    </row>
    <row r="997" spans="3:3" x14ac:dyDescent="0.25">
      <c r="C997" s="42"/>
    </row>
    <row r="998" spans="3:3" x14ac:dyDescent="0.25">
      <c r="C998" s="42"/>
    </row>
    <row r="999" spans="3:3" x14ac:dyDescent="0.25">
      <c r="C999" s="42"/>
    </row>
    <row r="1000" spans="3:3" x14ac:dyDescent="0.25">
      <c r="C1000" s="42"/>
    </row>
    <row r="1001" spans="3:3" x14ac:dyDescent="0.25">
      <c r="C1001" s="42"/>
    </row>
    <row r="1002" spans="3:3" x14ac:dyDescent="0.25">
      <c r="C1002" s="42"/>
    </row>
    <row r="1003" spans="3:3" x14ac:dyDescent="0.25">
      <c r="C1003" s="42"/>
    </row>
    <row r="1004" spans="3:3" x14ac:dyDescent="0.25">
      <c r="C1004" s="42"/>
    </row>
    <row r="1005" spans="3:3" x14ac:dyDescent="0.25">
      <c r="C1005" s="42"/>
    </row>
    <row r="1006" spans="3:3" x14ac:dyDescent="0.25">
      <c r="C1006" s="42"/>
    </row>
    <row r="1007" spans="3:3" x14ac:dyDescent="0.25">
      <c r="C1007" s="42"/>
    </row>
    <row r="1008" spans="3:3" x14ac:dyDescent="0.25">
      <c r="C1008" s="42"/>
    </row>
    <row r="1009" spans="3:3" x14ac:dyDescent="0.25">
      <c r="C1009" s="42"/>
    </row>
    <row r="1010" spans="3:3" x14ac:dyDescent="0.25">
      <c r="C1010" s="42"/>
    </row>
    <row r="1011" spans="3:3" x14ac:dyDescent="0.25">
      <c r="C1011" s="42"/>
    </row>
    <row r="1012" spans="3:3" x14ac:dyDescent="0.25">
      <c r="C1012" s="42"/>
    </row>
    <row r="1013" spans="3:3" x14ac:dyDescent="0.25">
      <c r="C1013" s="42"/>
    </row>
    <row r="1014" spans="3:3" x14ac:dyDescent="0.25">
      <c r="C1014" s="42"/>
    </row>
    <row r="1015" spans="3:3" x14ac:dyDescent="0.25">
      <c r="C1015" s="42"/>
    </row>
    <row r="1016" spans="3:3" x14ac:dyDescent="0.25">
      <c r="C1016" s="42"/>
    </row>
    <row r="1017" spans="3:3" x14ac:dyDescent="0.25">
      <c r="C1017" s="42"/>
    </row>
    <row r="1018" spans="3:3" x14ac:dyDescent="0.25">
      <c r="C1018" s="42"/>
    </row>
    <row r="1019" spans="3:3" x14ac:dyDescent="0.25">
      <c r="C1019" s="42"/>
    </row>
    <row r="1020" spans="3:3" x14ac:dyDescent="0.25">
      <c r="C1020" s="42"/>
    </row>
    <row r="1021" spans="3:3" x14ac:dyDescent="0.25">
      <c r="C1021" s="42"/>
    </row>
    <row r="1022" spans="3:3" x14ac:dyDescent="0.25">
      <c r="C1022" s="42"/>
    </row>
    <row r="1023" spans="3:3" x14ac:dyDescent="0.25">
      <c r="C1023" s="42"/>
    </row>
    <row r="1024" spans="3:3" x14ac:dyDescent="0.25">
      <c r="C1024" s="42"/>
    </row>
    <row r="1025" spans="3:3" x14ac:dyDescent="0.25">
      <c r="C1025" s="42"/>
    </row>
    <row r="1026" spans="3:3" x14ac:dyDescent="0.25">
      <c r="C1026" s="42"/>
    </row>
    <row r="1027" spans="3:3" x14ac:dyDescent="0.25">
      <c r="C1027" s="42"/>
    </row>
    <row r="1028" spans="3:3" x14ac:dyDescent="0.25">
      <c r="C1028" s="42"/>
    </row>
    <row r="1029" spans="3:3" x14ac:dyDescent="0.25">
      <c r="C1029" s="42"/>
    </row>
    <row r="1030" spans="3:3" x14ac:dyDescent="0.25">
      <c r="C1030" s="42"/>
    </row>
    <row r="1031" spans="3:3" x14ac:dyDescent="0.25">
      <c r="C1031" s="42"/>
    </row>
    <row r="1032" spans="3:3" x14ac:dyDescent="0.25">
      <c r="C1032" s="42"/>
    </row>
    <row r="1033" spans="3:3" x14ac:dyDescent="0.25">
      <c r="C1033" s="42"/>
    </row>
    <row r="1034" spans="3:3" x14ac:dyDescent="0.25">
      <c r="C1034" s="42"/>
    </row>
    <row r="1035" spans="3:3" x14ac:dyDescent="0.25">
      <c r="C1035" s="42"/>
    </row>
    <row r="1036" spans="3:3" x14ac:dyDescent="0.25">
      <c r="C1036" s="42"/>
    </row>
    <row r="1037" spans="3:3" x14ac:dyDescent="0.25">
      <c r="C1037" s="42"/>
    </row>
    <row r="1038" spans="3:3" x14ac:dyDescent="0.25">
      <c r="C1038" s="42"/>
    </row>
    <row r="1039" spans="3:3" x14ac:dyDescent="0.25">
      <c r="C1039" s="42"/>
    </row>
    <row r="1040" spans="3:3" x14ac:dyDescent="0.25">
      <c r="C1040" s="42"/>
    </row>
    <row r="1041" spans="3:3" x14ac:dyDescent="0.25">
      <c r="C1041" s="42"/>
    </row>
    <row r="1042" spans="3:3" x14ac:dyDescent="0.25">
      <c r="C1042" s="42"/>
    </row>
    <row r="1043" spans="3:3" x14ac:dyDescent="0.25">
      <c r="C1043" s="42"/>
    </row>
    <row r="1044" spans="3:3" x14ac:dyDescent="0.25">
      <c r="C1044" s="42"/>
    </row>
    <row r="1045" spans="3:3" x14ac:dyDescent="0.25">
      <c r="C1045" s="42"/>
    </row>
    <row r="1046" spans="3:3" x14ac:dyDescent="0.25">
      <c r="C1046" s="42"/>
    </row>
    <row r="1047" spans="3:3" x14ac:dyDescent="0.25">
      <c r="C1047" s="42"/>
    </row>
    <row r="1048" spans="3:3" x14ac:dyDescent="0.25">
      <c r="C1048" s="42"/>
    </row>
    <row r="1049" spans="3:3" x14ac:dyDescent="0.25">
      <c r="C1049" s="42"/>
    </row>
    <row r="1050" spans="3:3" x14ac:dyDescent="0.25">
      <c r="C1050" s="42"/>
    </row>
    <row r="1051" spans="3:3" x14ac:dyDescent="0.25">
      <c r="C1051" s="42"/>
    </row>
    <row r="1052" spans="3:3" x14ac:dyDescent="0.25">
      <c r="C1052" s="42"/>
    </row>
    <row r="1053" spans="3:3" x14ac:dyDescent="0.25">
      <c r="C1053" s="42"/>
    </row>
    <row r="1054" spans="3:3" x14ac:dyDescent="0.25">
      <c r="C1054" s="42"/>
    </row>
    <row r="1055" spans="3:3" x14ac:dyDescent="0.25">
      <c r="C1055" s="42"/>
    </row>
    <row r="1056" spans="3:3" x14ac:dyDescent="0.25">
      <c r="C1056" s="42"/>
    </row>
    <row r="1057" spans="3:3" x14ac:dyDescent="0.25">
      <c r="C1057" s="42"/>
    </row>
    <row r="1058" spans="3:3" x14ac:dyDescent="0.25">
      <c r="C1058" s="42"/>
    </row>
    <row r="1059" spans="3:3" x14ac:dyDescent="0.25">
      <c r="C1059" s="42"/>
    </row>
    <row r="1060" spans="3:3" x14ac:dyDescent="0.25">
      <c r="C1060" s="42"/>
    </row>
    <row r="1061" spans="3:3" x14ac:dyDescent="0.25">
      <c r="C1061" s="42"/>
    </row>
    <row r="1062" spans="3:3" x14ac:dyDescent="0.25">
      <c r="C1062" s="42"/>
    </row>
    <row r="1063" spans="3:3" x14ac:dyDescent="0.25">
      <c r="C1063" s="42"/>
    </row>
    <row r="1064" spans="3:3" x14ac:dyDescent="0.25">
      <c r="C1064" s="42"/>
    </row>
    <row r="1065" spans="3:3" x14ac:dyDescent="0.25">
      <c r="C1065" s="42"/>
    </row>
    <row r="1066" spans="3:3" x14ac:dyDescent="0.25">
      <c r="C1066" s="42"/>
    </row>
    <row r="1067" spans="3:3" x14ac:dyDescent="0.25">
      <c r="C1067" s="42"/>
    </row>
    <row r="1068" spans="3:3" x14ac:dyDescent="0.25">
      <c r="C1068" s="42"/>
    </row>
    <row r="1069" spans="3:3" x14ac:dyDescent="0.25">
      <c r="C1069" s="42"/>
    </row>
    <row r="1070" spans="3:3" x14ac:dyDescent="0.25">
      <c r="C1070" s="42"/>
    </row>
    <row r="1071" spans="3:3" x14ac:dyDescent="0.25">
      <c r="C1071" s="42"/>
    </row>
    <row r="1072" spans="3:3" x14ac:dyDescent="0.25">
      <c r="C1072" s="42"/>
    </row>
    <row r="1073" spans="3:3" x14ac:dyDescent="0.25">
      <c r="C1073" s="42"/>
    </row>
    <row r="1074" spans="3:3" x14ac:dyDescent="0.25">
      <c r="C1074" s="42"/>
    </row>
    <row r="1075" spans="3:3" x14ac:dyDescent="0.25">
      <c r="C1075" s="42"/>
    </row>
    <row r="1076" spans="3:3" x14ac:dyDescent="0.25">
      <c r="C1076" s="42"/>
    </row>
    <row r="1077" spans="3:3" x14ac:dyDescent="0.25">
      <c r="C1077" s="42"/>
    </row>
    <row r="1078" spans="3:3" x14ac:dyDescent="0.25">
      <c r="C1078" s="42"/>
    </row>
    <row r="1079" spans="3:3" x14ac:dyDescent="0.25">
      <c r="C1079" s="42"/>
    </row>
    <row r="1080" spans="3:3" x14ac:dyDescent="0.25">
      <c r="C1080" s="42"/>
    </row>
    <row r="1081" spans="3:3" x14ac:dyDescent="0.25">
      <c r="C1081" s="42"/>
    </row>
    <row r="1082" spans="3:3" x14ac:dyDescent="0.25">
      <c r="C1082" s="42"/>
    </row>
    <row r="1083" spans="3:3" x14ac:dyDescent="0.25">
      <c r="C1083" s="42"/>
    </row>
    <row r="1084" spans="3:3" x14ac:dyDescent="0.25">
      <c r="C1084" s="42"/>
    </row>
    <row r="1085" spans="3:3" x14ac:dyDescent="0.25">
      <c r="C1085" s="42"/>
    </row>
    <row r="1086" spans="3:3" x14ac:dyDescent="0.25">
      <c r="C1086" s="42"/>
    </row>
    <row r="1087" spans="3:3" x14ac:dyDescent="0.25">
      <c r="C1087" s="42"/>
    </row>
    <row r="1088" spans="3:3" x14ac:dyDescent="0.25">
      <c r="C1088" s="42"/>
    </row>
    <row r="1089" spans="3:3" x14ac:dyDescent="0.25">
      <c r="C1089" s="42"/>
    </row>
    <row r="1090" spans="3:3" x14ac:dyDescent="0.25">
      <c r="C1090" s="42"/>
    </row>
    <row r="1091" spans="3:3" x14ac:dyDescent="0.25">
      <c r="C1091" s="42"/>
    </row>
    <row r="1092" spans="3:3" x14ac:dyDescent="0.25">
      <c r="C1092" s="42"/>
    </row>
    <row r="1093" spans="3:3" x14ac:dyDescent="0.25">
      <c r="C1093" s="42"/>
    </row>
    <row r="1094" spans="3:3" x14ac:dyDescent="0.25">
      <c r="C1094" s="42"/>
    </row>
    <row r="1095" spans="3:3" x14ac:dyDescent="0.25">
      <c r="C1095" s="42"/>
    </row>
    <row r="1096" spans="3:3" x14ac:dyDescent="0.25">
      <c r="C1096" s="42"/>
    </row>
    <row r="1097" spans="3:3" x14ac:dyDescent="0.25">
      <c r="C1097" s="42"/>
    </row>
    <row r="1098" spans="3:3" x14ac:dyDescent="0.25">
      <c r="C1098" s="42"/>
    </row>
    <row r="1099" spans="3:3" x14ac:dyDescent="0.25">
      <c r="C1099" s="42"/>
    </row>
    <row r="1100" spans="3:3" x14ac:dyDescent="0.25">
      <c r="C1100" s="42"/>
    </row>
    <row r="1101" spans="3:3" x14ac:dyDescent="0.25">
      <c r="C1101" s="42"/>
    </row>
    <row r="1102" spans="3:3" x14ac:dyDescent="0.25">
      <c r="C1102" s="42"/>
    </row>
    <row r="1103" spans="3:3" x14ac:dyDescent="0.25">
      <c r="C1103" s="42"/>
    </row>
    <row r="1104" spans="3:3" x14ac:dyDescent="0.25">
      <c r="C1104" s="42"/>
    </row>
    <row r="1105" spans="3:3" x14ac:dyDescent="0.25">
      <c r="C1105" s="42"/>
    </row>
    <row r="1106" spans="3:3" x14ac:dyDescent="0.25">
      <c r="C1106" s="42"/>
    </row>
    <row r="1107" spans="3:3" x14ac:dyDescent="0.25">
      <c r="C1107" s="42"/>
    </row>
    <row r="1108" spans="3:3" x14ac:dyDescent="0.25">
      <c r="C1108" s="42"/>
    </row>
    <row r="1109" spans="3:3" x14ac:dyDescent="0.25">
      <c r="C1109" s="42"/>
    </row>
    <row r="1110" spans="3:3" x14ac:dyDescent="0.25">
      <c r="C1110" s="42"/>
    </row>
    <row r="1111" spans="3:3" x14ac:dyDescent="0.25">
      <c r="C1111" s="42"/>
    </row>
    <row r="1112" spans="3:3" x14ac:dyDescent="0.25">
      <c r="C1112" s="42"/>
    </row>
    <row r="1113" spans="3:3" x14ac:dyDescent="0.25">
      <c r="C1113" s="42"/>
    </row>
    <row r="1114" spans="3:3" x14ac:dyDescent="0.25">
      <c r="C1114" s="42"/>
    </row>
    <row r="1115" spans="3:3" x14ac:dyDescent="0.25">
      <c r="C1115" s="42"/>
    </row>
    <row r="1116" spans="3:3" x14ac:dyDescent="0.25">
      <c r="C1116" s="42"/>
    </row>
    <row r="1117" spans="3:3" x14ac:dyDescent="0.25">
      <c r="C1117" s="42"/>
    </row>
    <row r="1118" spans="3:3" x14ac:dyDescent="0.25">
      <c r="C1118" s="42"/>
    </row>
    <row r="1119" spans="3:3" x14ac:dyDescent="0.25">
      <c r="C1119" s="42"/>
    </row>
    <row r="1120" spans="3:3" x14ac:dyDescent="0.25">
      <c r="C1120" s="42"/>
    </row>
    <row r="1121" spans="3:3" x14ac:dyDescent="0.25">
      <c r="C1121" s="42"/>
    </row>
    <row r="1122" spans="3:3" x14ac:dyDescent="0.25">
      <c r="C1122" s="42"/>
    </row>
    <row r="1123" spans="3:3" x14ac:dyDescent="0.25">
      <c r="C1123" s="42"/>
    </row>
    <row r="1124" spans="3:3" x14ac:dyDescent="0.25">
      <c r="C1124" s="42"/>
    </row>
    <row r="1125" spans="3:3" x14ac:dyDescent="0.25">
      <c r="C1125" s="42"/>
    </row>
    <row r="1126" spans="3:3" x14ac:dyDescent="0.25">
      <c r="C1126" s="42"/>
    </row>
    <row r="1127" spans="3:3" x14ac:dyDescent="0.25">
      <c r="C1127" s="42"/>
    </row>
    <row r="1128" spans="3:3" x14ac:dyDescent="0.25">
      <c r="C1128" s="42"/>
    </row>
    <row r="1129" spans="3:3" x14ac:dyDescent="0.25">
      <c r="C1129" s="42"/>
    </row>
    <row r="1130" spans="3:3" x14ac:dyDescent="0.25">
      <c r="C1130" s="42"/>
    </row>
    <row r="1131" spans="3:3" x14ac:dyDescent="0.25">
      <c r="C1131" s="42"/>
    </row>
    <row r="1132" spans="3:3" x14ac:dyDescent="0.25">
      <c r="C1132" s="42"/>
    </row>
    <row r="1133" spans="3:3" x14ac:dyDescent="0.25">
      <c r="C1133" s="42"/>
    </row>
    <row r="1134" spans="3:3" x14ac:dyDescent="0.25">
      <c r="C1134" s="42"/>
    </row>
    <row r="1135" spans="3:3" x14ac:dyDescent="0.25">
      <c r="C1135" s="42"/>
    </row>
    <row r="1136" spans="3:3" x14ac:dyDescent="0.25">
      <c r="C1136" s="42"/>
    </row>
    <row r="1137" spans="3:3" x14ac:dyDescent="0.25">
      <c r="C1137" s="42"/>
    </row>
    <row r="1138" spans="3:3" x14ac:dyDescent="0.25">
      <c r="C1138" s="42"/>
    </row>
    <row r="1139" spans="3:3" x14ac:dyDescent="0.25">
      <c r="C1139" s="42"/>
    </row>
    <row r="1140" spans="3:3" x14ac:dyDescent="0.25">
      <c r="C1140" s="42"/>
    </row>
    <row r="1141" spans="3:3" x14ac:dyDescent="0.25">
      <c r="C1141" s="42"/>
    </row>
    <row r="1142" spans="3:3" x14ac:dyDescent="0.25">
      <c r="C1142" s="42"/>
    </row>
    <row r="1143" spans="3:3" x14ac:dyDescent="0.25">
      <c r="C1143" s="42"/>
    </row>
    <row r="1144" spans="3:3" x14ac:dyDescent="0.25">
      <c r="C1144" s="42"/>
    </row>
    <row r="1145" spans="3:3" x14ac:dyDescent="0.25">
      <c r="C1145" s="42"/>
    </row>
    <row r="1146" spans="3:3" x14ac:dyDescent="0.25">
      <c r="C1146" s="42"/>
    </row>
    <row r="1147" spans="3:3" x14ac:dyDescent="0.25">
      <c r="C1147" s="42"/>
    </row>
    <row r="1148" spans="3:3" x14ac:dyDescent="0.25">
      <c r="C1148" s="42"/>
    </row>
    <row r="1149" spans="3:3" x14ac:dyDescent="0.25">
      <c r="C1149" s="42"/>
    </row>
    <row r="1150" spans="3:3" x14ac:dyDescent="0.25">
      <c r="C1150" s="42"/>
    </row>
    <row r="1151" spans="3:3" x14ac:dyDescent="0.25">
      <c r="C1151" s="42"/>
    </row>
    <row r="1152" spans="3:3" x14ac:dyDescent="0.25">
      <c r="C1152" s="42"/>
    </row>
    <row r="1153" spans="3:3" x14ac:dyDescent="0.25">
      <c r="C1153" s="42"/>
    </row>
    <row r="1154" spans="3:3" x14ac:dyDescent="0.25">
      <c r="C1154" s="42"/>
    </row>
    <row r="1155" spans="3:3" x14ac:dyDescent="0.25">
      <c r="C1155" s="42"/>
    </row>
    <row r="1156" spans="3:3" x14ac:dyDescent="0.25">
      <c r="C1156" s="42"/>
    </row>
    <row r="1157" spans="3:3" x14ac:dyDescent="0.25">
      <c r="C1157" s="42"/>
    </row>
    <row r="1158" spans="3:3" x14ac:dyDescent="0.25">
      <c r="C1158" s="42"/>
    </row>
    <row r="1159" spans="3:3" x14ac:dyDescent="0.25">
      <c r="C1159" s="42"/>
    </row>
    <row r="1160" spans="3:3" x14ac:dyDescent="0.25">
      <c r="C1160" s="42"/>
    </row>
    <row r="1161" spans="3:3" x14ac:dyDescent="0.25">
      <c r="C1161" s="42"/>
    </row>
    <row r="1162" spans="3:3" x14ac:dyDescent="0.25">
      <c r="C1162" s="42"/>
    </row>
    <row r="1163" spans="3:3" x14ac:dyDescent="0.25">
      <c r="C1163" s="42"/>
    </row>
    <row r="1164" spans="3:3" x14ac:dyDescent="0.25">
      <c r="C1164" s="42"/>
    </row>
    <row r="1165" spans="3:3" x14ac:dyDescent="0.25">
      <c r="C1165" s="42"/>
    </row>
    <row r="1166" spans="3:3" x14ac:dyDescent="0.25">
      <c r="C1166" s="42"/>
    </row>
    <row r="1167" spans="3:3" x14ac:dyDescent="0.25">
      <c r="C1167" s="42"/>
    </row>
    <row r="1168" spans="3:3" x14ac:dyDescent="0.25">
      <c r="C1168" s="42"/>
    </row>
    <row r="1169" spans="3:3" x14ac:dyDescent="0.25">
      <c r="C1169" s="42"/>
    </row>
    <row r="1170" spans="3:3" x14ac:dyDescent="0.25">
      <c r="C1170" s="42"/>
    </row>
    <row r="1171" spans="3:3" x14ac:dyDescent="0.25">
      <c r="C1171" s="42"/>
    </row>
    <row r="1172" spans="3:3" x14ac:dyDescent="0.25">
      <c r="C1172" s="42"/>
    </row>
    <row r="1173" spans="3:3" x14ac:dyDescent="0.25">
      <c r="C1173" s="42"/>
    </row>
    <row r="1174" spans="3:3" x14ac:dyDescent="0.25">
      <c r="C1174" s="42"/>
    </row>
    <row r="1175" spans="3:3" x14ac:dyDescent="0.25">
      <c r="C1175" s="42"/>
    </row>
    <row r="1176" spans="3:3" x14ac:dyDescent="0.25">
      <c r="C1176" s="42"/>
    </row>
    <row r="1177" spans="3:3" x14ac:dyDescent="0.25">
      <c r="C1177" s="42"/>
    </row>
    <row r="1178" spans="3:3" x14ac:dyDescent="0.25">
      <c r="C1178" s="42"/>
    </row>
    <row r="1179" spans="3:3" x14ac:dyDescent="0.25">
      <c r="C1179" s="42"/>
    </row>
    <row r="1180" spans="3:3" x14ac:dyDescent="0.25">
      <c r="C1180" s="42"/>
    </row>
    <row r="1181" spans="3:3" x14ac:dyDescent="0.25">
      <c r="C1181" s="42"/>
    </row>
    <row r="1182" spans="3:3" x14ac:dyDescent="0.25">
      <c r="C1182" s="42"/>
    </row>
    <row r="1183" spans="3:3" x14ac:dyDescent="0.25">
      <c r="C1183" s="42"/>
    </row>
    <row r="1184" spans="3:3" x14ac:dyDescent="0.25">
      <c r="C1184" s="42"/>
    </row>
    <row r="1185" spans="3:3" x14ac:dyDescent="0.25">
      <c r="C1185" s="42"/>
    </row>
    <row r="1186" spans="3:3" x14ac:dyDescent="0.25">
      <c r="C1186" s="42"/>
    </row>
    <row r="1187" spans="3:3" x14ac:dyDescent="0.25">
      <c r="C1187" s="42"/>
    </row>
    <row r="1188" spans="3:3" x14ac:dyDescent="0.25">
      <c r="C1188" s="42"/>
    </row>
    <row r="1189" spans="3:3" x14ac:dyDescent="0.25">
      <c r="C1189" s="42"/>
    </row>
    <row r="1190" spans="3:3" x14ac:dyDescent="0.25">
      <c r="C1190" s="42"/>
    </row>
    <row r="1191" spans="3:3" x14ac:dyDescent="0.25">
      <c r="C1191" s="42"/>
    </row>
    <row r="1192" spans="3:3" x14ac:dyDescent="0.25">
      <c r="C1192" s="42"/>
    </row>
    <row r="1193" spans="3:3" x14ac:dyDescent="0.25">
      <c r="C1193" s="42"/>
    </row>
    <row r="1194" spans="3:3" x14ac:dyDescent="0.25">
      <c r="C1194" s="42"/>
    </row>
    <row r="1195" spans="3:3" x14ac:dyDescent="0.25">
      <c r="C1195" s="42"/>
    </row>
    <row r="1196" spans="3:3" x14ac:dyDescent="0.25">
      <c r="C1196" s="42"/>
    </row>
    <row r="1197" spans="3:3" x14ac:dyDescent="0.25">
      <c r="C1197" s="42"/>
    </row>
    <row r="1198" spans="3:3" x14ac:dyDescent="0.25">
      <c r="C1198" s="42"/>
    </row>
    <row r="1199" spans="3:3" x14ac:dyDescent="0.25">
      <c r="C1199" s="42"/>
    </row>
    <row r="1200" spans="3:3" x14ac:dyDescent="0.25">
      <c r="C1200" s="42"/>
    </row>
    <row r="1201" spans="3:3" x14ac:dyDescent="0.25">
      <c r="C1201" s="42"/>
    </row>
    <row r="1202" spans="3:3" x14ac:dyDescent="0.25">
      <c r="C1202" s="42"/>
    </row>
    <row r="1203" spans="3:3" x14ac:dyDescent="0.25">
      <c r="C1203" s="42"/>
    </row>
    <row r="1204" spans="3:3" x14ac:dyDescent="0.25">
      <c r="C1204" s="42"/>
    </row>
    <row r="1205" spans="3:3" x14ac:dyDescent="0.25">
      <c r="C1205" s="42"/>
    </row>
    <row r="1206" spans="3:3" x14ac:dyDescent="0.25">
      <c r="C1206" s="42"/>
    </row>
    <row r="1207" spans="3:3" x14ac:dyDescent="0.25">
      <c r="C1207" s="42"/>
    </row>
    <row r="1208" spans="3:3" x14ac:dyDescent="0.25">
      <c r="C1208" s="42"/>
    </row>
    <row r="1209" spans="3:3" x14ac:dyDescent="0.25">
      <c r="C1209" s="42"/>
    </row>
    <row r="1210" spans="3:3" x14ac:dyDescent="0.25">
      <c r="C1210" s="42"/>
    </row>
    <row r="1211" spans="3:3" x14ac:dyDescent="0.25">
      <c r="C1211" s="42"/>
    </row>
    <row r="1212" spans="3:3" x14ac:dyDescent="0.25">
      <c r="C1212" s="42"/>
    </row>
    <row r="1213" spans="3:3" x14ac:dyDescent="0.25">
      <c r="C1213" s="42"/>
    </row>
    <row r="1214" spans="3:3" x14ac:dyDescent="0.25">
      <c r="C1214" s="42"/>
    </row>
    <row r="1215" spans="3:3" x14ac:dyDescent="0.25">
      <c r="C1215" s="42"/>
    </row>
    <row r="1216" spans="3:3" x14ac:dyDescent="0.25">
      <c r="C1216" s="42"/>
    </row>
    <row r="1217" spans="3:3" x14ac:dyDescent="0.25">
      <c r="C1217" s="42"/>
    </row>
    <row r="1218" spans="3:3" x14ac:dyDescent="0.25">
      <c r="C1218" s="42"/>
    </row>
    <row r="1219" spans="3:3" x14ac:dyDescent="0.25">
      <c r="C1219" s="42"/>
    </row>
    <row r="1220" spans="3:3" x14ac:dyDescent="0.25">
      <c r="C1220" s="42"/>
    </row>
    <row r="1221" spans="3:3" x14ac:dyDescent="0.25">
      <c r="C1221" s="42"/>
    </row>
    <row r="1222" spans="3:3" x14ac:dyDescent="0.25">
      <c r="C1222" s="42"/>
    </row>
    <row r="1223" spans="3:3" x14ac:dyDescent="0.25">
      <c r="C1223" s="42"/>
    </row>
    <row r="1224" spans="3:3" x14ac:dyDescent="0.25">
      <c r="C1224" s="42"/>
    </row>
    <row r="1225" spans="3:3" x14ac:dyDescent="0.25">
      <c r="C1225" s="42"/>
    </row>
    <row r="1226" spans="3:3" x14ac:dyDescent="0.25">
      <c r="C1226" s="42"/>
    </row>
    <row r="1227" spans="3:3" x14ac:dyDescent="0.25">
      <c r="C1227" s="42"/>
    </row>
    <row r="1228" spans="3:3" x14ac:dyDescent="0.25">
      <c r="C1228" s="42"/>
    </row>
    <row r="1229" spans="3:3" x14ac:dyDescent="0.25">
      <c r="C1229" s="42"/>
    </row>
    <row r="1230" spans="3:3" x14ac:dyDescent="0.25">
      <c r="C1230" s="42"/>
    </row>
    <row r="1231" spans="3:3" x14ac:dyDescent="0.25">
      <c r="C1231" s="42"/>
    </row>
    <row r="1232" spans="3:3" x14ac:dyDescent="0.25">
      <c r="C1232" s="42"/>
    </row>
    <row r="1233" spans="3:3" x14ac:dyDescent="0.25">
      <c r="C1233" s="42"/>
    </row>
    <row r="1234" spans="3:3" x14ac:dyDescent="0.25">
      <c r="C1234" s="42"/>
    </row>
    <row r="1235" spans="3:3" x14ac:dyDescent="0.25">
      <c r="C1235" s="42"/>
    </row>
    <row r="1236" spans="3:3" x14ac:dyDescent="0.25">
      <c r="C1236" s="42"/>
    </row>
    <row r="1237" spans="3:3" x14ac:dyDescent="0.25">
      <c r="C1237" s="42"/>
    </row>
    <row r="1238" spans="3:3" x14ac:dyDescent="0.25">
      <c r="C1238" s="42"/>
    </row>
    <row r="1239" spans="3:3" x14ac:dyDescent="0.25">
      <c r="C1239" s="42"/>
    </row>
    <row r="1240" spans="3:3" x14ac:dyDescent="0.25">
      <c r="C1240" s="42"/>
    </row>
    <row r="1241" spans="3:3" x14ac:dyDescent="0.25">
      <c r="C1241" s="42"/>
    </row>
    <row r="1242" spans="3:3" x14ac:dyDescent="0.25">
      <c r="C1242" s="42"/>
    </row>
    <row r="1243" spans="3:3" x14ac:dyDescent="0.25">
      <c r="C1243" s="42"/>
    </row>
    <row r="1244" spans="3:3" x14ac:dyDescent="0.25">
      <c r="C1244" s="42"/>
    </row>
    <row r="1245" spans="3:3" x14ac:dyDescent="0.25">
      <c r="C1245" s="42"/>
    </row>
    <row r="1246" spans="3:3" x14ac:dyDescent="0.25">
      <c r="C1246" s="42"/>
    </row>
    <row r="1247" spans="3:3" x14ac:dyDescent="0.25">
      <c r="C1247" s="42"/>
    </row>
    <row r="1248" spans="3:3" x14ac:dyDescent="0.25">
      <c r="C1248" s="42"/>
    </row>
    <row r="1249" spans="3:3" x14ac:dyDescent="0.25">
      <c r="C1249" s="42"/>
    </row>
    <row r="1250" spans="3:3" x14ac:dyDescent="0.25">
      <c r="C1250" s="42"/>
    </row>
    <row r="1251" spans="3:3" x14ac:dyDescent="0.25">
      <c r="C1251" s="42"/>
    </row>
    <row r="1252" spans="3:3" x14ac:dyDescent="0.25">
      <c r="C1252" s="42"/>
    </row>
    <row r="1253" spans="3:3" x14ac:dyDescent="0.25">
      <c r="C1253" s="42"/>
    </row>
    <row r="1254" spans="3:3" x14ac:dyDescent="0.25">
      <c r="C1254" s="42"/>
    </row>
    <row r="1255" spans="3:3" x14ac:dyDescent="0.25">
      <c r="C1255" s="42"/>
    </row>
    <row r="1256" spans="3:3" x14ac:dyDescent="0.25">
      <c r="C1256" s="42"/>
    </row>
    <row r="1257" spans="3:3" x14ac:dyDescent="0.25">
      <c r="C1257" s="42"/>
    </row>
    <row r="1258" spans="3:3" x14ac:dyDescent="0.25">
      <c r="C1258" s="42"/>
    </row>
    <row r="1259" spans="3:3" x14ac:dyDescent="0.25">
      <c r="C1259" s="42"/>
    </row>
    <row r="1260" spans="3:3" x14ac:dyDescent="0.25">
      <c r="C1260" s="42"/>
    </row>
    <row r="1261" spans="3:3" x14ac:dyDescent="0.25">
      <c r="C1261" s="42"/>
    </row>
    <row r="1262" spans="3:3" x14ac:dyDescent="0.25">
      <c r="C1262" s="42"/>
    </row>
    <row r="1263" spans="3:3" x14ac:dyDescent="0.25">
      <c r="C1263" s="42"/>
    </row>
    <row r="1264" spans="3:3" x14ac:dyDescent="0.25">
      <c r="C1264" s="42"/>
    </row>
    <row r="1265" spans="3:3" x14ac:dyDescent="0.25">
      <c r="C1265" s="42"/>
    </row>
    <row r="1266" spans="3:3" x14ac:dyDescent="0.25">
      <c r="C1266" s="42"/>
    </row>
    <row r="1267" spans="3:3" x14ac:dyDescent="0.25">
      <c r="C1267" s="42"/>
    </row>
    <row r="1268" spans="3:3" x14ac:dyDescent="0.25">
      <c r="C1268" s="42"/>
    </row>
    <row r="1269" spans="3:3" x14ac:dyDescent="0.25">
      <c r="C1269" s="42"/>
    </row>
    <row r="1270" spans="3:3" x14ac:dyDescent="0.25">
      <c r="C1270" s="42"/>
    </row>
    <row r="1271" spans="3:3" x14ac:dyDescent="0.25">
      <c r="C1271" s="42"/>
    </row>
    <row r="1272" spans="3:3" x14ac:dyDescent="0.25">
      <c r="C1272" s="42"/>
    </row>
    <row r="1273" spans="3:3" x14ac:dyDescent="0.25">
      <c r="C1273" s="42"/>
    </row>
    <row r="1274" spans="3:3" x14ac:dyDescent="0.25">
      <c r="C1274" s="42"/>
    </row>
    <row r="1275" spans="3:3" x14ac:dyDescent="0.25">
      <c r="C1275" s="42"/>
    </row>
    <row r="1276" spans="3:3" x14ac:dyDescent="0.25">
      <c r="C1276" s="42"/>
    </row>
    <row r="1277" spans="3:3" x14ac:dyDescent="0.25">
      <c r="C1277" s="42"/>
    </row>
    <row r="1278" spans="3:3" x14ac:dyDescent="0.25">
      <c r="C1278" s="42"/>
    </row>
    <row r="1279" spans="3:3" x14ac:dyDescent="0.25">
      <c r="C1279" s="42"/>
    </row>
    <row r="1280" spans="3:3" x14ac:dyDescent="0.25">
      <c r="C1280" s="42"/>
    </row>
    <row r="1281" spans="3:3" x14ac:dyDescent="0.25">
      <c r="C1281" s="42"/>
    </row>
    <row r="1282" spans="3:3" x14ac:dyDescent="0.25">
      <c r="C1282" s="42"/>
    </row>
    <row r="1283" spans="3:3" x14ac:dyDescent="0.25">
      <c r="C1283" s="42"/>
    </row>
    <row r="1284" spans="3:3" x14ac:dyDescent="0.25">
      <c r="C1284" s="42"/>
    </row>
    <row r="1285" spans="3:3" x14ac:dyDescent="0.25">
      <c r="C1285" s="42"/>
    </row>
    <row r="1286" spans="3:3" x14ac:dyDescent="0.25">
      <c r="C1286" s="42"/>
    </row>
    <row r="1287" spans="3:3" x14ac:dyDescent="0.25">
      <c r="C1287" s="42"/>
    </row>
    <row r="1288" spans="3:3" x14ac:dyDescent="0.25">
      <c r="C1288" s="42"/>
    </row>
    <row r="1289" spans="3:3" x14ac:dyDescent="0.25">
      <c r="C1289" s="42"/>
    </row>
    <row r="1290" spans="3:3" x14ac:dyDescent="0.25">
      <c r="C1290" s="42"/>
    </row>
    <row r="1291" spans="3:3" x14ac:dyDescent="0.25">
      <c r="C1291" s="42"/>
    </row>
    <row r="1292" spans="3:3" x14ac:dyDescent="0.25">
      <c r="C1292" s="42"/>
    </row>
    <row r="1293" spans="3:3" x14ac:dyDescent="0.25">
      <c r="C1293" s="42"/>
    </row>
    <row r="1294" spans="3:3" x14ac:dyDescent="0.25">
      <c r="C1294" s="42"/>
    </row>
    <row r="1295" spans="3:3" x14ac:dyDescent="0.25">
      <c r="C1295" s="42"/>
    </row>
    <row r="1296" spans="3:3" x14ac:dyDescent="0.25">
      <c r="C1296" s="42"/>
    </row>
    <row r="1297" spans="3:3" x14ac:dyDescent="0.25">
      <c r="C1297" s="42"/>
    </row>
    <row r="1298" spans="3:3" x14ac:dyDescent="0.25">
      <c r="C1298" s="42"/>
    </row>
    <row r="1299" spans="3:3" x14ac:dyDescent="0.25">
      <c r="C1299" s="42"/>
    </row>
    <row r="1300" spans="3:3" x14ac:dyDescent="0.25">
      <c r="C1300" s="42"/>
    </row>
    <row r="1301" spans="3:3" x14ac:dyDescent="0.25">
      <c r="C1301" s="42"/>
    </row>
    <row r="1302" spans="3:3" x14ac:dyDescent="0.25">
      <c r="C1302" s="42"/>
    </row>
    <row r="1303" spans="3:3" x14ac:dyDescent="0.25">
      <c r="C1303" s="42"/>
    </row>
    <row r="1304" spans="3:3" x14ac:dyDescent="0.25">
      <c r="C1304" s="42"/>
    </row>
    <row r="1305" spans="3:3" x14ac:dyDescent="0.25">
      <c r="C1305" s="42"/>
    </row>
    <row r="1306" spans="3:3" x14ac:dyDescent="0.25">
      <c r="C1306" s="42"/>
    </row>
    <row r="1307" spans="3:3" x14ac:dyDescent="0.25">
      <c r="C1307" s="42"/>
    </row>
    <row r="1308" spans="3:3" x14ac:dyDescent="0.25">
      <c r="C1308" s="42"/>
    </row>
    <row r="1309" spans="3:3" x14ac:dyDescent="0.25">
      <c r="C1309" s="42"/>
    </row>
    <row r="1310" spans="3:3" x14ac:dyDescent="0.25">
      <c r="C1310" s="42"/>
    </row>
    <row r="1311" spans="3:3" x14ac:dyDescent="0.25">
      <c r="C1311" s="42"/>
    </row>
    <row r="1312" spans="3:3" x14ac:dyDescent="0.25">
      <c r="C1312" s="42"/>
    </row>
    <row r="1313" spans="3:3" x14ac:dyDescent="0.25">
      <c r="C1313" s="42"/>
    </row>
    <row r="1314" spans="3:3" x14ac:dyDescent="0.25">
      <c r="C1314" s="42"/>
    </row>
    <row r="1315" spans="3:3" x14ac:dyDescent="0.25">
      <c r="C1315" s="42"/>
    </row>
    <row r="1316" spans="3:3" x14ac:dyDescent="0.25">
      <c r="C1316" s="42"/>
    </row>
    <row r="1317" spans="3:3" x14ac:dyDescent="0.25">
      <c r="C1317" s="42"/>
    </row>
    <row r="1318" spans="3:3" x14ac:dyDescent="0.25">
      <c r="C1318" s="42"/>
    </row>
    <row r="1319" spans="3:3" x14ac:dyDescent="0.25">
      <c r="C1319" s="42"/>
    </row>
    <row r="1320" spans="3:3" x14ac:dyDescent="0.25">
      <c r="C1320" s="42"/>
    </row>
    <row r="1321" spans="3:3" x14ac:dyDescent="0.25">
      <c r="C1321" s="42"/>
    </row>
    <row r="1322" spans="3:3" x14ac:dyDescent="0.25">
      <c r="C1322" s="42"/>
    </row>
    <row r="1323" spans="3:3" x14ac:dyDescent="0.25">
      <c r="C1323" s="42"/>
    </row>
    <row r="1324" spans="3:3" x14ac:dyDescent="0.25">
      <c r="C1324" s="42"/>
    </row>
    <row r="1325" spans="3:3" x14ac:dyDescent="0.25">
      <c r="C1325" s="42"/>
    </row>
    <row r="1326" spans="3:3" x14ac:dyDescent="0.25">
      <c r="C1326" s="42"/>
    </row>
    <row r="1327" spans="3:3" x14ac:dyDescent="0.25">
      <c r="C1327" s="42"/>
    </row>
    <row r="1328" spans="3:3" x14ac:dyDescent="0.25">
      <c r="C1328" s="42"/>
    </row>
    <row r="1329" spans="3:3" x14ac:dyDescent="0.25">
      <c r="C1329" s="42"/>
    </row>
    <row r="1330" spans="3:3" x14ac:dyDescent="0.25">
      <c r="C1330" s="42"/>
    </row>
    <row r="1331" spans="3:3" x14ac:dyDescent="0.25">
      <c r="C1331" s="42"/>
    </row>
    <row r="1332" spans="3:3" x14ac:dyDescent="0.25">
      <c r="C1332" s="42"/>
    </row>
    <row r="1333" spans="3:3" x14ac:dyDescent="0.25">
      <c r="C1333" s="42"/>
    </row>
    <row r="1334" spans="3:3" x14ac:dyDescent="0.25">
      <c r="C1334" s="42"/>
    </row>
    <row r="1335" spans="3:3" x14ac:dyDescent="0.25">
      <c r="C1335" s="42"/>
    </row>
    <row r="1336" spans="3:3" x14ac:dyDescent="0.25">
      <c r="C1336" s="42"/>
    </row>
    <row r="1337" spans="3:3" x14ac:dyDescent="0.25">
      <c r="C1337" s="42"/>
    </row>
    <row r="1338" spans="3:3" x14ac:dyDescent="0.25">
      <c r="C1338" s="42"/>
    </row>
    <row r="1339" spans="3:3" x14ac:dyDescent="0.25">
      <c r="C1339" s="42"/>
    </row>
    <row r="1340" spans="3:3" x14ac:dyDescent="0.25">
      <c r="C1340" s="42"/>
    </row>
    <row r="1341" spans="3:3" x14ac:dyDescent="0.25">
      <c r="C1341" s="42"/>
    </row>
    <row r="1342" spans="3:3" x14ac:dyDescent="0.25">
      <c r="C1342" s="42"/>
    </row>
    <row r="1343" spans="3:3" x14ac:dyDescent="0.25">
      <c r="C1343" s="42"/>
    </row>
    <row r="1344" spans="3:3" x14ac:dyDescent="0.25">
      <c r="C1344" s="42"/>
    </row>
    <row r="1345" spans="3:3" x14ac:dyDescent="0.25">
      <c r="C1345" s="42"/>
    </row>
    <row r="1346" spans="3:3" x14ac:dyDescent="0.25">
      <c r="C1346" s="42"/>
    </row>
    <row r="1347" spans="3:3" x14ac:dyDescent="0.25">
      <c r="C1347" s="42"/>
    </row>
    <row r="1348" spans="3:3" x14ac:dyDescent="0.25">
      <c r="C1348" s="42"/>
    </row>
    <row r="1349" spans="3:3" x14ac:dyDescent="0.25">
      <c r="C1349" s="42"/>
    </row>
    <row r="1350" spans="3:3" x14ac:dyDescent="0.25">
      <c r="C1350" s="42"/>
    </row>
    <row r="1351" spans="3:3" x14ac:dyDescent="0.25">
      <c r="C1351" s="42"/>
    </row>
    <row r="1352" spans="3:3" x14ac:dyDescent="0.25">
      <c r="C1352" s="42"/>
    </row>
    <row r="1353" spans="3:3" x14ac:dyDescent="0.25">
      <c r="C1353" s="42"/>
    </row>
    <row r="1354" spans="3:3" x14ac:dyDescent="0.25">
      <c r="C1354" s="42"/>
    </row>
    <row r="1355" spans="3:3" x14ac:dyDescent="0.25">
      <c r="C1355" s="42"/>
    </row>
    <row r="1356" spans="3:3" x14ac:dyDescent="0.25">
      <c r="C1356" s="42"/>
    </row>
    <row r="1357" spans="3:3" x14ac:dyDescent="0.25">
      <c r="C1357" s="42"/>
    </row>
    <row r="1358" spans="3:3" x14ac:dyDescent="0.25">
      <c r="C1358" s="42"/>
    </row>
    <row r="1359" spans="3:3" x14ac:dyDescent="0.25">
      <c r="C1359" s="42"/>
    </row>
    <row r="1360" spans="3:3" x14ac:dyDescent="0.25">
      <c r="C1360" s="42"/>
    </row>
    <row r="1361" spans="3:3" x14ac:dyDescent="0.25">
      <c r="C1361" s="42"/>
    </row>
    <row r="1362" spans="3:3" x14ac:dyDescent="0.25">
      <c r="C1362" s="42"/>
    </row>
    <row r="1363" spans="3:3" x14ac:dyDescent="0.25">
      <c r="C1363" s="42"/>
    </row>
    <row r="1364" spans="3:3" x14ac:dyDescent="0.25">
      <c r="C1364" s="42"/>
    </row>
    <row r="1365" spans="3:3" x14ac:dyDescent="0.25">
      <c r="C1365" s="42"/>
    </row>
    <row r="1366" spans="3:3" x14ac:dyDescent="0.25">
      <c r="C1366" s="42"/>
    </row>
    <row r="1367" spans="3:3" x14ac:dyDescent="0.25">
      <c r="C1367" s="42"/>
    </row>
    <row r="1368" spans="3:3" x14ac:dyDescent="0.25">
      <c r="C1368" s="42"/>
    </row>
    <row r="1369" spans="3:3" x14ac:dyDescent="0.25">
      <c r="C1369" s="42"/>
    </row>
    <row r="1370" spans="3:3" x14ac:dyDescent="0.25">
      <c r="C1370" s="42"/>
    </row>
    <row r="1371" spans="3:3" x14ac:dyDescent="0.25">
      <c r="C1371" s="42"/>
    </row>
    <row r="1372" spans="3:3" x14ac:dyDescent="0.25">
      <c r="C1372" s="42"/>
    </row>
    <row r="1373" spans="3:3" x14ac:dyDescent="0.25">
      <c r="C1373" s="42"/>
    </row>
    <row r="1374" spans="3:3" x14ac:dyDescent="0.25">
      <c r="C1374" s="42"/>
    </row>
    <row r="1375" spans="3:3" x14ac:dyDescent="0.25">
      <c r="C1375" s="42"/>
    </row>
    <row r="1376" spans="3:3" x14ac:dyDescent="0.25">
      <c r="C1376" s="42"/>
    </row>
    <row r="1377" spans="3:3" x14ac:dyDescent="0.25">
      <c r="C1377" s="42"/>
    </row>
    <row r="1378" spans="3:3" x14ac:dyDescent="0.25">
      <c r="C1378" s="42"/>
    </row>
    <row r="1379" spans="3:3" x14ac:dyDescent="0.25">
      <c r="C1379" s="42"/>
    </row>
    <row r="1380" spans="3:3" x14ac:dyDescent="0.25">
      <c r="C1380" s="42"/>
    </row>
    <row r="1381" spans="3:3" x14ac:dyDescent="0.25">
      <c r="C1381" s="42"/>
    </row>
    <row r="1382" spans="3:3" x14ac:dyDescent="0.25">
      <c r="C1382" s="42"/>
    </row>
    <row r="1383" spans="3:3" x14ac:dyDescent="0.25">
      <c r="C1383" s="42"/>
    </row>
    <row r="1384" spans="3:3" x14ac:dyDescent="0.25">
      <c r="C1384" s="42"/>
    </row>
    <row r="1385" spans="3:3" x14ac:dyDescent="0.25">
      <c r="C1385" s="42"/>
    </row>
    <row r="1386" spans="3:3" x14ac:dyDescent="0.25">
      <c r="C1386" s="42"/>
    </row>
    <row r="1387" spans="3:3" x14ac:dyDescent="0.25">
      <c r="C1387" s="42"/>
    </row>
    <row r="1388" spans="3:3" x14ac:dyDescent="0.25">
      <c r="C1388" s="42"/>
    </row>
    <row r="1389" spans="3:3" x14ac:dyDescent="0.25">
      <c r="C1389" s="42"/>
    </row>
    <row r="1390" spans="3:3" x14ac:dyDescent="0.25">
      <c r="C1390" s="42"/>
    </row>
    <row r="1391" spans="3:3" x14ac:dyDescent="0.25">
      <c r="C1391" s="42"/>
    </row>
    <row r="1392" spans="3:3" x14ac:dyDescent="0.25">
      <c r="C1392" s="42"/>
    </row>
    <row r="1393" spans="3:3" x14ac:dyDescent="0.25">
      <c r="C1393" s="42"/>
    </row>
    <row r="1394" spans="3:3" x14ac:dyDescent="0.25">
      <c r="C1394" s="42"/>
    </row>
    <row r="1395" spans="3:3" x14ac:dyDescent="0.25">
      <c r="C1395" s="42"/>
    </row>
    <row r="1396" spans="3:3" x14ac:dyDescent="0.25">
      <c r="C1396" s="42"/>
    </row>
    <row r="1397" spans="3:3" x14ac:dyDescent="0.25">
      <c r="C1397" s="42"/>
    </row>
    <row r="1398" spans="3:3" x14ac:dyDescent="0.25">
      <c r="C1398" s="42"/>
    </row>
    <row r="1399" spans="3:3" x14ac:dyDescent="0.25">
      <c r="C1399" s="42"/>
    </row>
    <row r="1400" spans="3:3" x14ac:dyDescent="0.25">
      <c r="C1400" s="42"/>
    </row>
    <row r="1401" spans="3:3" x14ac:dyDescent="0.25">
      <c r="C1401" s="42"/>
    </row>
    <row r="1402" spans="3:3" x14ac:dyDescent="0.25">
      <c r="C1402" s="42"/>
    </row>
    <row r="1403" spans="3:3" x14ac:dyDescent="0.25">
      <c r="C1403" s="42"/>
    </row>
    <row r="1404" spans="3:3" x14ac:dyDescent="0.25">
      <c r="C1404" s="42"/>
    </row>
    <row r="1405" spans="3:3" x14ac:dyDescent="0.25">
      <c r="C1405" s="42"/>
    </row>
    <row r="1406" spans="3:3" x14ac:dyDescent="0.25">
      <c r="C1406" s="42"/>
    </row>
    <row r="1407" spans="3:3" x14ac:dyDescent="0.25">
      <c r="C1407" s="42"/>
    </row>
    <row r="1408" spans="3:3" x14ac:dyDescent="0.25">
      <c r="C1408" s="42"/>
    </row>
    <row r="1409" spans="3:3" x14ac:dyDescent="0.25">
      <c r="C1409" s="42"/>
    </row>
    <row r="1410" spans="3:3" x14ac:dyDescent="0.25">
      <c r="C1410" s="42"/>
    </row>
    <row r="1411" spans="3:3" x14ac:dyDescent="0.25">
      <c r="C1411" s="42"/>
    </row>
    <row r="1412" spans="3:3" x14ac:dyDescent="0.25">
      <c r="C1412" s="42"/>
    </row>
    <row r="1413" spans="3:3" x14ac:dyDescent="0.25">
      <c r="C1413" s="42"/>
    </row>
    <row r="1414" spans="3:3" x14ac:dyDescent="0.25">
      <c r="C1414" s="42"/>
    </row>
    <row r="1415" spans="3:3" x14ac:dyDescent="0.25">
      <c r="C1415" s="42"/>
    </row>
    <row r="1416" spans="3:3" x14ac:dyDescent="0.25">
      <c r="C1416" s="42"/>
    </row>
    <row r="1417" spans="3:3" x14ac:dyDescent="0.25">
      <c r="C1417" s="42"/>
    </row>
    <row r="1418" spans="3:3" x14ac:dyDescent="0.25">
      <c r="C1418" s="42"/>
    </row>
    <row r="1419" spans="3:3" x14ac:dyDescent="0.25">
      <c r="C1419" s="42"/>
    </row>
    <row r="1420" spans="3:3" x14ac:dyDescent="0.25">
      <c r="C1420" s="42"/>
    </row>
    <row r="1421" spans="3:3" x14ac:dyDescent="0.25">
      <c r="C1421" s="42"/>
    </row>
    <row r="1422" spans="3:3" x14ac:dyDescent="0.25">
      <c r="C1422" s="42"/>
    </row>
    <row r="1423" spans="3:3" x14ac:dyDescent="0.25">
      <c r="C1423" s="42"/>
    </row>
    <row r="1424" spans="3:3" x14ac:dyDescent="0.25">
      <c r="C1424" s="42"/>
    </row>
    <row r="1425" spans="3:3" x14ac:dyDescent="0.25">
      <c r="C1425" s="42"/>
    </row>
    <row r="1426" spans="3:3" x14ac:dyDescent="0.25">
      <c r="C1426" s="42"/>
    </row>
    <row r="1427" spans="3:3" x14ac:dyDescent="0.25">
      <c r="C1427" s="42"/>
    </row>
    <row r="1428" spans="3:3" x14ac:dyDescent="0.25">
      <c r="C1428" s="42"/>
    </row>
    <row r="1429" spans="3:3" x14ac:dyDescent="0.25">
      <c r="C1429" s="42"/>
    </row>
    <row r="1430" spans="3:3" x14ac:dyDescent="0.25">
      <c r="C1430" s="42"/>
    </row>
    <row r="1431" spans="3:3" x14ac:dyDescent="0.25">
      <c r="C1431" s="42"/>
    </row>
    <row r="1432" spans="3:3" x14ac:dyDescent="0.25">
      <c r="C1432" s="42"/>
    </row>
    <row r="1433" spans="3:3" x14ac:dyDescent="0.25">
      <c r="C1433" s="42"/>
    </row>
    <row r="1434" spans="3:3" x14ac:dyDescent="0.25">
      <c r="C1434" s="42"/>
    </row>
    <row r="1435" spans="3:3" x14ac:dyDescent="0.25">
      <c r="C1435" s="42"/>
    </row>
    <row r="1436" spans="3:3" x14ac:dyDescent="0.25">
      <c r="C1436" s="42"/>
    </row>
    <row r="1437" spans="3:3" x14ac:dyDescent="0.25">
      <c r="C1437" s="42"/>
    </row>
    <row r="1438" spans="3:3" x14ac:dyDescent="0.25">
      <c r="C1438" s="42"/>
    </row>
    <row r="1439" spans="3:3" x14ac:dyDescent="0.25">
      <c r="C1439" s="42"/>
    </row>
    <row r="1440" spans="3:3" x14ac:dyDescent="0.25">
      <c r="C1440" s="42"/>
    </row>
    <row r="1441" spans="3:3" x14ac:dyDescent="0.25">
      <c r="C1441" s="42"/>
    </row>
    <row r="1442" spans="3:3" x14ac:dyDescent="0.25">
      <c r="C1442" s="42"/>
    </row>
    <row r="1443" spans="3:3" x14ac:dyDescent="0.25">
      <c r="C1443" s="42"/>
    </row>
    <row r="1444" spans="3:3" x14ac:dyDescent="0.25">
      <c r="C1444" s="42"/>
    </row>
    <row r="1445" spans="3:3" x14ac:dyDescent="0.25">
      <c r="C1445" s="42"/>
    </row>
    <row r="1446" spans="3:3" x14ac:dyDescent="0.25">
      <c r="C1446" s="42"/>
    </row>
    <row r="1447" spans="3:3" x14ac:dyDescent="0.25">
      <c r="C1447" s="42"/>
    </row>
    <row r="1448" spans="3:3" x14ac:dyDescent="0.25">
      <c r="C1448" s="42"/>
    </row>
    <row r="1449" spans="3:3" x14ac:dyDescent="0.25">
      <c r="C1449" s="42"/>
    </row>
    <row r="1450" spans="3:3" x14ac:dyDescent="0.25">
      <c r="C1450" s="42"/>
    </row>
    <row r="1451" spans="3:3" x14ac:dyDescent="0.25">
      <c r="C1451" s="42"/>
    </row>
    <row r="1452" spans="3:3" x14ac:dyDescent="0.25">
      <c r="C1452" s="42"/>
    </row>
    <row r="1453" spans="3:3" x14ac:dyDescent="0.25">
      <c r="C1453" s="42"/>
    </row>
    <row r="1454" spans="3:3" x14ac:dyDescent="0.25">
      <c r="C1454" s="42"/>
    </row>
    <row r="1455" spans="3:3" x14ac:dyDescent="0.25">
      <c r="C1455" s="42"/>
    </row>
    <row r="1456" spans="3:3" x14ac:dyDescent="0.25">
      <c r="C1456" s="42"/>
    </row>
    <row r="1457" spans="3:3" x14ac:dyDescent="0.25">
      <c r="C1457" s="42"/>
    </row>
    <row r="1458" spans="3:3" x14ac:dyDescent="0.25">
      <c r="C1458" s="42"/>
    </row>
    <row r="1459" spans="3:3" x14ac:dyDescent="0.25">
      <c r="C1459" s="42"/>
    </row>
    <row r="1460" spans="3:3" x14ac:dyDescent="0.25">
      <c r="C1460" s="42"/>
    </row>
    <row r="1461" spans="3:3" x14ac:dyDescent="0.25">
      <c r="C1461" s="42"/>
    </row>
    <row r="1462" spans="3:3" x14ac:dyDescent="0.25">
      <c r="C1462" s="42"/>
    </row>
    <row r="1463" spans="3:3" x14ac:dyDescent="0.25">
      <c r="C1463" s="42"/>
    </row>
    <row r="1464" spans="3:3" x14ac:dyDescent="0.25">
      <c r="C1464" s="42"/>
    </row>
    <row r="1465" spans="3:3" x14ac:dyDescent="0.25">
      <c r="C1465" s="42"/>
    </row>
    <row r="1466" spans="3:3" x14ac:dyDescent="0.25">
      <c r="C1466" s="42"/>
    </row>
    <row r="1467" spans="3:3" x14ac:dyDescent="0.25">
      <c r="C1467" s="42"/>
    </row>
    <row r="1468" spans="3:3" x14ac:dyDescent="0.25">
      <c r="C1468" s="42"/>
    </row>
    <row r="1469" spans="3:3" x14ac:dyDescent="0.25">
      <c r="C1469" s="42"/>
    </row>
    <row r="1470" spans="3:3" x14ac:dyDescent="0.25">
      <c r="C1470" s="42"/>
    </row>
    <row r="1471" spans="3:3" x14ac:dyDescent="0.25">
      <c r="C1471" s="42"/>
    </row>
    <row r="1472" spans="3:3" x14ac:dyDescent="0.25">
      <c r="C1472" s="42"/>
    </row>
    <row r="1473" spans="3:3" x14ac:dyDescent="0.25">
      <c r="C1473" s="42"/>
    </row>
    <row r="1474" spans="3:3" x14ac:dyDescent="0.25">
      <c r="C1474" s="42"/>
    </row>
    <row r="1475" spans="3:3" x14ac:dyDescent="0.25">
      <c r="C1475" s="42"/>
    </row>
    <row r="1476" spans="3:3" x14ac:dyDescent="0.25">
      <c r="C1476" s="42"/>
    </row>
    <row r="1477" spans="3:3" x14ac:dyDescent="0.25">
      <c r="C1477" s="42"/>
    </row>
    <row r="1478" spans="3:3" x14ac:dyDescent="0.25">
      <c r="C1478" s="42"/>
    </row>
    <row r="1479" spans="3:3" x14ac:dyDescent="0.25">
      <c r="C1479" s="42"/>
    </row>
    <row r="1480" spans="3:3" x14ac:dyDescent="0.25">
      <c r="C1480" s="42"/>
    </row>
    <row r="1481" spans="3:3" x14ac:dyDescent="0.25">
      <c r="C1481" s="42"/>
    </row>
    <row r="1482" spans="3:3" x14ac:dyDescent="0.25">
      <c r="C1482" s="42"/>
    </row>
    <row r="1483" spans="3:3" x14ac:dyDescent="0.25">
      <c r="C1483" s="42"/>
    </row>
    <row r="1484" spans="3:3" x14ac:dyDescent="0.25">
      <c r="C1484" s="42"/>
    </row>
    <row r="1485" spans="3:3" x14ac:dyDescent="0.25">
      <c r="C1485" s="42"/>
    </row>
    <row r="1486" spans="3:3" x14ac:dyDescent="0.25">
      <c r="C1486" s="42"/>
    </row>
    <row r="1487" spans="3:3" x14ac:dyDescent="0.25">
      <c r="C1487" s="42"/>
    </row>
    <row r="1488" spans="3:3" x14ac:dyDescent="0.25">
      <c r="C1488" s="42"/>
    </row>
    <row r="1489" spans="3:3" x14ac:dyDescent="0.25">
      <c r="C1489" s="42"/>
    </row>
    <row r="1490" spans="3:3" x14ac:dyDescent="0.25">
      <c r="C1490" s="42"/>
    </row>
    <row r="1491" spans="3:3" x14ac:dyDescent="0.25">
      <c r="C1491" s="42"/>
    </row>
    <row r="1492" spans="3:3" x14ac:dyDescent="0.25">
      <c r="C1492" s="42"/>
    </row>
    <row r="1493" spans="3:3" x14ac:dyDescent="0.25">
      <c r="C1493" s="42"/>
    </row>
    <row r="1494" spans="3:3" x14ac:dyDescent="0.25">
      <c r="C1494" s="42"/>
    </row>
    <row r="1495" spans="3:3" x14ac:dyDescent="0.25">
      <c r="C1495" s="42"/>
    </row>
    <row r="1496" spans="3:3" x14ac:dyDescent="0.25">
      <c r="C1496" s="42"/>
    </row>
    <row r="1497" spans="3:3" x14ac:dyDescent="0.25">
      <c r="C1497" s="42"/>
    </row>
    <row r="1498" spans="3:3" x14ac:dyDescent="0.25">
      <c r="C1498" s="42"/>
    </row>
    <row r="1499" spans="3:3" x14ac:dyDescent="0.25">
      <c r="C1499" s="42"/>
    </row>
    <row r="1500" spans="3:3" x14ac:dyDescent="0.25">
      <c r="C1500" s="42"/>
    </row>
    <row r="1501" spans="3:3" x14ac:dyDescent="0.25">
      <c r="C1501" s="42"/>
    </row>
    <row r="1502" spans="3:3" x14ac:dyDescent="0.25">
      <c r="C1502" s="42"/>
    </row>
    <row r="1503" spans="3:3" x14ac:dyDescent="0.25">
      <c r="C1503" s="42"/>
    </row>
    <row r="1504" spans="3:3" x14ac:dyDescent="0.25">
      <c r="C1504" s="42"/>
    </row>
    <row r="1505" spans="3:3" x14ac:dyDescent="0.25">
      <c r="C1505" s="42"/>
    </row>
    <row r="1506" spans="3:3" x14ac:dyDescent="0.25">
      <c r="C1506" s="42"/>
    </row>
    <row r="1507" spans="3:3" x14ac:dyDescent="0.25">
      <c r="C1507" s="42"/>
    </row>
    <row r="1508" spans="3:3" x14ac:dyDescent="0.25">
      <c r="C1508" s="42"/>
    </row>
    <row r="1509" spans="3:3" x14ac:dyDescent="0.25">
      <c r="C1509" s="42"/>
    </row>
    <row r="1510" spans="3:3" x14ac:dyDescent="0.25">
      <c r="C1510" s="42"/>
    </row>
    <row r="1511" spans="3:3" x14ac:dyDescent="0.25">
      <c r="C1511" s="42"/>
    </row>
    <row r="1512" spans="3:3" x14ac:dyDescent="0.25">
      <c r="C1512" s="42"/>
    </row>
    <row r="1513" spans="3:3" x14ac:dyDescent="0.25">
      <c r="C1513" s="42"/>
    </row>
    <row r="1514" spans="3:3" x14ac:dyDescent="0.25">
      <c r="C1514" s="42"/>
    </row>
    <row r="1515" spans="3:3" x14ac:dyDescent="0.25">
      <c r="C1515" s="42"/>
    </row>
    <row r="1516" spans="3:3" x14ac:dyDescent="0.25">
      <c r="C1516" s="42"/>
    </row>
    <row r="1517" spans="3:3" x14ac:dyDescent="0.25">
      <c r="C1517" s="42"/>
    </row>
    <row r="1518" spans="3:3" x14ac:dyDescent="0.25">
      <c r="C1518" s="42"/>
    </row>
    <row r="1519" spans="3:3" x14ac:dyDescent="0.25">
      <c r="C1519" s="42"/>
    </row>
    <row r="1520" spans="3:3" x14ac:dyDescent="0.25">
      <c r="C1520" s="42"/>
    </row>
    <row r="1521" spans="3:3" x14ac:dyDescent="0.25">
      <c r="C1521" s="42"/>
    </row>
    <row r="1522" spans="3:3" x14ac:dyDescent="0.25">
      <c r="C1522" s="42"/>
    </row>
    <row r="1523" spans="3:3" x14ac:dyDescent="0.25">
      <c r="C1523" s="42"/>
    </row>
    <row r="1524" spans="3:3" x14ac:dyDescent="0.25">
      <c r="C1524" s="42"/>
    </row>
    <row r="1525" spans="3:3" x14ac:dyDescent="0.25">
      <c r="C1525" s="42"/>
    </row>
    <row r="1526" spans="3:3" x14ac:dyDescent="0.25">
      <c r="C1526" s="42"/>
    </row>
    <row r="1527" spans="3:3" x14ac:dyDescent="0.25">
      <c r="C1527" s="42"/>
    </row>
    <row r="1528" spans="3:3" x14ac:dyDescent="0.25">
      <c r="C1528" s="42"/>
    </row>
    <row r="1529" spans="3:3" x14ac:dyDescent="0.25">
      <c r="C1529" s="42"/>
    </row>
    <row r="1530" spans="3:3" x14ac:dyDescent="0.25">
      <c r="C1530" s="42"/>
    </row>
    <row r="1531" spans="3:3" x14ac:dyDescent="0.25">
      <c r="C1531" s="42"/>
    </row>
    <row r="1532" spans="3:3" x14ac:dyDescent="0.25">
      <c r="C1532" s="42"/>
    </row>
    <row r="1533" spans="3:3" x14ac:dyDescent="0.25">
      <c r="C1533" s="42"/>
    </row>
    <row r="1534" spans="3:3" x14ac:dyDescent="0.25">
      <c r="C1534" s="42"/>
    </row>
    <row r="1535" spans="3:3" x14ac:dyDescent="0.25">
      <c r="C1535" s="42"/>
    </row>
    <row r="1536" spans="3:3" x14ac:dyDescent="0.25">
      <c r="C1536" s="42"/>
    </row>
    <row r="1537" spans="3:3" x14ac:dyDescent="0.25">
      <c r="C1537" s="42"/>
    </row>
    <row r="1538" spans="3:3" x14ac:dyDescent="0.25">
      <c r="C1538" s="42"/>
    </row>
    <row r="1539" spans="3:3" x14ac:dyDescent="0.25">
      <c r="C1539" s="42"/>
    </row>
    <row r="1540" spans="3:3" x14ac:dyDescent="0.25">
      <c r="C1540" s="42"/>
    </row>
    <row r="1541" spans="3:3" x14ac:dyDescent="0.25">
      <c r="C1541" s="42"/>
    </row>
    <row r="1542" spans="3:3" x14ac:dyDescent="0.25">
      <c r="C1542" s="42"/>
    </row>
    <row r="1543" spans="3:3" x14ac:dyDescent="0.25">
      <c r="C1543" s="42"/>
    </row>
    <row r="1544" spans="3:3" x14ac:dyDescent="0.25">
      <c r="C1544" s="42"/>
    </row>
    <row r="1545" spans="3:3" x14ac:dyDescent="0.25">
      <c r="C1545" s="42"/>
    </row>
    <row r="1546" spans="3:3" x14ac:dyDescent="0.25">
      <c r="C1546" s="42"/>
    </row>
    <row r="1547" spans="3:3" x14ac:dyDescent="0.25">
      <c r="C1547" s="42"/>
    </row>
    <row r="1548" spans="3:3" x14ac:dyDescent="0.25">
      <c r="C1548" s="42"/>
    </row>
    <row r="1549" spans="3:3" x14ac:dyDescent="0.25">
      <c r="C1549" s="42"/>
    </row>
    <row r="1550" spans="3:3" x14ac:dyDescent="0.25">
      <c r="C1550" s="42"/>
    </row>
    <row r="1551" spans="3:3" x14ac:dyDescent="0.25">
      <c r="C1551" s="42"/>
    </row>
    <row r="1552" spans="3:3" x14ac:dyDescent="0.25">
      <c r="C1552" s="42"/>
    </row>
    <row r="1553" spans="3:3" x14ac:dyDescent="0.25">
      <c r="C1553" s="42"/>
    </row>
    <row r="1554" spans="3:3" x14ac:dyDescent="0.25">
      <c r="C1554" s="42"/>
    </row>
    <row r="1555" spans="3:3" x14ac:dyDescent="0.25">
      <c r="C1555" s="42"/>
    </row>
    <row r="1556" spans="3:3" x14ac:dyDescent="0.25">
      <c r="C1556" s="42"/>
    </row>
    <row r="1557" spans="3:3" x14ac:dyDescent="0.25">
      <c r="C1557" s="42"/>
    </row>
    <row r="1558" spans="3:3" x14ac:dyDescent="0.25">
      <c r="C1558" s="42"/>
    </row>
    <row r="1559" spans="3:3" x14ac:dyDescent="0.25">
      <c r="C1559" s="42"/>
    </row>
    <row r="1560" spans="3:3" x14ac:dyDescent="0.25">
      <c r="C1560" s="42"/>
    </row>
    <row r="1561" spans="3:3" x14ac:dyDescent="0.25">
      <c r="C1561" s="42"/>
    </row>
    <row r="1562" spans="3:3" x14ac:dyDescent="0.25">
      <c r="C1562" s="42"/>
    </row>
    <row r="1563" spans="3:3" x14ac:dyDescent="0.25">
      <c r="C1563" s="42"/>
    </row>
    <row r="1564" spans="3:3" x14ac:dyDescent="0.25">
      <c r="C1564" s="42"/>
    </row>
    <row r="1565" spans="3:3" x14ac:dyDescent="0.25">
      <c r="C1565" s="42"/>
    </row>
    <row r="1566" spans="3:3" x14ac:dyDescent="0.25">
      <c r="C1566" s="42"/>
    </row>
    <row r="1567" spans="3:3" x14ac:dyDescent="0.25">
      <c r="C1567" s="42"/>
    </row>
    <row r="1568" spans="3:3" x14ac:dyDescent="0.25">
      <c r="C1568" s="42"/>
    </row>
    <row r="1569" spans="3:3" x14ac:dyDescent="0.25">
      <c r="C1569" s="42"/>
    </row>
    <row r="1570" spans="3:3" x14ac:dyDescent="0.25">
      <c r="C1570" s="42"/>
    </row>
    <row r="1571" spans="3:3" x14ac:dyDescent="0.25">
      <c r="C1571" s="42"/>
    </row>
    <row r="1572" spans="3:3" x14ac:dyDescent="0.25">
      <c r="C1572" s="42"/>
    </row>
    <row r="1573" spans="3:3" x14ac:dyDescent="0.25">
      <c r="C1573" s="42"/>
    </row>
    <row r="1574" spans="3:3" x14ac:dyDescent="0.25">
      <c r="C1574" s="42"/>
    </row>
    <row r="1575" spans="3:3" x14ac:dyDescent="0.25">
      <c r="C1575" s="42"/>
    </row>
    <row r="1576" spans="3:3" x14ac:dyDescent="0.25">
      <c r="C1576" s="42"/>
    </row>
    <row r="1577" spans="3:3" x14ac:dyDescent="0.25">
      <c r="C1577" s="42"/>
    </row>
    <row r="1578" spans="3:3" x14ac:dyDescent="0.25">
      <c r="C1578" s="42"/>
    </row>
    <row r="1579" spans="3:3" x14ac:dyDescent="0.25">
      <c r="C1579" s="42"/>
    </row>
    <row r="1580" spans="3:3" x14ac:dyDescent="0.25">
      <c r="C1580" s="42"/>
    </row>
    <row r="1581" spans="3:3" x14ac:dyDescent="0.25">
      <c r="C1581" s="42"/>
    </row>
    <row r="1582" spans="3:3" x14ac:dyDescent="0.25">
      <c r="C1582" s="42"/>
    </row>
    <row r="1583" spans="3:3" x14ac:dyDescent="0.25">
      <c r="C1583" s="42"/>
    </row>
    <row r="1584" spans="3:3" x14ac:dyDescent="0.25">
      <c r="C1584" s="42"/>
    </row>
    <row r="1585" spans="3:3" x14ac:dyDescent="0.25">
      <c r="C1585" s="42"/>
    </row>
    <row r="1586" spans="3:3" x14ac:dyDescent="0.25">
      <c r="C1586" s="42"/>
    </row>
    <row r="1587" spans="3:3" x14ac:dyDescent="0.25">
      <c r="C1587" s="42"/>
    </row>
    <row r="1588" spans="3:3" x14ac:dyDescent="0.25">
      <c r="C1588" s="42"/>
    </row>
    <row r="1589" spans="3:3" x14ac:dyDescent="0.25">
      <c r="C1589" s="42"/>
    </row>
    <row r="1590" spans="3:3" x14ac:dyDescent="0.25">
      <c r="C1590" s="42"/>
    </row>
    <row r="1591" spans="3:3" x14ac:dyDescent="0.25">
      <c r="C1591" s="42"/>
    </row>
    <row r="1592" spans="3:3" x14ac:dyDescent="0.25">
      <c r="C1592" s="42"/>
    </row>
    <row r="1593" spans="3:3" x14ac:dyDescent="0.25">
      <c r="C1593" s="42"/>
    </row>
    <row r="1594" spans="3:3" x14ac:dyDescent="0.25">
      <c r="C1594" s="42"/>
    </row>
    <row r="1595" spans="3:3" x14ac:dyDescent="0.25">
      <c r="C1595" s="42"/>
    </row>
    <row r="1596" spans="3:3" x14ac:dyDescent="0.25">
      <c r="C1596" s="42"/>
    </row>
    <row r="1597" spans="3:3" x14ac:dyDescent="0.25">
      <c r="C1597" s="42"/>
    </row>
    <row r="1598" spans="3:3" x14ac:dyDescent="0.25">
      <c r="C1598" s="42"/>
    </row>
    <row r="1599" spans="3:3" x14ac:dyDescent="0.25">
      <c r="C1599" s="42"/>
    </row>
    <row r="1600" spans="3:3" x14ac:dyDescent="0.25">
      <c r="C1600" s="42"/>
    </row>
    <row r="1601" spans="3:3" x14ac:dyDescent="0.25">
      <c r="C1601" s="42"/>
    </row>
    <row r="1602" spans="3:3" x14ac:dyDescent="0.25">
      <c r="C1602" s="42"/>
    </row>
    <row r="1603" spans="3:3" x14ac:dyDescent="0.25">
      <c r="C1603" s="42"/>
    </row>
    <row r="1604" spans="3:3" x14ac:dyDescent="0.25">
      <c r="C1604" s="42"/>
    </row>
    <row r="1605" spans="3:3" x14ac:dyDescent="0.25">
      <c r="C1605" s="42"/>
    </row>
    <row r="1606" spans="3:3" x14ac:dyDescent="0.25">
      <c r="C1606" s="42"/>
    </row>
    <row r="1607" spans="3:3" x14ac:dyDescent="0.25">
      <c r="C1607" s="42"/>
    </row>
    <row r="1608" spans="3:3" x14ac:dyDescent="0.25">
      <c r="C1608" s="42"/>
    </row>
    <row r="1609" spans="3:3" x14ac:dyDescent="0.25">
      <c r="C1609" s="42"/>
    </row>
    <row r="1610" spans="3:3" x14ac:dyDescent="0.25">
      <c r="C1610" s="42"/>
    </row>
    <row r="1611" spans="3:3" x14ac:dyDescent="0.25">
      <c r="C1611" s="42"/>
    </row>
    <row r="1612" spans="3:3" x14ac:dyDescent="0.25">
      <c r="C1612" s="42"/>
    </row>
    <row r="1613" spans="3:3" x14ac:dyDescent="0.25">
      <c r="C1613" s="42"/>
    </row>
    <row r="1614" spans="3:3" x14ac:dyDescent="0.25">
      <c r="C1614" s="42"/>
    </row>
    <row r="1615" spans="3:3" x14ac:dyDescent="0.25">
      <c r="C1615" s="42"/>
    </row>
    <row r="1616" spans="3:3" x14ac:dyDescent="0.25">
      <c r="C1616" s="42"/>
    </row>
    <row r="1617" spans="3:3" x14ac:dyDescent="0.25">
      <c r="C1617" s="42"/>
    </row>
    <row r="1618" spans="3:3" x14ac:dyDescent="0.25">
      <c r="C1618" s="42"/>
    </row>
    <row r="1619" spans="3:3" x14ac:dyDescent="0.25">
      <c r="C1619" s="42"/>
    </row>
    <row r="1620" spans="3:3" x14ac:dyDescent="0.25">
      <c r="C1620" s="42"/>
    </row>
    <row r="1621" spans="3:3" x14ac:dyDescent="0.25">
      <c r="C1621" s="42"/>
    </row>
    <row r="1622" spans="3:3" x14ac:dyDescent="0.25">
      <c r="C1622" s="42"/>
    </row>
    <row r="1623" spans="3:3" x14ac:dyDescent="0.25">
      <c r="C1623" s="42"/>
    </row>
    <row r="1624" spans="3:3" x14ac:dyDescent="0.25">
      <c r="C1624" s="42"/>
    </row>
    <row r="1625" spans="3:3" x14ac:dyDescent="0.25">
      <c r="C1625" s="42"/>
    </row>
    <row r="1626" spans="3:3" x14ac:dyDescent="0.25">
      <c r="C1626" s="42"/>
    </row>
    <row r="1627" spans="3:3" x14ac:dyDescent="0.25">
      <c r="C1627" s="42"/>
    </row>
    <row r="1628" spans="3:3" x14ac:dyDescent="0.25">
      <c r="C1628" s="42"/>
    </row>
    <row r="1629" spans="3:3" x14ac:dyDescent="0.25">
      <c r="C1629" s="42"/>
    </row>
    <row r="1630" spans="3:3" x14ac:dyDescent="0.25">
      <c r="C1630" s="42"/>
    </row>
    <row r="1631" spans="3:3" x14ac:dyDescent="0.25">
      <c r="C1631" s="42"/>
    </row>
    <row r="1632" spans="3:3" x14ac:dyDescent="0.25">
      <c r="C1632" s="42"/>
    </row>
    <row r="1633" spans="3:3" x14ac:dyDescent="0.25">
      <c r="C1633" s="42"/>
    </row>
    <row r="1634" spans="3:3" x14ac:dyDescent="0.25">
      <c r="C1634" s="42"/>
    </row>
    <row r="1635" spans="3:3" x14ac:dyDescent="0.25">
      <c r="C1635" s="42"/>
    </row>
    <row r="1636" spans="3:3" x14ac:dyDescent="0.25">
      <c r="C1636" s="42"/>
    </row>
    <row r="1637" spans="3:3" x14ac:dyDescent="0.25">
      <c r="C1637" s="42"/>
    </row>
    <row r="1638" spans="3:3" x14ac:dyDescent="0.25">
      <c r="C1638" s="42"/>
    </row>
    <row r="1639" spans="3:3" x14ac:dyDescent="0.25">
      <c r="C1639" s="42"/>
    </row>
    <row r="1640" spans="3:3" x14ac:dyDescent="0.25">
      <c r="C1640" s="42"/>
    </row>
    <row r="1641" spans="3:3" x14ac:dyDescent="0.25">
      <c r="C1641" s="42"/>
    </row>
    <row r="1642" spans="3:3" x14ac:dyDescent="0.25">
      <c r="C1642" s="42"/>
    </row>
    <row r="1643" spans="3:3" x14ac:dyDescent="0.25">
      <c r="C1643" s="42"/>
    </row>
    <row r="1644" spans="3:3" x14ac:dyDescent="0.25">
      <c r="C1644" s="42"/>
    </row>
    <row r="1645" spans="3:3" x14ac:dyDescent="0.25">
      <c r="C1645" s="42"/>
    </row>
    <row r="1646" spans="3:3" x14ac:dyDescent="0.25">
      <c r="C1646" s="42"/>
    </row>
    <row r="1647" spans="3:3" x14ac:dyDescent="0.25">
      <c r="C1647" s="42"/>
    </row>
    <row r="1648" spans="3:3" x14ac:dyDescent="0.25">
      <c r="C1648" s="42"/>
    </row>
    <row r="1649" spans="3:3" x14ac:dyDescent="0.25">
      <c r="C1649" s="42"/>
    </row>
    <row r="1650" spans="3:3" x14ac:dyDescent="0.25">
      <c r="C1650" s="42"/>
    </row>
    <row r="1651" spans="3:3" x14ac:dyDescent="0.25">
      <c r="C1651" s="42"/>
    </row>
    <row r="1652" spans="3:3" x14ac:dyDescent="0.25">
      <c r="C1652" s="42"/>
    </row>
    <row r="1653" spans="3:3" x14ac:dyDescent="0.25">
      <c r="C1653" s="42"/>
    </row>
    <row r="1654" spans="3:3" x14ac:dyDescent="0.25">
      <c r="C1654" s="42"/>
    </row>
    <row r="1655" spans="3:3" x14ac:dyDescent="0.25">
      <c r="C1655" s="42"/>
    </row>
    <row r="1656" spans="3:3" x14ac:dyDescent="0.25">
      <c r="C1656" s="42"/>
    </row>
    <row r="1657" spans="3:3" x14ac:dyDescent="0.25">
      <c r="C1657" s="42"/>
    </row>
    <row r="1658" spans="3:3" x14ac:dyDescent="0.25">
      <c r="C1658" s="42"/>
    </row>
    <row r="1659" spans="3:3" x14ac:dyDescent="0.25">
      <c r="C1659" s="42"/>
    </row>
    <row r="1660" spans="3:3" x14ac:dyDescent="0.25">
      <c r="C1660" s="42"/>
    </row>
    <row r="1661" spans="3:3" x14ac:dyDescent="0.25">
      <c r="C1661" s="42"/>
    </row>
    <row r="1662" spans="3:3" x14ac:dyDescent="0.25">
      <c r="C1662" s="42"/>
    </row>
    <row r="1663" spans="3:3" x14ac:dyDescent="0.25">
      <c r="C1663" s="42"/>
    </row>
    <row r="1664" spans="3:3" x14ac:dyDescent="0.25">
      <c r="C1664" s="42"/>
    </row>
    <row r="1665" spans="3:3" x14ac:dyDescent="0.25">
      <c r="C1665" s="42"/>
    </row>
    <row r="1666" spans="3:3" x14ac:dyDescent="0.25">
      <c r="C1666" s="42"/>
    </row>
    <row r="1667" spans="3:3" x14ac:dyDescent="0.25">
      <c r="C1667" s="42"/>
    </row>
    <row r="1668" spans="3:3" x14ac:dyDescent="0.25">
      <c r="C1668" s="42"/>
    </row>
    <row r="1669" spans="3:3" x14ac:dyDescent="0.25">
      <c r="C1669" s="42"/>
    </row>
    <row r="1670" spans="3:3" x14ac:dyDescent="0.25">
      <c r="C1670" s="42"/>
    </row>
    <row r="1671" spans="3:3" x14ac:dyDescent="0.25">
      <c r="C1671" s="42"/>
    </row>
    <row r="1672" spans="3:3" x14ac:dyDescent="0.25">
      <c r="C1672" s="42"/>
    </row>
    <row r="1673" spans="3:3" x14ac:dyDescent="0.25">
      <c r="C1673" s="42"/>
    </row>
    <row r="1674" spans="3:3" x14ac:dyDescent="0.25">
      <c r="C1674" s="42"/>
    </row>
    <row r="1675" spans="3:3" x14ac:dyDescent="0.25">
      <c r="C1675" s="42"/>
    </row>
    <row r="1676" spans="3:3" x14ac:dyDescent="0.25">
      <c r="C1676" s="42"/>
    </row>
    <row r="1677" spans="3:3" x14ac:dyDescent="0.25">
      <c r="C1677" s="42"/>
    </row>
    <row r="1678" spans="3:3" x14ac:dyDescent="0.25">
      <c r="C1678" s="42"/>
    </row>
    <row r="1679" spans="3:3" x14ac:dyDescent="0.25">
      <c r="C1679" s="42"/>
    </row>
    <row r="1680" spans="3:3" x14ac:dyDescent="0.25">
      <c r="C1680" s="42"/>
    </row>
    <row r="1681" spans="3:3" x14ac:dyDescent="0.25">
      <c r="C1681" s="42"/>
    </row>
    <row r="1682" spans="3:3" x14ac:dyDescent="0.25">
      <c r="C1682" s="42"/>
    </row>
    <row r="1683" spans="3:3" x14ac:dyDescent="0.25">
      <c r="C1683" s="42"/>
    </row>
    <row r="1684" spans="3:3" x14ac:dyDescent="0.25">
      <c r="C1684" s="42"/>
    </row>
    <row r="1685" spans="3:3" x14ac:dyDescent="0.25">
      <c r="C1685" s="42"/>
    </row>
    <row r="1686" spans="3:3" x14ac:dyDescent="0.25">
      <c r="C1686" s="42"/>
    </row>
    <row r="1687" spans="3:3" x14ac:dyDescent="0.25">
      <c r="C1687" s="42"/>
    </row>
    <row r="1688" spans="3:3" x14ac:dyDescent="0.25">
      <c r="C1688" s="42"/>
    </row>
    <row r="1689" spans="3:3" x14ac:dyDescent="0.25">
      <c r="C1689" s="42"/>
    </row>
    <row r="1690" spans="3:3" x14ac:dyDescent="0.25">
      <c r="C1690" s="42"/>
    </row>
    <row r="1691" spans="3:3" x14ac:dyDescent="0.25">
      <c r="C1691" s="42"/>
    </row>
    <row r="1692" spans="3:3" x14ac:dyDescent="0.25">
      <c r="C1692" s="42"/>
    </row>
    <row r="1693" spans="3:3" x14ac:dyDescent="0.25">
      <c r="C1693" s="42"/>
    </row>
    <row r="1694" spans="3:3" x14ac:dyDescent="0.25">
      <c r="C1694" s="42"/>
    </row>
    <row r="1695" spans="3:3" x14ac:dyDescent="0.25">
      <c r="C1695" s="42"/>
    </row>
    <row r="1696" spans="3:3" x14ac:dyDescent="0.25">
      <c r="C1696" s="42"/>
    </row>
    <row r="1697" spans="3:3" x14ac:dyDescent="0.25">
      <c r="C1697" s="42"/>
    </row>
    <row r="1698" spans="3:3" x14ac:dyDescent="0.25">
      <c r="C1698" s="42"/>
    </row>
    <row r="1699" spans="3:3" x14ac:dyDescent="0.25">
      <c r="C1699" s="42"/>
    </row>
    <row r="1700" spans="3:3" x14ac:dyDescent="0.25">
      <c r="C1700" s="42"/>
    </row>
    <row r="1701" spans="3:3" x14ac:dyDescent="0.25">
      <c r="C1701" s="42"/>
    </row>
    <row r="1702" spans="3:3" x14ac:dyDescent="0.25">
      <c r="C1702" s="42"/>
    </row>
    <row r="1703" spans="3:3" x14ac:dyDescent="0.25">
      <c r="C1703" s="42"/>
    </row>
    <row r="1704" spans="3:3" x14ac:dyDescent="0.25">
      <c r="C1704" s="42"/>
    </row>
    <row r="1705" spans="3:3" x14ac:dyDescent="0.25">
      <c r="C1705" s="42"/>
    </row>
    <row r="1706" spans="3:3" x14ac:dyDescent="0.25">
      <c r="C1706" s="42"/>
    </row>
    <row r="1707" spans="3:3" x14ac:dyDescent="0.25">
      <c r="C1707" s="42"/>
    </row>
    <row r="1708" spans="3:3" x14ac:dyDescent="0.25">
      <c r="C1708" s="42"/>
    </row>
    <row r="1709" spans="3:3" x14ac:dyDescent="0.25">
      <c r="C1709" s="42"/>
    </row>
    <row r="1710" spans="3:3" x14ac:dyDescent="0.25">
      <c r="C1710" s="42"/>
    </row>
    <row r="1711" spans="3:3" x14ac:dyDescent="0.25">
      <c r="C1711" s="42"/>
    </row>
    <row r="1712" spans="3:3" x14ac:dyDescent="0.25">
      <c r="C1712" s="42"/>
    </row>
    <row r="1713" spans="3:3" x14ac:dyDescent="0.25">
      <c r="C1713" s="42"/>
    </row>
    <row r="1714" spans="3:3" x14ac:dyDescent="0.25">
      <c r="C1714" s="42"/>
    </row>
    <row r="1715" spans="3:3" x14ac:dyDescent="0.25">
      <c r="C1715" s="42"/>
    </row>
    <row r="1716" spans="3:3" x14ac:dyDescent="0.25">
      <c r="C1716" s="42"/>
    </row>
    <row r="1717" spans="3:3" x14ac:dyDescent="0.25">
      <c r="C1717" s="42"/>
    </row>
    <row r="1718" spans="3:3" x14ac:dyDescent="0.25">
      <c r="C1718" s="42"/>
    </row>
    <row r="1719" spans="3:3" x14ac:dyDescent="0.25">
      <c r="C1719" s="42"/>
    </row>
    <row r="1720" spans="3:3" x14ac:dyDescent="0.25">
      <c r="C1720" s="42"/>
    </row>
    <row r="1721" spans="3:3" x14ac:dyDescent="0.25">
      <c r="C1721" s="42"/>
    </row>
    <row r="1722" spans="3:3" x14ac:dyDescent="0.25">
      <c r="C1722" s="42"/>
    </row>
    <row r="1723" spans="3:3" x14ac:dyDescent="0.25">
      <c r="C1723" s="42"/>
    </row>
    <row r="1724" spans="3:3" x14ac:dyDescent="0.25">
      <c r="C1724" s="42"/>
    </row>
    <row r="1725" spans="3:3" x14ac:dyDescent="0.25">
      <c r="C1725" s="42"/>
    </row>
    <row r="1726" spans="3:3" x14ac:dyDescent="0.25">
      <c r="C1726" s="42"/>
    </row>
    <row r="1727" spans="3:3" x14ac:dyDescent="0.25">
      <c r="C1727" s="42"/>
    </row>
    <row r="1728" spans="3:3" x14ac:dyDescent="0.25">
      <c r="C1728" s="42"/>
    </row>
    <row r="1729" spans="3:3" x14ac:dyDescent="0.25">
      <c r="C1729" s="42"/>
    </row>
    <row r="1730" spans="3:3" x14ac:dyDescent="0.25">
      <c r="C1730" s="42"/>
    </row>
    <row r="1731" spans="3:3" x14ac:dyDescent="0.25">
      <c r="C1731" s="42"/>
    </row>
    <row r="1732" spans="3:3" x14ac:dyDescent="0.25">
      <c r="C1732" s="42"/>
    </row>
    <row r="1733" spans="3:3" x14ac:dyDescent="0.25">
      <c r="C1733" s="42"/>
    </row>
    <row r="1734" spans="3:3" x14ac:dyDescent="0.25">
      <c r="C1734" s="42"/>
    </row>
    <row r="1735" spans="3:3" x14ac:dyDescent="0.25">
      <c r="C1735" s="42"/>
    </row>
    <row r="1736" spans="3:3" x14ac:dyDescent="0.25">
      <c r="C1736" s="42"/>
    </row>
    <row r="1737" spans="3:3" x14ac:dyDescent="0.25">
      <c r="C1737" s="42"/>
    </row>
    <row r="1738" spans="3:3" x14ac:dyDescent="0.25">
      <c r="C1738" s="42"/>
    </row>
    <row r="1739" spans="3:3" x14ac:dyDescent="0.25">
      <c r="C1739" s="42"/>
    </row>
    <row r="1740" spans="3:3" x14ac:dyDescent="0.25">
      <c r="C1740" s="42"/>
    </row>
    <row r="1741" spans="3:3" x14ac:dyDescent="0.25">
      <c r="C1741" s="42"/>
    </row>
    <row r="1742" spans="3:3" x14ac:dyDescent="0.25">
      <c r="C1742" s="42"/>
    </row>
    <row r="1743" spans="3:3" x14ac:dyDescent="0.25">
      <c r="C1743" s="42"/>
    </row>
    <row r="1744" spans="3:3" x14ac:dyDescent="0.25">
      <c r="C1744" s="42"/>
    </row>
    <row r="1745" spans="3:3" x14ac:dyDescent="0.25">
      <c r="C1745" s="42"/>
    </row>
    <row r="1746" spans="3:3" x14ac:dyDescent="0.25">
      <c r="C1746" s="42"/>
    </row>
    <row r="1747" spans="3:3" x14ac:dyDescent="0.25">
      <c r="C1747" s="42"/>
    </row>
    <row r="1748" spans="3:3" x14ac:dyDescent="0.25">
      <c r="C1748" s="42"/>
    </row>
    <row r="1749" spans="3:3" x14ac:dyDescent="0.25">
      <c r="C1749" s="42"/>
    </row>
    <row r="1750" spans="3:3" x14ac:dyDescent="0.25">
      <c r="C1750" s="42"/>
    </row>
    <row r="1751" spans="3:3" x14ac:dyDescent="0.25">
      <c r="C1751" s="42"/>
    </row>
    <row r="1752" spans="3:3" x14ac:dyDescent="0.25">
      <c r="C1752" s="42"/>
    </row>
    <row r="1753" spans="3:3" x14ac:dyDescent="0.25">
      <c r="C1753" s="42"/>
    </row>
    <row r="1754" spans="3:3" x14ac:dyDescent="0.25">
      <c r="C1754" s="42"/>
    </row>
    <row r="1755" spans="3:3" x14ac:dyDescent="0.25">
      <c r="C1755" s="42"/>
    </row>
    <row r="1756" spans="3:3" x14ac:dyDescent="0.25">
      <c r="C1756" s="42"/>
    </row>
    <row r="1757" spans="3:3" x14ac:dyDescent="0.25">
      <c r="C1757" s="42"/>
    </row>
    <row r="1758" spans="3:3" x14ac:dyDescent="0.25">
      <c r="C1758" s="42"/>
    </row>
    <row r="1759" spans="3:3" x14ac:dyDescent="0.25">
      <c r="C1759" s="42"/>
    </row>
    <row r="1760" spans="3:3" x14ac:dyDescent="0.25">
      <c r="C1760" s="42"/>
    </row>
    <row r="1761" spans="3:3" x14ac:dyDescent="0.25">
      <c r="C1761" s="42"/>
    </row>
    <row r="1762" spans="3:3" x14ac:dyDescent="0.25">
      <c r="C1762" s="42"/>
    </row>
    <row r="1763" spans="3:3" x14ac:dyDescent="0.25">
      <c r="C1763" s="42"/>
    </row>
    <row r="1764" spans="3:3" x14ac:dyDescent="0.25">
      <c r="C1764" s="42"/>
    </row>
    <row r="1765" spans="3:3" x14ac:dyDescent="0.25">
      <c r="C1765" s="42"/>
    </row>
    <row r="1766" spans="3:3" x14ac:dyDescent="0.25">
      <c r="C1766" s="42"/>
    </row>
    <row r="1767" spans="3:3" x14ac:dyDescent="0.25">
      <c r="C1767" s="42"/>
    </row>
    <row r="1768" spans="3:3" x14ac:dyDescent="0.25">
      <c r="C1768" s="42"/>
    </row>
    <row r="1769" spans="3:3" x14ac:dyDescent="0.25">
      <c r="C1769" s="42"/>
    </row>
    <row r="1770" spans="3:3" x14ac:dyDescent="0.25">
      <c r="C1770" s="42"/>
    </row>
    <row r="1771" spans="3:3" x14ac:dyDescent="0.25">
      <c r="C1771" s="42"/>
    </row>
    <row r="1772" spans="3:3" x14ac:dyDescent="0.25">
      <c r="C1772" s="42"/>
    </row>
    <row r="1773" spans="3:3" x14ac:dyDescent="0.25">
      <c r="C1773" s="42"/>
    </row>
    <row r="1774" spans="3:3" x14ac:dyDescent="0.25">
      <c r="C1774" s="42"/>
    </row>
    <row r="1775" spans="3:3" x14ac:dyDescent="0.25">
      <c r="C1775" s="42"/>
    </row>
    <row r="1776" spans="3:3" x14ac:dyDescent="0.25">
      <c r="C1776" s="42"/>
    </row>
    <row r="1777" spans="3:3" x14ac:dyDescent="0.25">
      <c r="C1777" s="42"/>
    </row>
    <row r="1778" spans="3:3" x14ac:dyDescent="0.25">
      <c r="C1778" s="42"/>
    </row>
    <row r="1779" spans="3:3" x14ac:dyDescent="0.25">
      <c r="C1779" s="42"/>
    </row>
    <row r="1780" spans="3:3" x14ac:dyDescent="0.25">
      <c r="C1780" s="42"/>
    </row>
    <row r="1781" spans="3:3" x14ac:dyDescent="0.25">
      <c r="C1781" s="42"/>
    </row>
    <row r="1782" spans="3:3" x14ac:dyDescent="0.25">
      <c r="C1782" s="42"/>
    </row>
    <row r="1783" spans="3:3" x14ac:dyDescent="0.25">
      <c r="C1783" s="42"/>
    </row>
    <row r="1784" spans="3:3" x14ac:dyDescent="0.25">
      <c r="C1784" s="42"/>
    </row>
    <row r="1785" spans="3:3" x14ac:dyDescent="0.25">
      <c r="C1785" s="42"/>
    </row>
    <row r="1786" spans="3:3" x14ac:dyDescent="0.25">
      <c r="C1786" s="42"/>
    </row>
    <row r="1787" spans="3:3" x14ac:dyDescent="0.25">
      <c r="C1787" s="42"/>
    </row>
    <row r="1788" spans="3:3" x14ac:dyDescent="0.25">
      <c r="C1788" s="42"/>
    </row>
    <row r="1789" spans="3:3" x14ac:dyDescent="0.25">
      <c r="C1789" s="42"/>
    </row>
    <row r="1790" spans="3:3" x14ac:dyDescent="0.25">
      <c r="C1790" s="42"/>
    </row>
    <row r="1791" spans="3:3" x14ac:dyDescent="0.25">
      <c r="C1791" s="42"/>
    </row>
    <row r="1792" spans="3:3" x14ac:dyDescent="0.25">
      <c r="C1792" s="42"/>
    </row>
    <row r="1793" spans="3:3" x14ac:dyDescent="0.25">
      <c r="C1793" s="42"/>
    </row>
    <row r="1794" spans="3:3" x14ac:dyDescent="0.25">
      <c r="C1794" s="42"/>
    </row>
    <row r="1795" spans="3:3" x14ac:dyDescent="0.25">
      <c r="C1795" s="42"/>
    </row>
    <row r="1796" spans="3:3" x14ac:dyDescent="0.25">
      <c r="C1796" s="42"/>
    </row>
    <row r="1797" spans="3:3" x14ac:dyDescent="0.25">
      <c r="C1797" s="42"/>
    </row>
    <row r="1798" spans="3:3" x14ac:dyDescent="0.25">
      <c r="C1798" s="42"/>
    </row>
    <row r="1799" spans="3:3" x14ac:dyDescent="0.25">
      <c r="C1799" s="42"/>
    </row>
    <row r="1800" spans="3:3" x14ac:dyDescent="0.25">
      <c r="C1800" s="42"/>
    </row>
    <row r="1801" spans="3:3" x14ac:dyDescent="0.25">
      <c r="C1801" s="42"/>
    </row>
    <row r="1802" spans="3:3" x14ac:dyDescent="0.25">
      <c r="C1802" s="42"/>
    </row>
    <row r="1803" spans="3:3" x14ac:dyDescent="0.25">
      <c r="C1803" s="42"/>
    </row>
    <row r="1804" spans="3:3" x14ac:dyDescent="0.25">
      <c r="C1804" s="42"/>
    </row>
    <row r="1805" spans="3:3" x14ac:dyDescent="0.25">
      <c r="C1805" s="42"/>
    </row>
    <row r="1806" spans="3:3" x14ac:dyDescent="0.25">
      <c r="C1806" s="42"/>
    </row>
    <row r="1807" spans="3:3" x14ac:dyDescent="0.25">
      <c r="C1807" s="42"/>
    </row>
    <row r="1808" spans="3:3" x14ac:dyDescent="0.25">
      <c r="C1808" s="42"/>
    </row>
    <row r="1809" spans="3:3" x14ac:dyDescent="0.25">
      <c r="C1809" s="42"/>
    </row>
    <row r="1810" spans="3:3" x14ac:dyDescent="0.25">
      <c r="C1810" s="42"/>
    </row>
    <row r="1811" spans="3:3" x14ac:dyDescent="0.25">
      <c r="C1811" s="42"/>
    </row>
    <row r="1812" spans="3:3" x14ac:dyDescent="0.25">
      <c r="C1812" s="42"/>
    </row>
    <row r="1813" spans="3:3" x14ac:dyDescent="0.25">
      <c r="C1813" s="42"/>
    </row>
    <row r="1814" spans="3:3" x14ac:dyDescent="0.25">
      <c r="C1814" s="42"/>
    </row>
    <row r="1815" spans="3:3" x14ac:dyDescent="0.25">
      <c r="C1815" s="42"/>
    </row>
    <row r="1816" spans="3:3" x14ac:dyDescent="0.25">
      <c r="C1816" s="42"/>
    </row>
    <row r="1817" spans="3:3" x14ac:dyDescent="0.25">
      <c r="C1817" s="42"/>
    </row>
    <row r="1818" spans="3:3" x14ac:dyDescent="0.25">
      <c r="C1818" s="42"/>
    </row>
    <row r="1819" spans="3:3" x14ac:dyDescent="0.25">
      <c r="C1819" s="42"/>
    </row>
    <row r="1820" spans="3:3" x14ac:dyDescent="0.25">
      <c r="C1820" s="42"/>
    </row>
    <row r="1821" spans="3:3" x14ac:dyDescent="0.25">
      <c r="C1821" s="42"/>
    </row>
    <row r="1822" spans="3:3" x14ac:dyDescent="0.25">
      <c r="C1822" s="42"/>
    </row>
    <row r="1823" spans="3:3" x14ac:dyDescent="0.25">
      <c r="C1823" s="42"/>
    </row>
    <row r="1824" spans="3:3" x14ac:dyDescent="0.25">
      <c r="C1824" s="42"/>
    </row>
    <row r="1825" spans="3:3" x14ac:dyDescent="0.25">
      <c r="C1825" s="42"/>
    </row>
    <row r="1826" spans="3:3" x14ac:dyDescent="0.25">
      <c r="C1826" s="42"/>
    </row>
    <row r="1827" spans="3:3" x14ac:dyDescent="0.25">
      <c r="C1827" s="42"/>
    </row>
    <row r="1828" spans="3:3" x14ac:dyDescent="0.25">
      <c r="C1828" s="42"/>
    </row>
    <row r="1829" spans="3:3" x14ac:dyDescent="0.25">
      <c r="C1829" s="42"/>
    </row>
    <row r="1830" spans="3:3" x14ac:dyDescent="0.25">
      <c r="C1830" s="42"/>
    </row>
    <row r="1831" spans="3:3" x14ac:dyDescent="0.25">
      <c r="C1831" s="42"/>
    </row>
    <row r="1832" spans="3:3" x14ac:dyDescent="0.25">
      <c r="C1832" s="42"/>
    </row>
    <row r="1833" spans="3:3" x14ac:dyDescent="0.25">
      <c r="C1833" s="42"/>
    </row>
    <row r="1834" spans="3:3" x14ac:dyDescent="0.25">
      <c r="C1834" s="42"/>
    </row>
    <row r="1835" spans="3:3" x14ac:dyDescent="0.25">
      <c r="C1835" s="42"/>
    </row>
    <row r="1836" spans="3:3" x14ac:dyDescent="0.25">
      <c r="C1836" s="42"/>
    </row>
    <row r="1837" spans="3:3" x14ac:dyDescent="0.25">
      <c r="C1837" s="42"/>
    </row>
    <row r="1838" spans="3:3" x14ac:dyDescent="0.25">
      <c r="C1838" s="42"/>
    </row>
    <row r="1839" spans="3:3" x14ac:dyDescent="0.25">
      <c r="C1839" s="42"/>
    </row>
    <row r="1840" spans="3:3" x14ac:dyDescent="0.25">
      <c r="C1840" s="42"/>
    </row>
    <row r="1841" spans="3:3" x14ac:dyDescent="0.25">
      <c r="C1841" s="42"/>
    </row>
    <row r="1842" spans="3:3" x14ac:dyDescent="0.25">
      <c r="C1842" s="42"/>
    </row>
    <row r="1843" spans="3:3" x14ac:dyDescent="0.25">
      <c r="C1843" s="42"/>
    </row>
    <row r="1844" spans="3:3" x14ac:dyDescent="0.25">
      <c r="C1844" s="42"/>
    </row>
    <row r="1845" spans="3:3" x14ac:dyDescent="0.25">
      <c r="C1845" s="42"/>
    </row>
    <row r="1846" spans="3:3" x14ac:dyDescent="0.25">
      <c r="C1846" s="42"/>
    </row>
    <row r="1847" spans="3:3" x14ac:dyDescent="0.25">
      <c r="C1847" s="42"/>
    </row>
    <row r="1848" spans="3:3" x14ac:dyDescent="0.25">
      <c r="C1848" s="42"/>
    </row>
    <row r="1849" spans="3:3" x14ac:dyDescent="0.25">
      <c r="C1849" s="42"/>
    </row>
    <row r="1850" spans="3:3" x14ac:dyDescent="0.25">
      <c r="C1850" s="42"/>
    </row>
    <row r="1851" spans="3:3" x14ac:dyDescent="0.25">
      <c r="C1851" s="42"/>
    </row>
    <row r="1852" spans="3:3" x14ac:dyDescent="0.25">
      <c r="C1852" s="42"/>
    </row>
    <row r="1853" spans="3:3" x14ac:dyDescent="0.25">
      <c r="C1853" s="42"/>
    </row>
    <row r="1854" spans="3:3" x14ac:dyDescent="0.25">
      <c r="C1854" s="42"/>
    </row>
    <row r="1855" spans="3:3" x14ac:dyDescent="0.25">
      <c r="C1855" s="42"/>
    </row>
    <row r="1856" spans="3:3" x14ac:dyDescent="0.25">
      <c r="C1856" s="42"/>
    </row>
    <row r="1857" spans="3:3" x14ac:dyDescent="0.25">
      <c r="C1857" s="42"/>
    </row>
    <row r="1858" spans="3:3" x14ac:dyDescent="0.25">
      <c r="C1858" s="42"/>
    </row>
    <row r="1859" spans="3:3" x14ac:dyDescent="0.25">
      <c r="C1859" s="42"/>
    </row>
    <row r="1860" spans="3:3" x14ac:dyDescent="0.25">
      <c r="C1860" s="42"/>
    </row>
    <row r="1861" spans="3:3" x14ac:dyDescent="0.25">
      <c r="C1861" s="42"/>
    </row>
    <row r="1862" spans="3:3" x14ac:dyDescent="0.25">
      <c r="C1862" s="42"/>
    </row>
    <row r="1863" spans="3:3" x14ac:dyDescent="0.25">
      <c r="C1863" s="42"/>
    </row>
    <row r="1864" spans="3:3" x14ac:dyDescent="0.25">
      <c r="C1864" s="42"/>
    </row>
    <row r="1865" spans="3:3" x14ac:dyDescent="0.25">
      <c r="C1865" s="42"/>
    </row>
    <row r="1866" spans="3:3" x14ac:dyDescent="0.25">
      <c r="C1866" s="42"/>
    </row>
    <row r="1867" spans="3:3" x14ac:dyDescent="0.25">
      <c r="C1867" s="42"/>
    </row>
    <row r="1868" spans="3:3" x14ac:dyDescent="0.25">
      <c r="C1868" s="42"/>
    </row>
    <row r="1869" spans="3:3" x14ac:dyDescent="0.25">
      <c r="C1869" s="42"/>
    </row>
    <row r="1870" spans="3:3" x14ac:dyDescent="0.25">
      <c r="C1870" s="42"/>
    </row>
    <row r="1871" spans="3:3" x14ac:dyDescent="0.25">
      <c r="C1871" s="42"/>
    </row>
    <row r="1872" spans="3:3" x14ac:dyDescent="0.25">
      <c r="C1872" s="42"/>
    </row>
    <row r="1873" spans="3:3" x14ac:dyDescent="0.25">
      <c r="C1873" s="42"/>
    </row>
    <row r="1874" spans="3:3" x14ac:dyDescent="0.25">
      <c r="C1874" s="42"/>
    </row>
    <row r="1875" spans="3:3" x14ac:dyDescent="0.25">
      <c r="C1875" s="42"/>
    </row>
    <row r="1876" spans="3:3" x14ac:dyDescent="0.25">
      <c r="C1876" s="42"/>
    </row>
    <row r="1877" spans="3:3" x14ac:dyDescent="0.25">
      <c r="C1877" s="42"/>
    </row>
    <row r="1878" spans="3:3" x14ac:dyDescent="0.25">
      <c r="C1878" s="42"/>
    </row>
    <row r="1879" spans="3:3" x14ac:dyDescent="0.25">
      <c r="C1879" s="42"/>
    </row>
    <row r="1880" spans="3:3" x14ac:dyDescent="0.25">
      <c r="C1880" s="42"/>
    </row>
    <row r="1881" spans="3:3" x14ac:dyDescent="0.25">
      <c r="C1881" s="42"/>
    </row>
    <row r="1882" spans="3:3" x14ac:dyDescent="0.25">
      <c r="C1882" s="42"/>
    </row>
    <row r="1883" spans="3:3" x14ac:dyDescent="0.25">
      <c r="C1883" s="42"/>
    </row>
    <row r="1884" spans="3:3" x14ac:dyDescent="0.25">
      <c r="C1884" s="42"/>
    </row>
    <row r="1885" spans="3:3" x14ac:dyDescent="0.25">
      <c r="C1885" s="42"/>
    </row>
    <row r="1886" spans="3:3" x14ac:dyDescent="0.25">
      <c r="C1886" s="42"/>
    </row>
    <row r="1887" spans="3:3" x14ac:dyDescent="0.25">
      <c r="C1887" s="42"/>
    </row>
    <row r="1888" spans="3:3" x14ac:dyDescent="0.25">
      <c r="C1888" s="42"/>
    </row>
    <row r="1889" spans="3:3" x14ac:dyDescent="0.25">
      <c r="C1889" s="42"/>
    </row>
    <row r="1890" spans="3:3" x14ac:dyDescent="0.25">
      <c r="C1890" s="42"/>
    </row>
    <row r="1891" spans="3:3" x14ac:dyDescent="0.25">
      <c r="C1891" s="42"/>
    </row>
    <row r="1892" spans="3:3" x14ac:dyDescent="0.25">
      <c r="C1892" s="42"/>
    </row>
    <row r="1893" spans="3:3" x14ac:dyDescent="0.25">
      <c r="C1893" s="42"/>
    </row>
    <row r="1894" spans="3:3" x14ac:dyDescent="0.25">
      <c r="C1894" s="42"/>
    </row>
    <row r="1895" spans="3:3" x14ac:dyDescent="0.25">
      <c r="C1895" s="42"/>
    </row>
    <row r="1896" spans="3:3" x14ac:dyDescent="0.25">
      <c r="C1896" s="42"/>
    </row>
    <row r="1897" spans="3:3" x14ac:dyDescent="0.25">
      <c r="C1897" s="42"/>
    </row>
    <row r="1898" spans="3:3" x14ac:dyDescent="0.25">
      <c r="C1898" s="42"/>
    </row>
    <row r="1899" spans="3:3" x14ac:dyDescent="0.25">
      <c r="C1899" s="42"/>
    </row>
    <row r="1900" spans="3:3" x14ac:dyDescent="0.25">
      <c r="C1900" s="42"/>
    </row>
    <row r="1901" spans="3:3" x14ac:dyDescent="0.25">
      <c r="C1901" s="42"/>
    </row>
    <row r="1902" spans="3:3" x14ac:dyDescent="0.25">
      <c r="C1902" s="42"/>
    </row>
    <row r="1903" spans="3:3" x14ac:dyDescent="0.25">
      <c r="C1903" s="42"/>
    </row>
    <row r="1904" spans="3:3" x14ac:dyDescent="0.25">
      <c r="C1904" s="42"/>
    </row>
    <row r="1905" spans="3:3" x14ac:dyDescent="0.25">
      <c r="C1905" s="42"/>
    </row>
    <row r="1906" spans="3:3" x14ac:dyDescent="0.25">
      <c r="C1906" s="42"/>
    </row>
    <row r="1907" spans="3:3" x14ac:dyDescent="0.25">
      <c r="C1907" s="42"/>
    </row>
    <row r="1908" spans="3:3" x14ac:dyDescent="0.25">
      <c r="C1908" s="42"/>
    </row>
    <row r="1909" spans="3:3" x14ac:dyDescent="0.25">
      <c r="C1909" s="42"/>
    </row>
    <row r="1910" spans="3:3" x14ac:dyDescent="0.25">
      <c r="C1910" s="42"/>
    </row>
    <row r="1911" spans="3:3" x14ac:dyDescent="0.25">
      <c r="C1911" s="42"/>
    </row>
    <row r="1912" spans="3:3" x14ac:dyDescent="0.25">
      <c r="C1912" s="42"/>
    </row>
    <row r="1913" spans="3:3" x14ac:dyDescent="0.25">
      <c r="C1913" s="42"/>
    </row>
    <row r="1914" spans="3:3" x14ac:dyDescent="0.25">
      <c r="C1914" s="42"/>
    </row>
    <row r="1915" spans="3:3" x14ac:dyDescent="0.25">
      <c r="C1915" s="42"/>
    </row>
    <row r="1916" spans="3:3" x14ac:dyDescent="0.25">
      <c r="C1916" s="42"/>
    </row>
    <row r="1917" spans="3:3" x14ac:dyDescent="0.25">
      <c r="C1917" s="42"/>
    </row>
    <row r="1918" spans="3:3" x14ac:dyDescent="0.25">
      <c r="C1918" s="42"/>
    </row>
    <row r="1919" spans="3:3" x14ac:dyDescent="0.25">
      <c r="C1919" s="42"/>
    </row>
    <row r="1920" spans="3:3" x14ac:dyDescent="0.25">
      <c r="C1920" s="42"/>
    </row>
    <row r="1921" spans="3:3" x14ac:dyDescent="0.25">
      <c r="C1921" s="42"/>
    </row>
    <row r="1922" spans="3:3" x14ac:dyDescent="0.25">
      <c r="C1922" s="42"/>
    </row>
    <row r="1923" spans="3:3" x14ac:dyDescent="0.25">
      <c r="C1923" s="42"/>
    </row>
    <row r="1924" spans="3:3" x14ac:dyDescent="0.25">
      <c r="C1924" s="42"/>
    </row>
    <row r="1925" spans="3:3" x14ac:dyDescent="0.25">
      <c r="C1925" s="42"/>
    </row>
    <row r="1926" spans="3:3" x14ac:dyDescent="0.25">
      <c r="C1926" s="42"/>
    </row>
    <row r="1927" spans="3:3" x14ac:dyDescent="0.25">
      <c r="C1927" s="42"/>
    </row>
    <row r="1928" spans="3:3" x14ac:dyDescent="0.25">
      <c r="C1928" s="42"/>
    </row>
    <row r="1929" spans="3:3" x14ac:dyDescent="0.25">
      <c r="C1929" s="42"/>
    </row>
    <row r="1930" spans="3:3" x14ac:dyDescent="0.25">
      <c r="C1930" s="42"/>
    </row>
    <row r="1931" spans="3:3" x14ac:dyDescent="0.25">
      <c r="C1931" s="42"/>
    </row>
    <row r="1932" spans="3:3" x14ac:dyDescent="0.25">
      <c r="C1932" s="42"/>
    </row>
    <row r="1933" spans="3:3" x14ac:dyDescent="0.25">
      <c r="C1933" s="42"/>
    </row>
    <row r="1934" spans="3:3" x14ac:dyDescent="0.25">
      <c r="C1934" s="42"/>
    </row>
    <row r="1935" spans="3:3" x14ac:dyDescent="0.25">
      <c r="C1935" s="42"/>
    </row>
    <row r="1936" spans="3:3" x14ac:dyDescent="0.25">
      <c r="C1936" s="42"/>
    </row>
    <row r="1937" spans="3:3" x14ac:dyDescent="0.25">
      <c r="C1937" s="42"/>
    </row>
    <row r="1938" spans="3:3" x14ac:dyDescent="0.25">
      <c r="C1938" s="42"/>
    </row>
    <row r="1939" spans="3:3" x14ac:dyDescent="0.25">
      <c r="C1939" s="42"/>
    </row>
    <row r="1940" spans="3:3" x14ac:dyDescent="0.25">
      <c r="C1940" s="42"/>
    </row>
    <row r="1941" spans="3:3" x14ac:dyDescent="0.25">
      <c r="C1941" s="42"/>
    </row>
    <row r="1942" spans="3:3" x14ac:dyDescent="0.25">
      <c r="C1942" s="42"/>
    </row>
    <row r="1943" spans="3:3" x14ac:dyDescent="0.25">
      <c r="C1943" s="42"/>
    </row>
    <row r="1944" spans="3:3" x14ac:dyDescent="0.25">
      <c r="C1944" s="42"/>
    </row>
    <row r="1945" spans="3:3" x14ac:dyDescent="0.25">
      <c r="C1945" s="42"/>
    </row>
    <row r="1946" spans="3:3" x14ac:dyDescent="0.25">
      <c r="C1946" s="42"/>
    </row>
    <row r="1947" spans="3:3" x14ac:dyDescent="0.25">
      <c r="C1947" s="42"/>
    </row>
    <row r="1948" spans="3:3" x14ac:dyDescent="0.25">
      <c r="C1948" s="42"/>
    </row>
    <row r="1949" spans="3:3" x14ac:dyDescent="0.25">
      <c r="C1949" s="42"/>
    </row>
    <row r="1950" spans="3:3" x14ac:dyDescent="0.25">
      <c r="C1950" s="42"/>
    </row>
    <row r="1951" spans="3:3" x14ac:dyDescent="0.25">
      <c r="C1951" s="42"/>
    </row>
    <row r="1952" spans="3:3" x14ac:dyDescent="0.25">
      <c r="C1952" s="42"/>
    </row>
    <row r="1953" spans="3:3" x14ac:dyDescent="0.25">
      <c r="C1953" s="42"/>
    </row>
    <row r="1954" spans="3:3" x14ac:dyDescent="0.25">
      <c r="C1954" s="42"/>
    </row>
    <row r="1955" spans="3:3" x14ac:dyDescent="0.25">
      <c r="C1955" s="42"/>
    </row>
    <row r="1956" spans="3:3" x14ac:dyDescent="0.25">
      <c r="C1956" s="42"/>
    </row>
    <row r="1957" spans="3:3" x14ac:dyDescent="0.25">
      <c r="C1957" s="42"/>
    </row>
    <row r="1958" spans="3:3" x14ac:dyDescent="0.25">
      <c r="C1958" s="42"/>
    </row>
    <row r="1959" spans="3:3" x14ac:dyDescent="0.25">
      <c r="C1959" s="42"/>
    </row>
    <row r="1960" spans="3:3" x14ac:dyDescent="0.25">
      <c r="C1960" s="42"/>
    </row>
    <row r="1961" spans="3:3" x14ac:dyDescent="0.25">
      <c r="C1961" s="42"/>
    </row>
    <row r="1962" spans="3:3" x14ac:dyDescent="0.25">
      <c r="C1962" s="42"/>
    </row>
    <row r="1963" spans="3:3" x14ac:dyDescent="0.25">
      <c r="C1963" s="42"/>
    </row>
    <row r="1964" spans="3:3" x14ac:dyDescent="0.25">
      <c r="C1964" s="42"/>
    </row>
    <row r="1965" spans="3:3" x14ac:dyDescent="0.25">
      <c r="C1965" s="42"/>
    </row>
    <row r="1966" spans="3:3" x14ac:dyDescent="0.25">
      <c r="C1966" s="42"/>
    </row>
    <row r="1967" spans="3:3" x14ac:dyDescent="0.25">
      <c r="C1967" s="42"/>
    </row>
    <row r="1968" spans="3:3" x14ac:dyDescent="0.25">
      <c r="C1968" s="42"/>
    </row>
    <row r="1969" spans="3:3" x14ac:dyDescent="0.25">
      <c r="C1969" s="42"/>
    </row>
    <row r="1970" spans="3:3" x14ac:dyDescent="0.25">
      <c r="C1970" s="42"/>
    </row>
    <row r="1971" spans="3:3" x14ac:dyDescent="0.25">
      <c r="C1971" s="42"/>
    </row>
    <row r="1972" spans="3:3" x14ac:dyDescent="0.25">
      <c r="C1972" s="42"/>
    </row>
    <row r="1973" spans="3:3" x14ac:dyDescent="0.25">
      <c r="C1973" s="42"/>
    </row>
    <row r="1974" spans="3:3" x14ac:dyDescent="0.25">
      <c r="C1974" s="42"/>
    </row>
    <row r="1975" spans="3:3" x14ac:dyDescent="0.25">
      <c r="C1975" s="42"/>
    </row>
    <row r="1976" spans="3:3" x14ac:dyDescent="0.25">
      <c r="C1976" s="42"/>
    </row>
    <row r="1977" spans="3:3" x14ac:dyDescent="0.25">
      <c r="C1977" s="42"/>
    </row>
    <row r="1978" spans="3:3" x14ac:dyDescent="0.25">
      <c r="C1978" s="42"/>
    </row>
    <row r="1979" spans="3:3" x14ac:dyDescent="0.25">
      <c r="C1979" s="42"/>
    </row>
    <row r="1980" spans="3:3" x14ac:dyDescent="0.25">
      <c r="C1980" s="42"/>
    </row>
    <row r="1981" spans="3:3" x14ac:dyDescent="0.25">
      <c r="C1981" s="42"/>
    </row>
    <row r="1982" spans="3:3" x14ac:dyDescent="0.25">
      <c r="C1982" s="42"/>
    </row>
    <row r="1983" spans="3:3" x14ac:dyDescent="0.25">
      <c r="C1983" s="42"/>
    </row>
    <row r="1984" spans="3:3" x14ac:dyDescent="0.25">
      <c r="C1984" s="42"/>
    </row>
    <row r="1985" spans="3:3" x14ac:dyDescent="0.25">
      <c r="C1985" s="42"/>
    </row>
    <row r="1986" spans="3:3" x14ac:dyDescent="0.25">
      <c r="C1986" s="42"/>
    </row>
    <row r="1987" spans="3:3" x14ac:dyDescent="0.25">
      <c r="C1987" s="42"/>
    </row>
    <row r="1988" spans="3:3" x14ac:dyDescent="0.25">
      <c r="C1988" s="42"/>
    </row>
    <row r="1989" spans="3:3" x14ac:dyDescent="0.25">
      <c r="C1989" s="42"/>
    </row>
    <row r="1990" spans="3:3" x14ac:dyDescent="0.25">
      <c r="C1990" s="42"/>
    </row>
    <row r="1991" spans="3:3" x14ac:dyDescent="0.25">
      <c r="C1991" s="42"/>
    </row>
    <row r="1992" spans="3:3" x14ac:dyDescent="0.25">
      <c r="C1992" s="42"/>
    </row>
    <row r="1993" spans="3:3" x14ac:dyDescent="0.25">
      <c r="C1993" s="42"/>
    </row>
    <row r="1994" spans="3:3" x14ac:dyDescent="0.25">
      <c r="C1994" s="42"/>
    </row>
    <row r="1995" spans="3:3" x14ac:dyDescent="0.25">
      <c r="C1995" s="42"/>
    </row>
    <row r="1996" spans="3:3" x14ac:dyDescent="0.25">
      <c r="C1996" s="42"/>
    </row>
    <row r="1997" spans="3:3" x14ac:dyDescent="0.25">
      <c r="C1997" s="42"/>
    </row>
    <row r="1998" spans="3:3" x14ac:dyDescent="0.25">
      <c r="C1998" s="42"/>
    </row>
    <row r="1999" spans="3:3" x14ac:dyDescent="0.25">
      <c r="C1999" s="42"/>
    </row>
    <row r="2000" spans="3:3" x14ac:dyDescent="0.25">
      <c r="C2000" s="42"/>
    </row>
    <row r="2001" spans="3:3" x14ac:dyDescent="0.25">
      <c r="C2001" s="42"/>
    </row>
    <row r="2002" spans="3:3" x14ac:dyDescent="0.25">
      <c r="C2002" s="42"/>
    </row>
    <row r="2003" spans="3:3" x14ac:dyDescent="0.25">
      <c r="C2003" s="42"/>
    </row>
    <row r="2004" spans="3:3" x14ac:dyDescent="0.25">
      <c r="C2004" s="42"/>
    </row>
    <row r="2005" spans="3:3" x14ac:dyDescent="0.25">
      <c r="C2005" s="42"/>
    </row>
    <row r="2006" spans="3:3" x14ac:dyDescent="0.25">
      <c r="C2006" s="42"/>
    </row>
    <row r="2007" spans="3:3" x14ac:dyDescent="0.25">
      <c r="C2007" s="42"/>
    </row>
    <row r="2008" spans="3:3" x14ac:dyDescent="0.25">
      <c r="C2008" s="42"/>
    </row>
    <row r="2009" spans="3:3" x14ac:dyDescent="0.25">
      <c r="C2009" s="42"/>
    </row>
    <row r="2010" spans="3:3" x14ac:dyDescent="0.25">
      <c r="C2010" s="42"/>
    </row>
    <row r="2011" spans="3:3" x14ac:dyDescent="0.25">
      <c r="C2011" s="42"/>
    </row>
    <row r="2012" spans="3:3" x14ac:dyDescent="0.25">
      <c r="C2012" s="42"/>
    </row>
    <row r="2013" spans="3:3" x14ac:dyDescent="0.25">
      <c r="C2013" s="42"/>
    </row>
    <row r="2014" spans="3:3" x14ac:dyDescent="0.25">
      <c r="C2014" s="42"/>
    </row>
    <row r="2015" spans="3:3" x14ac:dyDescent="0.25">
      <c r="C2015" s="42"/>
    </row>
    <row r="2016" spans="3:3" x14ac:dyDescent="0.25">
      <c r="C2016" s="42"/>
    </row>
    <row r="2017" spans="3:3" x14ac:dyDescent="0.25">
      <c r="C2017" s="42"/>
    </row>
    <row r="2018" spans="3:3" x14ac:dyDescent="0.25">
      <c r="C2018" s="42"/>
    </row>
    <row r="2019" spans="3:3" x14ac:dyDescent="0.25">
      <c r="C2019" s="42"/>
    </row>
    <row r="2020" spans="3:3" x14ac:dyDescent="0.25">
      <c r="C2020" s="42"/>
    </row>
    <row r="2021" spans="3:3" x14ac:dyDescent="0.25">
      <c r="C2021" s="42"/>
    </row>
    <row r="2022" spans="3:3" x14ac:dyDescent="0.25">
      <c r="C2022" s="42"/>
    </row>
    <row r="2023" spans="3:3" x14ac:dyDescent="0.25">
      <c r="C2023" s="42"/>
    </row>
    <row r="2024" spans="3:3" x14ac:dyDescent="0.25">
      <c r="C2024" s="42"/>
    </row>
    <row r="2025" spans="3:3" x14ac:dyDescent="0.25">
      <c r="C2025" s="42"/>
    </row>
    <row r="2026" spans="3:3" x14ac:dyDescent="0.25">
      <c r="C2026" s="42"/>
    </row>
    <row r="2027" spans="3:3" x14ac:dyDescent="0.25">
      <c r="C2027" s="42"/>
    </row>
    <row r="2028" spans="3:3" x14ac:dyDescent="0.25">
      <c r="C2028" s="42"/>
    </row>
    <row r="2029" spans="3:3" x14ac:dyDescent="0.25">
      <c r="C2029" s="42"/>
    </row>
    <row r="2030" spans="3:3" x14ac:dyDescent="0.25">
      <c r="C2030" s="42"/>
    </row>
    <row r="2031" spans="3:3" x14ac:dyDescent="0.25">
      <c r="C2031" s="42"/>
    </row>
    <row r="2032" spans="3:3" x14ac:dyDescent="0.25">
      <c r="C2032" s="42"/>
    </row>
    <row r="2033" spans="3:3" x14ac:dyDescent="0.25">
      <c r="C2033" s="42"/>
    </row>
    <row r="2034" spans="3:3" x14ac:dyDescent="0.25">
      <c r="C2034" s="42"/>
    </row>
    <row r="2035" spans="3:3" x14ac:dyDescent="0.25">
      <c r="C2035" s="42"/>
    </row>
    <row r="2036" spans="3:3" x14ac:dyDescent="0.25">
      <c r="C2036" s="42"/>
    </row>
    <row r="2037" spans="3:3" x14ac:dyDescent="0.25">
      <c r="C2037" s="42"/>
    </row>
    <row r="2038" spans="3:3" x14ac:dyDescent="0.25">
      <c r="C2038" s="42"/>
    </row>
    <row r="2039" spans="3:3" x14ac:dyDescent="0.25">
      <c r="C2039" s="42"/>
    </row>
    <row r="2040" spans="3:3" x14ac:dyDescent="0.25">
      <c r="C2040" s="42"/>
    </row>
    <row r="2041" spans="3:3" x14ac:dyDescent="0.25">
      <c r="C2041" s="42"/>
    </row>
    <row r="2042" spans="3:3" x14ac:dyDescent="0.25">
      <c r="C2042" s="42"/>
    </row>
    <row r="2043" spans="3:3" x14ac:dyDescent="0.25">
      <c r="C2043" s="42"/>
    </row>
    <row r="2044" spans="3:3" x14ac:dyDescent="0.25">
      <c r="C2044" s="42"/>
    </row>
    <row r="2045" spans="3:3" x14ac:dyDescent="0.25">
      <c r="C2045" s="42"/>
    </row>
    <row r="2046" spans="3:3" x14ac:dyDescent="0.25">
      <c r="C2046" s="42"/>
    </row>
    <row r="2047" spans="3:3" x14ac:dyDescent="0.25">
      <c r="C2047" s="42"/>
    </row>
    <row r="2048" spans="3:3" x14ac:dyDescent="0.25">
      <c r="C2048" s="42"/>
    </row>
    <row r="2049" spans="3:3" x14ac:dyDescent="0.25">
      <c r="C2049" s="42"/>
    </row>
    <row r="2050" spans="3:3" x14ac:dyDescent="0.25">
      <c r="C2050" s="42"/>
    </row>
    <row r="2051" spans="3:3" x14ac:dyDescent="0.25">
      <c r="C2051" s="42"/>
    </row>
    <row r="2052" spans="3:3" x14ac:dyDescent="0.25">
      <c r="C2052" s="42"/>
    </row>
    <row r="2053" spans="3:3" x14ac:dyDescent="0.25">
      <c r="C2053" s="42"/>
    </row>
    <row r="2054" spans="3:3" x14ac:dyDescent="0.25">
      <c r="C2054" s="42"/>
    </row>
    <row r="2055" spans="3:3" x14ac:dyDescent="0.25">
      <c r="C2055" s="42"/>
    </row>
    <row r="2056" spans="3:3" x14ac:dyDescent="0.25">
      <c r="C2056" s="42"/>
    </row>
    <row r="2057" spans="3:3" x14ac:dyDescent="0.25">
      <c r="C2057" s="42"/>
    </row>
    <row r="2058" spans="3:3" x14ac:dyDescent="0.25">
      <c r="C2058" s="42"/>
    </row>
    <row r="2059" spans="3:3" x14ac:dyDescent="0.25">
      <c r="C2059" s="42"/>
    </row>
    <row r="2060" spans="3:3" x14ac:dyDescent="0.25">
      <c r="C2060" s="42"/>
    </row>
    <row r="2061" spans="3:3" x14ac:dyDescent="0.25">
      <c r="C2061" s="42"/>
    </row>
    <row r="2062" spans="3:3" x14ac:dyDescent="0.25">
      <c r="C2062" s="42"/>
    </row>
    <row r="2063" spans="3:3" x14ac:dyDescent="0.25">
      <c r="C2063" s="42"/>
    </row>
    <row r="2064" spans="3:3" x14ac:dyDescent="0.25">
      <c r="C2064" s="42"/>
    </row>
    <row r="2065" spans="3:3" x14ac:dyDescent="0.25">
      <c r="C2065" s="42"/>
    </row>
    <row r="2066" spans="3:3" x14ac:dyDescent="0.25">
      <c r="C2066" s="42"/>
    </row>
    <row r="2067" spans="3:3" x14ac:dyDescent="0.25">
      <c r="C2067" s="42"/>
    </row>
    <row r="2068" spans="3:3" x14ac:dyDescent="0.25">
      <c r="C2068" s="42"/>
    </row>
    <row r="2069" spans="3:3" x14ac:dyDescent="0.25">
      <c r="C2069" s="42"/>
    </row>
    <row r="2070" spans="3:3" x14ac:dyDescent="0.25">
      <c r="C2070" s="42"/>
    </row>
    <row r="2071" spans="3:3" x14ac:dyDescent="0.25">
      <c r="C2071" s="42"/>
    </row>
    <row r="2072" spans="3:3" x14ac:dyDescent="0.25">
      <c r="C2072" s="42"/>
    </row>
    <row r="2073" spans="3:3" x14ac:dyDescent="0.25">
      <c r="C2073" s="42"/>
    </row>
    <row r="2074" spans="3:3" x14ac:dyDescent="0.25">
      <c r="C2074" s="42"/>
    </row>
    <row r="2075" spans="3:3" x14ac:dyDescent="0.25">
      <c r="C2075" s="42"/>
    </row>
    <row r="2076" spans="3:3" x14ac:dyDescent="0.25">
      <c r="C2076" s="42"/>
    </row>
    <row r="2077" spans="3:3" x14ac:dyDescent="0.25">
      <c r="C2077" s="42"/>
    </row>
    <row r="2078" spans="3:3" x14ac:dyDescent="0.25">
      <c r="C2078" s="42"/>
    </row>
    <row r="2079" spans="3:3" x14ac:dyDescent="0.25">
      <c r="C2079" s="42"/>
    </row>
    <row r="2080" spans="3:3" x14ac:dyDescent="0.25">
      <c r="C2080" s="42"/>
    </row>
    <row r="2081" spans="3:3" x14ac:dyDescent="0.25">
      <c r="C2081" s="42"/>
    </row>
    <row r="2082" spans="3:3" x14ac:dyDescent="0.25">
      <c r="C2082" s="42"/>
    </row>
    <row r="2083" spans="3:3" x14ac:dyDescent="0.25">
      <c r="C2083" s="42"/>
    </row>
    <row r="2084" spans="3:3" x14ac:dyDescent="0.25">
      <c r="C2084" s="42"/>
    </row>
    <row r="2085" spans="3:3" x14ac:dyDescent="0.25">
      <c r="C2085" s="42"/>
    </row>
    <row r="2086" spans="3:3" x14ac:dyDescent="0.25">
      <c r="C2086" s="42"/>
    </row>
    <row r="2087" spans="3:3" x14ac:dyDescent="0.25">
      <c r="C2087" s="42"/>
    </row>
    <row r="2088" spans="3:3" x14ac:dyDescent="0.25">
      <c r="C2088" s="42"/>
    </row>
    <row r="2089" spans="3:3" x14ac:dyDescent="0.25">
      <c r="C2089" s="42"/>
    </row>
    <row r="2090" spans="3:3" x14ac:dyDescent="0.25">
      <c r="C2090" s="42"/>
    </row>
    <row r="2091" spans="3:3" x14ac:dyDescent="0.25">
      <c r="C2091" s="42"/>
    </row>
    <row r="2092" spans="3:3" x14ac:dyDescent="0.25">
      <c r="C2092" s="42"/>
    </row>
    <row r="2093" spans="3:3" x14ac:dyDescent="0.25">
      <c r="C2093" s="42"/>
    </row>
    <row r="2094" spans="3:3" x14ac:dyDescent="0.25">
      <c r="C2094" s="42"/>
    </row>
    <row r="2095" spans="3:3" x14ac:dyDescent="0.25">
      <c r="C2095" s="42"/>
    </row>
    <row r="2096" spans="3:3" x14ac:dyDescent="0.25">
      <c r="C2096" s="42"/>
    </row>
    <row r="2097" spans="3:3" x14ac:dyDescent="0.25">
      <c r="C2097" s="42"/>
    </row>
    <row r="2098" spans="3:3" x14ac:dyDescent="0.25">
      <c r="C2098" s="42"/>
    </row>
    <row r="2099" spans="3:3" x14ac:dyDescent="0.25">
      <c r="C2099" s="42"/>
    </row>
    <row r="2100" spans="3:3" x14ac:dyDescent="0.25">
      <c r="C2100" s="42"/>
    </row>
    <row r="2101" spans="3:3" x14ac:dyDescent="0.25">
      <c r="C2101" s="42"/>
    </row>
    <row r="2102" spans="3:3" x14ac:dyDescent="0.25">
      <c r="C2102" s="42"/>
    </row>
    <row r="2103" spans="3:3" x14ac:dyDescent="0.25">
      <c r="C2103" s="42"/>
    </row>
    <row r="2104" spans="3:3" x14ac:dyDescent="0.25">
      <c r="C2104" s="42"/>
    </row>
    <row r="2105" spans="3:3" x14ac:dyDescent="0.25">
      <c r="C2105" s="42"/>
    </row>
    <row r="2106" spans="3:3" x14ac:dyDescent="0.25">
      <c r="C2106" s="42"/>
    </row>
    <row r="2107" spans="3:3" x14ac:dyDescent="0.25">
      <c r="C2107" s="42"/>
    </row>
    <row r="2108" spans="3:3" x14ac:dyDescent="0.25">
      <c r="C2108" s="42"/>
    </row>
    <row r="2109" spans="3:3" x14ac:dyDescent="0.25">
      <c r="C2109" s="42"/>
    </row>
    <row r="2110" spans="3:3" x14ac:dyDescent="0.25">
      <c r="C2110" s="42"/>
    </row>
    <row r="2111" spans="3:3" x14ac:dyDescent="0.25">
      <c r="C2111" s="42"/>
    </row>
    <row r="2112" spans="3:3" x14ac:dyDescent="0.25">
      <c r="C2112" s="42"/>
    </row>
    <row r="2113" spans="3:3" x14ac:dyDescent="0.25">
      <c r="C2113" s="42"/>
    </row>
    <row r="2114" spans="3:3" x14ac:dyDescent="0.25">
      <c r="C2114" s="42"/>
    </row>
    <row r="2115" spans="3:3" x14ac:dyDescent="0.25">
      <c r="C2115" s="42"/>
    </row>
    <row r="2116" spans="3:3" x14ac:dyDescent="0.25">
      <c r="C2116" s="42"/>
    </row>
    <row r="2117" spans="3:3" x14ac:dyDescent="0.25">
      <c r="C2117" s="42"/>
    </row>
    <row r="2118" spans="3:3" x14ac:dyDescent="0.25">
      <c r="C2118" s="42"/>
    </row>
    <row r="2119" spans="3:3" x14ac:dyDescent="0.25">
      <c r="C2119" s="42"/>
    </row>
    <row r="2120" spans="3:3" x14ac:dyDescent="0.25">
      <c r="C2120" s="42"/>
    </row>
    <row r="2121" spans="3:3" x14ac:dyDescent="0.25">
      <c r="C2121" s="42"/>
    </row>
    <row r="2122" spans="3:3" x14ac:dyDescent="0.25">
      <c r="C2122" s="42"/>
    </row>
    <row r="2123" spans="3:3" x14ac:dyDescent="0.25">
      <c r="C2123" s="42"/>
    </row>
    <row r="2124" spans="3:3" x14ac:dyDescent="0.25">
      <c r="C2124" s="42"/>
    </row>
    <row r="2125" spans="3:3" x14ac:dyDescent="0.25">
      <c r="C2125" s="42"/>
    </row>
    <row r="2126" spans="3:3" x14ac:dyDescent="0.25">
      <c r="C2126" s="42"/>
    </row>
    <row r="2127" spans="3:3" x14ac:dyDescent="0.25">
      <c r="C2127" s="42"/>
    </row>
    <row r="2128" spans="3:3" x14ac:dyDescent="0.25">
      <c r="C2128" s="42"/>
    </row>
    <row r="2129" spans="3:3" x14ac:dyDescent="0.25">
      <c r="C2129" s="42"/>
    </row>
    <row r="2130" spans="3:3" x14ac:dyDescent="0.25">
      <c r="C2130" s="42"/>
    </row>
    <row r="2131" spans="3:3" x14ac:dyDescent="0.25">
      <c r="C2131" s="42"/>
    </row>
    <row r="2132" spans="3:3" x14ac:dyDescent="0.25">
      <c r="C2132" s="42"/>
    </row>
    <row r="2133" spans="3:3" x14ac:dyDescent="0.25">
      <c r="C2133" s="42"/>
    </row>
    <row r="2134" spans="3:3" x14ac:dyDescent="0.25">
      <c r="C2134" s="42"/>
    </row>
    <row r="2135" spans="3:3" x14ac:dyDescent="0.25">
      <c r="C2135" s="42"/>
    </row>
    <row r="2136" spans="3:3" x14ac:dyDescent="0.25">
      <c r="C2136" s="42"/>
    </row>
    <row r="2137" spans="3:3" x14ac:dyDescent="0.25">
      <c r="C2137" s="42"/>
    </row>
    <row r="2138" spans="3:3" x14ac:dyDescent="0.25">
      <c r="C2138" s="42"/>
    </row>
    <row r="2139" spans="3:3" x14ac:dyDescent="0.25">
      <c r="C2139" s="42"/>
    </row>
    <row r="2140" spans="3:3" x14ac:dyDescent="0.25">
      <c r="C2140" s="42"/>
    </row>
    <row r="2141" spans="3:3" x14ac:dyDescent="0.25">
      <c r="C2141" s="42"/>
    </row>
    <row r="2142" spans="3:3" x14ac:dyDescent="0.25">
      <c r="C2142" s="42"/>
    </row>
    <row r="2143" spans="3:3" x14ac:dyDescent="0.25">
      <c r="C2143" s="42"/>
    </row>
    <row r="2144" spans="3:3" x14ac:dyDescent="0.25">
      <c r="C2144" s="42"/>
    </row>
    <row r="2145" spans="3:3" x14ac:dyDescent="0.25">
      <c r="C2145" s="42"/>
    </row>
    <row r="2146" spans="3:3" x14ac:dyDescent="0.25">
      <c r="C2146" s="42"/>
    </row>
    <row r="2147" spans="3:3" x14ac:dyDescent="0.25">
      <c r="C2147" s="42"/>
    </row>
    <row r="2148" spans="3:3" x14ac:dyDescent="0.25">
      <c r="C2148" s="42"/>
    </row>
    <row r="2149" spans="3:3" x14ac:dyDescent="0.25">
      <c r="C2149" s="42"/>
    </row>
    <row r="2150" spans="3:3" x14ac:dyDescent="0.25">
      <c r="C2150" s="42"/>
    </row>
    <row r="2151" spans="3:3" x14ac:dyDescent="0.25">
      <c r="C2151" s="42"/>
    </row>
    <row r="2152" spans="3:3" x14ac:dyDescent="0.25">
      <c r="C2152" s="42"/>
    </row>
    <row r="2153" spans="3:3" x14ac:dyDescent="0.25">
      <c r="C2153" s="42"/>
    </row>
    <row r="2154" spans="3:3" x14ac:dyDescent="0.25">
      <c r="C2154" s="42"/>
    </row>
    <row r="2155" spans="3:3" x14ac:dyDescent="0.25">
      <c r="C2155" s="42"/>
    </row>
    <row r="2156" spans="3:3" x14ac:dyDescent="0.25">
      <c r="C2156" s="42"/>
    </row>
    <row r="2157" spans="3:3" x14ac:dyDescent="0.25">
      <c r="C2157" s="42"/>
    </row>
    <row r="2158" spans="3:3" x14ac:dyDescent="0.25">
      <c r="C2158" s="42"/>
    </row>
    <row r="2159" spans="3:3" x14ac:dyDescent="0.25">
      <c r="C2159" s="42"/>
    </row>
    <row r="2160" spans="3:3" x14ac:dyDescent="0.25">
      <c r="C2160" s="42"/>
    </row>
    <row r="2161" spans="3:3" x14ac:dyDescent="0.25">
      <c r="C2161" s="42"/>
    </row>
    <row r="2162" spans="3:3" x14ac:dyDescent="0.25">
      <c r="C2162" s="42"/>
    </row>
    <row r="2163" spans="3:3" x14ac:dyDescent="0.25">
      <c r="C2163" s="42"/>
    </row>
    <row r="2164" spans="3:3" x14ac:dyDescent="0.25">
      <c r="C2164" s="42"/>
    </row>
    <row r="2165" spans="3:3" x14ac:dyDescent="0.25">
      <c r="C2165" s="42"/>
    </row>
    <row r="2166" spans="3:3" x14ac:dyDescent="0.25">
      <c r="C2166" s="42"/>
    </row>
    <row r="2167" spans="3:3" x14ac:dyDescent="0.25">
      <c r="C2167" s="42"/>
    </row>
    <row r="2168" spans="3:3" x14ac:dyDescent="0.25">
      <c r="C2168" s="42"/>
    </row>
    <row r="2169" spans="3:3" x14ac:dyDescent="0.25">
      <c r="C2169" s="42"/>
    </row>
    <row r="2170" spans="3:3" x14ac:dyDescent="0.25">
      <c r="C2170" s="42"/>
    </row>
    <row r="2171" spans="3:3" x14ac:dyDescent="0.25">
      <c r="C2171" s="42"/>
    </row>
    <row r="2172" spans="3:3" x14ac:dyDescent="0.25">
      <c r="C2172" s="42"/>
    </row>
    <row r="2173" spans="3:3" x14ac:dyDescent="0.25">
      <c r="C2173" s="42"/>
    </row>
    <row r="2174" spans="3:3" x14ac:dyDescent="0.25">
      <c r="C2174" s="42"/>
    </row>
    <row r="2175" spans="3:3" x14ac:dyDescent="0.25">
      <c r="C2175" s="42"/>
    </row>
    <row r="2176" spans="3:3" x14ac:dyDescent="0.25">
      <c r="C2176" s="42"/>
    </row>
    <row r="2177" spans="3:3" x14ac:dyDescent="0.25">
      <c r="C2177" s="42"/>
    </row>
    <row r="2178" spans="3:3" x14ac:dyDescent="0.25">
      <c r="C2178" s="42"/>
    </row>
    <row r="2179" spans="3:3" x14ac:dyDescent="0.25">
      <c r="C2179" s="42"/>
    </row>
    <row r="2180" spans="3:3" x14ac:dyDescent="0.25">
      <c r="C2180" s="42"/>
    </row>
    <row r="2181" spans="3:3" x14ac:dyDescent="0.25">
      <c r="C2181" s="42"/>
    </row>
    <row r="2182" spans="3:3" x14ac:dyDescent="0.25">
      <c r="C2182" s="42"/>
    </row>
    <row r="2183" spans="3:3" x14ac:dyDescent="0.25">
      <c r="C2183" s="42"/>
    </row>
    <row r="2184" spans="3:3" x14ac:dyDescent="0.25">
      <c r="C2184" s="42"/>
    </row>
    <row r="2185" spans="3:3" x14ac:dyDescent="0.25">
      <c r="C2185" s="42"/>
    </row>
    <row r="2186" spans="3:3" x14ac:dyDescent="0.25">
      <c r="C2186" s="42"/>
    </row>
    <row r="2187" spans="3:3" x14ac:dyDescent="0.25">
      <c r="C2187" s="42"/>
    </row>
    <row r="2188" spans="3:3" x14ac:dyDescent="0.25">
      <c r="C2188" s="42"/>
    </row>
    <row r="2189" spans="3:3" x14ac:dyDescent="0.25">
      <c r="C2189" s="42"/>
    </row>
    <row r="2190" spans="3:3" x14ac:dyDescent="0.25">
      <c r="C2190" s="42"/>
    </row>
    <row r="2191" spans="3:3" x14ac:dyDescent="0.25">
      <c r="C2191" s="42"/>
    </row>
    <row r="2192" spans="3:3" x14ac:dyDescent="0.25">
      <c r="C2192" s="42"/>
    </row>
    <row r="2193" spans="3:3" x14ac:dyDescent="0.25">
      <c r="C2193" s="42"/>
    </row>
    <row r="2194" spans="3:3" x14ac:dyDescent="0.25">
      <c r="C2194" s="42"/>
    </row>
    <row r="2195" spans="3:3" x14ac:dyDescent="0.25">
      <c r="C2195" s="42"/>
    </row>
    <row r="2196" spans="3:3" x14ac:dyDescent="0.25">
      <c r="C2196" s="42"/>
    </row>
    <row r="2197" spans="3:3" x14ac:dyDescent="0.25">
      <c r="C2197" s="42"/>
    </row>
    <row r="2198" spans="3:3" x14ac:dyDescent="0.25">
      <c r="C2198" s="42"/>
    </row>
    <row r="2199" spans="3:3" x14ac:dyDescent="0.25">
      <c r="C2199" s="42"/>
    </row>
    <row r="2200" spans="3:3" x14ac:dyDescent="0.25">
      <c r="C2200" s="42"/>
    </row>
    <row r="2201" spans="3:3" x14ac:dyDescent="0.25">
      <c r="C2201" s="42"/>
    </row>
    <row r="2202" spans="3:3" x14ac:dyDescent="0.25">
      <c r="C2202" s="42"/>
    </row>
    <row r="2203" spans="3:3" x14ac:dyDescent="0.25">
      <c r="C2203" s="42"/>
    </row>
    <row r="2204" spans="3:3" x14ac:dyDescent="0.25">
      <c r="C2204" s="42"/>
    </row>
    <row r="2205" spans="3:3" x14ac:dyDescent="0.25">
      <c r="C2205" s="42"/>
    </row>
    <row r="2206" spans="3:3" x14ac:dyDescent="0.25">
      <c r="C2206" s="42"/>
    </row>
    <row r="2207" spans="3:3" x14ac:dyDescent="0.25">
      <c r="C2207" s="42"/>
    </row>
    <row r="2208" spans="3:3" x14ac:dyDescent="0.25">
      <c r="C2208" s="42"/>
    </row>
    <row r="2209" spans="3:3" x14ac:dyDescent="0.25">
      <c r="C2209" s="42"/>
    </row>
    <row r="2210" spans="3:3" x14ac:dyDescent="0.25">
      <c r="C2210" s="42"/>
    </row>
    <row r="2211" spans="3:3" x14ac:dyDescent="0.25">
      <c r="C2211" s="42"/>
    </row>
    <row r="2212" spans="3:3" x14ac:dyDescent="0.25">
      <c r="C2212" s="42"/>
    </row>
    <row r="2213" spans="3:3" x14ac:dyDescent="0.25">
      <c r="C2213" s="42"/>
    </row>
    <row r="2214" spans="3:3" x14ac:dyDescent="0.25">
      <c r="C2214" s="42"/>
    </row>
    <row r="2215" spans="3:3" x14ac:dyDescent="0.25">
      <c r="C2215" s="42"/>
    </row>
    <row r="2216" spans="3:3" x14ac:dyDescent="0.25">
      <c r="C2216" s="42"/>
    </row>
    <row r="2217" spans="3:3" x14ac:dyDescent="0.25">
      <c r="C2217" s="42"/>
    </row>
    <row r="2218" spans="3:3" x14ac:dyDescent="0.25">
      <c r="C2218" s="42"/>
    </row>
    <row r="2219" spans="3:3" x14ac:dyDescent="0.25">
      <c r="C2219" s="42"/>
    </row>
    <row r="2220" spans="3:3" x14ac:dyDescent="0.25">
      <c r="C2220" s="42"/>
    </row>
    <row r="2221" spans="3:3" x14ac:dyDescent="0.25">
      <c r="C2221" s="42"/>
    </row>
    <row r="2222" spans="3:3" x14ac:dyDescent="0.25">
      <c r="C2222" s="42"/>
    </row>
    <row r="2223" spans="3:3" x14ac:dyDescent="0.25">
      <c r="C2223" s="42"/>
    </row>
    <row r="2224" spans="3:3" x14ac:dyDescent="0.25">
      <c r="C2224" s="42"/>
    </row>
    <row r="2225" spans="3:3" x14ac:dyDescent="0.25">
      <c r="C2225" s="42"/>
    </row>
    <row r="2226" spans="3:3" x14ac:dyDescent="0.25">
      <c r="C2226" s="42"/>
    </row>
    <row r="2227" spans="3:3" x14ac:dyDescent="0.25">
      <c r="C2227" s="42"/>
    </row>
    <row r="2228" spans="3:3" x14ac:dyDescent="0.25">
      <c r="C2228" s="42"/>
    </row>
    <row r="2229" spans="3:3" x14ac:dyDescent="0.25">
      <c r="C2229" s="42"/>
    </row>
    <row r="2230" spans="3:3" x14ac:dyDescent="0.25">
      <c r="C2230" s="42"/>
    </row>
    <row r="2231" spans="3:3" x14ac:dyDescent="0.25">
      <c r="C2231" s="42"/>
    </row>
    <row r="2232" spans="3:3" x14ac:dyDescent="0.25">
      <c r="C2232" s="42"/>
    </row>
    <row r="2233" spans="3:3" x14ac:dyDescent="0.25">
      <c r="C2233" s="42"/>
    </row>
    <row r="2234" spans="3:3" x14ac:dyDescent="0.25">
      <c r="C2234" s="42"/>
    </row>
    <row r="2235" spans="3:3" x14ac:dyDescent="0.25">
      <c r="C2235" s="42"/>
    </row>
    <row r="2236" spans="3:3" x14ac:dyDescent="0.25">
      <c r="C2236" s="42"/>
    </row>
    <row r="2237" spans="3:3" x14ac:dyDescent="0.25">
      <c r="C2237" s="42"/>
    </row>
    <row r="2238" spans="3:3" x14ac:dyDescent="0.25">
      <c r="C2238" s="42"/>
    </row>
    <row r="2239" spans="3:3" x14ac:dyDescent="0.25">
      <c r="C2239" s="42"/>
    </row>
    <row r="2240" spans="3:3" x14ac:dyDescent="0.25">
      <c r="C2240" s="42"/>
    </row>
    <row r="2241" spans="3:3" x14ac:dyDescent="0.25">
      <c r="C2241" s="42"/>
    </row>
    <row r="2242" spans="3:3" x14ac:dyDescent="0.25">
      <c r="C2242" s="42"/>
    </row>
    <row r="2243" spans="3:3" x14ac:dyDescent="0.25">
      <c r="C2243" s="42"/>
    </row>
    <row r="2244" spans="3:3" x14ac:dyDescent="0.25">
      <c r="C2244" s="42"/>
    </row>
    <row r="2245" spans="3:3" x14ac:dyDescent="0.25">
      <c r="C2245" s="42"/>
    </row>
    <row r="2246" spans="3:3" x14ac:dyDescent="0.25">
      <c r="C2246" s="42"/>
    </row>
    <row r="2247" spans="3:3" x14ac:dyDescent="0.25">
      <c r="C2247" s="42"/>
    </row>
    <row r="2248" spans="3:3" x14ac:dyDescent="0.25">
      <c r="C2248" s="42"/>
    </row>
    <row r="2249" spans="3:3" x14ac:dyDescent="0.25">
      <c r="C2249" s="42"/>
    </row>
    <row r="2250" spans="3:3" x14ac:dyDescent="0.25">
      <c r="C2250" s="42"/>
    </row>
    <row r="2251" spans="3:3" x14ac:dyDescent="0.25">
      <c r="C2251" s="42"/>
    </row>
    <row r="2252" spans="3:3" x14ac:dyDescent="0.25">
      <c r="C2252" s="42"/>
    </row>
    <row r="2253" spans="3:3" x14ac:dyDescent="0.25">
      <c r="C2253" s="42"/>
    </row>
    <row r="2254" spans="3:3" x14ac:dyDescent="0.25">
      <c r="C2254" s="42"/>
    </row>
    <row r="2255" spans="3:3" x14ac:dyDescent="0.25">
      <c r="C2255" s="42"/>
    </row>
    <row r="2256" spans="3:3" x14ac:dyDescent="0.25">
      <c r="C2256" s="42"/>
    </row>
    <row r="2257" spans="3:3" x14ac:dyDescent="0.25">
      <c r="C2257" s="42"/>
    </row>
    <row r="2258" spans="3:3" x14ac:dyDescent="0.25">
      <c r="C2258" s="42"/>
    </row>
    <row r="2259" spans="3:3" x14ac:dyDescent="0.25">
      <c r="C2259" s="42"/>
    </row>
    <row r="2260" spans="3:3" x14ac:dyDescent="0.25">
      <c r="C2260" s="42"/>
    </row>
    <row r="2261" spans="3:3" x14ac:dyDescent="0.25">
      <c r="C2261" s="42"/>
    </row>
    <row r="2262" spans="3:3" x14ac:dyDescent="0.25">
      <c r="C2262" s="42"/>
    </row>
    <row r="2263" spans="3:3" x14ac:dyDescent="0.25">
      <c r="C2263" s="42"/>
    </row>
    <row r="2264" spans="3:3" x14ac:dyDescent="0.25">
      <c r="C2264" s="42"/>
    </row>
    <row r="2265" spans="3:3" x14ac:dyDescent="0.25">
      <c r="C2265" s="42"/>
    </row>
    <row r="2266" spans="3:3" x14ac:dyDescent="0.25">
      <c r="C2266" s="42"/>
    </row>
    <row r="2267" spans="3:3" x14ac:dyDescent="0.25">
      <c r="C2267" s="42"/>
    </row>
    <row r="2268" spans="3:3" x14ac:dyDescent="0.25">
      <c r="C2268" s="42"/>
    </row>
    <row r="2269" spans="3:3" x14ac:dyDescent="0.25">
      <c r="C2269" s="42"/>
    </row>
    <row r="2270" spans="3:3" x14ac:dyDescent="0.25">
      <c r="C2270" s="42"/>
    </row>
    <row r="2271" spans="3:3" x14ac:dyDescent="0.25">
      <c r="C2271" s="42"/>
    </row>
    <row r="2272" spans="3:3" x14ac:dyDescent="0.25">
      <c r="C2272" s="42"/>
    </row>
    <row r="2273" spans="3:3" x14ac:dyDescent="0.25">
      <c r="C2273" s="42"/>
    </row>
    <row r="2274" spans="3:3" x14ac:dyDescent="0.25">
      <c r="C2274" s="42"/>
    </row>
    <row r="2275" spans="3:3" x14ac:dyDescent="0.25">
      <c r="C2275" s="42"/>
    </row>
    <row r="2276" spans="3:3" x14ac:dyDescent="0.25">
      <c r="C2276" s="42"/>
    </row>
    <row r="2277" spans="3:3" x14ac:dyDescent="0.25">
      <c r="C2277" s="42"/>
    </row>
    <row r="2278" spans="3:3" x14ac:dyDescent="0.25">
      <c r="C2278" s="42"/>
    </row>
    <row r="2279" spans="3:3" x14ac:dyDescent="0.25">
      <c r="C2279" s="42"/>
    </row>
    <row r="2280" spans="3:3" x14ac:dyDescent="0.25">
      <c r="C2280" s="42"/>
    </row>
    <row r="2281" spans="3:3" x14ac:dyDescent="0.25">
      <c r="C2281" s="42"/>
    </row>
    <row r="2282" spans="3:3" x14ac:dyDescent="0.25">
      <c r="C2282" s="42"/>
    </row>
    <row r="2283" spans="3:3" x14ac:dyDescent="0.25">
      <c r="C2283" s="42"/>
    </row>
    <row r="2284" spans="3:3" x14ac:dyDescent="0.25">
      <c r="C2284" s="42"/>
    </row>
    <row r="2285" spans="3:3" x14ac:dyDescent="0.25">
      <c r="C2285" s="42"/>
    </row>
    <row r="2286" spans="3:3" x14ac:dyDescent="0.25">
      <c r="C2286" s="42"/>
    </row>
    <row r="2287" spans="3:3" x14ac:dyDescent="0.25">
      <c r="C2287" s="42"/>
    </row>
    <row r="2288" spans="3:3" x14ac:dyDescent="0.25">
      <c r="C2288" s="42"/>
    </row>
    <row r="2289" spans="3:3" x14ac:dyDescent="0.25">
      <c r="C2289" s="42"/>
    </row>
    <row r="2290" spans="3:3" x14ac:dyDescent="0.25">
      <c r="C2290" s="42"/>
    </row>
    <row r="2291" spans="3:3" x14ac:dyDescent="0.25">
      <c r="C2291" s="42"/>
    </row>
    <row r="2292" spans="3:3" x14ac:dyDescent="0.25">
      <c r="C2292" s="42"/>
    </row>
    <row r="2293" spans="3:3" x14ac:dyDescent="0.25">
      <c r="C2293" s="42"/>
    </row>
    <row r="2294" spans="3:3" x14ac:dyDescent="0.25">
      <c r="C2294" s="42"/>
    </row>
    <row r="2295" spans="3:3" x14ac:dyDescent="0.25">
      <c r="C2295" s="42"/>
    </row>
    <row r="2296" spans="3:3" x14ac:dyDescent="0.25">
      <c r="C2296" s="42"/>
    </row>
    <row r="2297" spans="3:3" x14ac:dyDescent="0.25">
      <c r="C2297" s="42"/>
    </row>
    <row r="2298" spans="3:3" x14ac:dyDescent="0.25">
      <c r="C2298" s="42"/>
    </row>
    <row r="2299" spans="3:3" x14ac:dyDescent="0.25">
      <c r="C2299" s="42"/>
    </row>
    <row r="2300" spans="3:3" x14ac:dyDescent="0.25">
      <c r="C2300" s="42"/>
    </row>
    <row r="2301" spans="3:3" x14ac:dyDescent="0.25">
      <c r="C2301" s="42"/>
    </row>
    <row r="2302" spans="3:3" x14ac:dyDescent="0.25">
      <c r="C2302" s="42"/>
    </row>
    <row r="2303" spans="3:3" x14ac:dyDescent="0.25">
      <c r="C2303" s="42"/>
    </row>
    <row r="2304" spans="3:3" x14ac:dyDescent="0.25">
      <c r="C2304" s="42"/>
    </row>
    <row r="2305" spans="3:3" x14ac:dyDescent="0.25">
      <c r="C2305" s="42"/>
    </row>
    <row r="2306" spans="3:3" x14ac:dyDescent="0.25">
      <c r="C2306" s="42"/>
    </row>
    <row r="2307" spans="3:3" x14ac:dyDescent="0.25">
      <c r="C2307" s="42"/>
    </row>
    <row r="2308" spans="3:3" x14ac:dyDescent="0.25">
      <c r="C2308" s="42"/>
    </row>
    <row r="2309" spans="3:3" x14ac:dyDescent="0.25">
      <c r="C2309" s="42"/>
    </row>
    <row r="2310" spans="3:3" x14ac:dyDescent="0.25">
      <c r="C2310" s="42"/>
    </row>
    <row r="2311" spans="3:3" x14ac:dyDescent="0.25">
      <c r="C2311" s="42"/>
    </row>
    <row r="2312" spans="3:3" x14ac:dyDescent="0.25">
      <c r="C2312" s="42"/>
    </row>
    <row r="2313" spans="3:3" x14ac:dyDescent="0.25">
      <c r="C2313" s="42"/>
    </row>
    <row r="2314" spans="3:3" x14ac:dyDescent="0.25">
      <c r="C2314" s="42"/>
    </row>
    <row r="2315" spans="3:3" x14ac:dyDescent="0.25">
      <c r="C2315" s="42"/>
    </row>
    <row r="2316" spans="3:3" x14ac:dyDescent="0.25">
      <c r="C2316" s="42"/>
    </row>
    <row r="2317" spans="3:3" x14ac:dyDescent="0.25">
      <c r="C2317" s="42"/>
    </row>
    <row r="2318" spans="3:3" x14ac:dyDescent="0.25">
      <c r="C2318" s="42"/>
    </row>
    <row r="2319" spans="3:3" x14ac:dyDescent="0.25">
      <c r="C2319" s="42"/>
    </row>
    <row r="2320" spans="3:3" x14ac:dyDescent="0.25">
      <c r="C2320" s="42"/>
    </row>
    <row r="2321" spans="3:3" x14ac:dyDescent="0.25">
      <c r="C2321" s="42"/>
    </row>
    <row r="2322" spans="3:3" x14ac:dyDescent="0.25">
      <c r="C2322" s="42"/>
    </row>
    <row r="2323" spans="3:3" x14ac:dyDescent="0.25">
      <c r="C2323" s="42"/>
    </row>
    <row r="2324" spans="3:3" x14ac:dyDescent="0.25">
      <c r="C2324" s="42"/>
    </row>
    <row r="2325" spans="3:3" x14ac:dyDescent="0.25">
      <c r="C2325" s="42"/>
    </row>
    <row r="2326" spans="3:3" x14ac:dyDescent="0.25">
      <c r="C2326" s="42"/>
    </row>
    <row r="2327" spans="3:3" x14ac:dyDescent="0.25">
      <c r="C2327" s="42"/>
    </row>
    <row r="2328" spans="3:3" x14ac:dyDescent="0.25">
      <c r="C2328" s="42"/>
    </row>
    <row r="2329" spans="3:3" x14ac:dyDescent="0.25">
      <c r="C2329" s="42"/>
    </row>
    <row r="2330" spans="3:3" x14ac:dyDescent="0.25">
      <c r="C2330" s="42"/>
    </row>
    <row r="2331" spans="3:3" x14ac:dyDescent="0.25">
      <c r="C2331" s="42"/>
    </row>
    <row r="2332" spans="3:3" x14ac:dyDescent="0.25">
      <c r="C2332" s="42"/>
    </row>
    <row r="2333" spans="3:3" x14ac:dyDescent="0.25">
      <c r="C2333" s="42"/>
    </row>
    <row r="2334" spans="3:3" x14ac:dyDescent="0.25">
      <c r="C2334" s="42"/>
    </row>
    <row r="2335" spans="3:3" x14ac:dyDescent="0.25">
      <c r="C2335" s="42"/>
    </row>
    <row r="2336" spans="3:3" x14ac:dyDescent="0.25">
      <c r="C2336" s="42"/>
    </row>
    <row r="2337" spans="3:3" x14ac:dyDescent="0.25">
      <c r="C2337" s="42"/>
    </row>
    <row r="2338" spans="3:3" x14ac:dyDescent="0.25">
      <c r="C2338" s="42"/>
    </row>
    <row r="2339" spans="3:3" x14ac:dyDescent="0.25">
      <c r="C2339" s="42"/>
    </row>
    <row r="2340" spans="3:3" x14ac:dyDescent="0.25">
      <c r="C2340" s="42"/>
    </row>
    <row r="2341" spans="3:3" x14ac:dyDescent="0.25">
      <c r="C2341" s="42"/>
    </row>
    <row r="2342" spans="3:3" x14ac:dyDescent="0.25">
      <c r="C2342" s="42"/>
    </row>
    <row r="2343" spans="3:3" x14ac:dyDescent="0.25">
      <c r="C2343" s="42"/>
    </row>
    <row r="2344" spans="3:3" x14ac:dyDescent="0.25">
      <c r="C2344" s="42"/>
    </row>
    <row r="2345" spans="3:3" x14ac:dyDescent="0.25">
      <c r="C2345" s="42"/>
    </row>
    <row r="2346" spans="3:3" x14ac:dyDescent="0.25">
      <c r="C2346" s="42"/>
    </row>
    <row r="2347" spans="3:3" x14ac:dyDescent="0.25">
      <c r="C2347" s="42"/>
    </row>
    <row r="2348" spans="3:3" x14ac:dyDescent="0.25">
      <c r="C2348" s="42"/>
    </row>
    <row r="2349" spans="3:3" x14ac:dyDescent="0.25">
      <c r="C2349" s="42"/>
    </row>
    <row r="2350" spans="3:3" x14ac:dyDescent="0.25">
      <c r="C2350" s="42"/>
    </row>
    <row r="2351" spans="3:3" x14ac:dyDescent="0.25">
      <c r="C2351" s="42"/>
    </row>
    <row r="2352" spans="3:3" x14ac:dyDescent="0.25">
      <c r="C2352" s="42"/>
    </row>
    <row r="2353" spans="3:3" x14ac:dyDescent="0.25">
      <c r="C2353" s="42"/>
    </row>
    <row r="2354" spans="3:3" x14ac:dyDescent="0.25">
      <c r="C2354" s="42"/>
    </row>
    <row r="2355" spans="3:3" x14ac:dyDescent="0.25">
      <c r="C2355" s="42"/>
    </row>
    <row r="2356" spans="3:3" x14ac:dyDescent="0.25">
      <c r="C2356" s="42"/>
    </row>
    <row r="2357" spans="3:3" x14ac:dyDescent="0.25">
      <c r="C2357" s="42"/>
    </row>
    <row r="2358" spans="3:3" x14ac:dyDescent="0.25">
      <c r="C2358" s="42"/>
    </row>
    <row r="2359" spans="3:3" x14ac:dyDescent="0.25">
      <c r="C2359" s="42"/>
    </row>
    <row r="2360" spans="3:3" x14ac:dyDescent="0.25">
      <c r="C2360" s="42"/>
    </row>
    <row r="2361" spans="3:3" x14ac:dyDescent="0.25">
      <c r="C2361" s="42"/>
    </row>
    <row r="2362" spans="3:3" x14ac:dyDescent="0.25">
      <c r="C2362" s="42"/>
    </row>
    <row r="2363" spans="3:3" x14ac:dyDescent="0.25">
      <c r="C2363" s="42"/>
    </row>
    <row r="2364" spans="3:3" x14ac:dyDescent="0.25">
      <c r="C2364" s="42"/>
    </row>
    <row r="2365" spans="3:3" x14ac:dyDescent="0.25">
      <c r="C2365" s="42"/>
    </row>
    <row r="2366" spans="3:3" x14ac:dyDescent="0.25">
      <c r="C2366" s="42"/>
    </row>
    <row r="2367" spans="3:3" x14ac:dyDescent="0.25">
      <c r="C2367" s="42"/>
    </row>
    <row r="2368" spans="3:3" x14ac:dyDescent="0.25">
      <c r="C2368" s="42"/>
    </row>
    <row r="2369" spans="3:3" x14ac:dyDescent="0.25">
      <c r="C2369" s="42"/>
    </row>
    <row r="2370" spans="3:3" x14ac:dyDescent="0.25">
      <c r="C2370" s="42"/>
    </row>
    <row r="2371" spans="3:3" x14ac:dyDescent="0.25">
      <c r="C2371" s="42"/>
    </row>
    <row r="2372" spans="3:3" x14ac:dyDescent="0.25">
      <c r="C2372" s="42"/>
    </row>
    <row r="2373" spans="3:3" x14ac:dyDescent="0.25">
      <c r="C2373" s="42"/>
    </row>
    <row r="2374" spans="3:3" x14ac:dyDescent="0.25">
      <c r="C2374" s="42"/>
    </row>
    <row r="2375" spans="3:3" x14ac:dyDescent="0.25">
      <c r="C2375" s="42"/>
    </row>
    <row r="2376" spans="3:3" x14ac:dyDescent="0.25">
      <c r="C2376" s="42"/>
    </row>
    <row r="2377" spans="3:3" x14ac:dyDescent="0.25">
      <c r="C2377" s="42"/>
    </row>
    <row r="2378" spans="3:3" x14ac:dyDescent="0.25">
      <c r="C2378" s="42"/>
    </row>
    <row r="2379" spans="3:3" x14ac:dyDescent="0.25">
      <c r="C2379" s="42"/>
    </row>
    <row r="2380" spans="3:3" x14ac:dyDescent="0.25">
      <c r="C2380" s="42"/>
    </row>
    <row r="2381" spans="3:3" x14ac:dyDescent="0.25">
      <c r="C2381" s="42"/>
    </row>
    <row r="2382" spans="3:3" x14ac:dyDescent="0.25">
      <c r="C2382" s="42"/>
    </row>
    <row r="2383" spans="3:3" x14ac:dyDescent="0.25">
      <c r="C2383" s="42"/>
    </row>
    <row r="2384" spans="3:3" x14ac:dyDescent="0.25">
      <c r="C2384" s="42"/>
    </row>
    <row r="2385" spans="3:3" x14ac:dyDescent="0.25">
      <c r="C2385" s="42"/>
    </row>
    <row r="2386" spans="3:3" x14ac:dyDescent="0.25">
      <c r="C2386" s="42"/>
    </row>
    <row r="2387" spans="3:3" x14ac:dyDescent="0.25">
      <c r="C2387" s="42"/>
    </row>
    <row r="2388" spans="3:3" x14ac:dyDescent="0.25">
      <c r="C2388" s="42"/>
    </row>
    <row r="2389" spans="3:3" x14ac:dyDescent="0.25">
      <c r="C2389" s="42"/>
    </row>
    <row r="2390" spans="3:3" x14ac:dyDescent="0.25">
      <c r="C2390" s="42"/>
    </row>
    <row r="2391" spans="3:3" x14ac:dyDescent="0.25">
      <c r="C2391" s="42"/>
    </row>
    <row r="2392" spans="3:3" x14ac:dyDescent="0.25">
      <c r="C2392" s="42"/>
    </row>
    <row r="2393" spans="3:3" x14ac:dyDescent="0.25">
      <c r="C2393" s="42"/>
    </row>
    <row r="2394" spans="3:3" x14ac:dyDescent="0.25">
      <c r="C2394" s="42"/>
    </row>
    <row r="2395" spans="3:3" x14ac:dyDescent="0.25">
      <c r="C2395" s="42"/>
    </row>
    <row r="2396" spans="3:3" x14ac:dyDescent="0.25">
      <c r="C2396" s="42"/>
    </row>
    <row r="2397" spans="3:3" x14ac:dyDescent="0.25">
      <c r="C2397" s="42"/>
    </row>
    <row r="2398" spans="3:3" x14ac:dyDescent="0.25">
      <c r="C2398" s="42"/>
    </row>
    <row r="2399" spans="3:3" x14ac:dyDescent="0.25">
      <c r="C2399" s="42"/>
    </row>
    <row r="2400" spans="3:3" x14ac:dyDescent="0.25">
      <c r="C2400" s="42"/>
    </row>
    <row r="2401" spans="3:3" x14ac:dyDescent="0.25">
      <c r="C2401" s="42"/>
    </row>
    <row r="2402" spans="3:3" x14ac:dyDescent="0.25">
      <c r="C2402" s="42"/>
    </row>
    <row r="2403" spans="3:3" x14ac:dyDescent="0.25">
      <c r="C2403" s="42"/>
    </row>
    <row r="2404" spans="3:3" x14ac:dyDescent="0.25">
      <c r="C2404" s="42"/>
    </row>
    <row r="2405" spans="3:3" x14ac:dyDescent="0.25">
      <c r="C2405" s="42"/>
    </row>
    <row r="2406" spans="3:3" x14ac:dyDescent="0.25">
      <c r="C2406" s="42"/>
    </row>
    <row r="2407" spans="3:3" x14ac:dyDescent="0.25">
      <c r="C2407" s="42"/>
    </row>
    <row r="2408" spans="3:3" x14ac:dyDescent="0.25">
      <c r="C2408" s="42"/>
    </row>
    <row r="2409" spans="3:3" x14ac:dyDescent="0.25">
      <c r="C2409" s="42"/>
    </row>
    <row r="2410" spans="3:3" x14ac:dyDescent="0.25">
      <c r="C2410" s="42"/>
    </row>
    <row r="2411" spans="3:3" x14ac:dyDescent="0.25">
      <c r="C2411" s="42"/>
    </row>
    <row r="2412" spans="3:3" x14ac:dyDescent="0.25">
      <c r="C2412" s="42"/>
    </row>
    <row r="2413" spans="3:3" x14ac:dyDescent="0.25">
      <c r="C2413" s="42"/>
    </row>
    <row r="2414" spans="3:3" x14ac:dyDescent="0.25">
      <c r="C2414" s="42"/>
    </row>
    <row r="2415" spans="3:3" x14ac:dyDescent="0.25">
      <c r="C2415" s="42"/>
    </row>
    <row r="2416" spans="3:3" x14ac:dyDescent="0.25">
      <c r="C2416" s="42"/>
    </row>
    <row r="2417" spans="3:3" x14ac:dyDescent="0.25">
      <c r="C2417" s="42"/>
    </row>
    <row r="2418" spans="3:3" x14ac:dyDescent="0.25">
      <c r="C2418" s="42"/>
    </row>
    <row r="2419" spans="3:3" x14ac:dyDescent="0.25">
      <c r="C2419" s="42"/>
    </row>
    <row r="2420" spans="3:3" x14ac:dyDescent="0.25">
      <c r="C2420" s="42"/>
    </row>
    <row r="2421" spans="3:3" x14ac:dyDescent="0.25">
      <c r="C2421" s="42"/>
    </row>
    <row r="2422" spans="3:3" x14ac:dyDescent="0.25">
      <c r="C2422" s="42"/>
    </row>
    <row r="2423" spans="3:3" x14ac:dyDescent="0.25">
      <c r="C2423" s="42"/>
    </row>
    <row r="2424" spans="3:3" x14ac:dyDescent="0.25">
      <c r="C2424" s="42"/>
    </row>
    <row r="2425" spans="3:3" x14ac:dyDescent="0.25">
      <c r="C2425" s="42"/>
    </row>
    <row r="2426" spans="3:3" x14ac:dyDescent="0.25">
      <c r="C2426" s="42"/>
    </row>
    <row r="2427" spans="3:3" x14ac:dyDescent="0.25">
      <c r="C2427" s="42"/>
    </row>
    <row r="2428" spans="3:3" x14ac:dyDescent="0.25">
      <c r="C2428" s="42"/>
    </row>
    <row r="2429" spans="3:3" x14ac:dyDescent="0.25">
      <c r="C2429" s="42"/>
    </row>
    <row r="2430" spans="3:3" x14ac:dyDescent="0.25">
      <c r="C2430" s="42"/>
    </row>
    <row r="2431" spans="3:3" x14ac:dyDescent="0.25">
      <c r="C2431" s="42"/>
    </row>
    <row r="2432" spans="3:3" x14ac:dyDescent="0.25">
      <c r="C2432" s="42"/>
    </row>
    <row r="2433" spans="3:3" x14ac:dyDescent="0.25">
      <c r="C2433" s="42"/>
    </row>
    <row r="2434" spans="3:3" x14ac:dyDescent="0.25">
      <c r="C2434" s="42"/>
    </row>
    <row r="2435" spans="3:3" x14ac:dyDescent="0.25">
      <c r="C2435" s="42"/>
    </row>
    <row r="2436" spans="3:3" x14ac:dyDescent="0.25">
      <c r="C2436" s="42"/>
    </row>
    <row r="2437" spans="3:3" x14ac:dyDescent="0.25">
      <c r="C2437" s="42"/>
    </row>
    <row r="2438" spans="3:3" x14ac:dyDescent="0.25">
      <c r="C2438" s="42"/>
    </row>
    <row r="2439" spans="3:3" x14ac:dyDescent="0.25">
      <c r="C2439" s="42"/>
    </row>
    <row r="2440" spans="3:3" x14ac:dyDescent="0.25">
      <c r="C2440" s="42"/>
    </row>
    <row r="2441" spans="3:3" x14ac:dyDescent="0.25">
      <c r="C2441" s="42"/>
    </row>
    <row r="2442" spans="3:3" x14ac:dyDescent="0.25">
      <c r="C2442" s="42"/>
    </row>
    <row r="2443" spans="3:3" x14ac:dyDescent="0.25">
      <c r="C2443" s="42"/>
    </row>
    <row r="2444" spans="3:3" x14ac:dyDescent="0.25">
      <c r="C2444" s="42"/>
    </row>
    <row r="2445" spans="3:3" x14ac:dyDescent="0.25">
      <c r="C2445" s="42"/>
    </row>
    <row r="2446" spans="3:3" x14ac:dyDescent="0.25">
      <c r="C2446" s="42"/>
    </row>
    <row r="2447" spans="3:3" x14ac:dyDescent="0.25">
      <c r="C2447" s="42"/>
    </row>
    <row r="2448" spans="3:3" x14ac:dyDescent="0.25">
      <c r="C2448" s="42"/>
    </row>
    <row r="2449" spans="3:3" x14ac:dyDescent="0.25">
      <c r="C2449" s="42"/>
    </row>
    <row r="2450" spans="3:3" x14ac:dyDescent="0.25">
      <c r="C2450" s="42"/>
    </row>
    <row r="2451" spans="3:3" x14ac:dyDescent="0.25">
      <c r="C2451" s="42"/>
    </row>
    <row r="2452" spans="3:3" x14ac:dyDescent="0.25">
      <c r="C2452" s="42"/>
    </row>
    <row r="2453" spans="3:3" x14ac:dyDescent="0.25">
      <c r="C2453" s="42"/>
    </row>
    <row r="2454" spans="3:3" x14ac:dyDescent="0.25">
      <c r="C2454" s="42"/>
    </row>
    <row r="2455" spans="3:3" x14ac:dyDescent="0.25">
      <c r="C2455" s="42"/>
    </row>
    <row r="2456" spans="3:3" x14ac:dyDescent="0.25">
      <c r="C2456" s="42"/>
    </row>
    <row r="2457" spans="3:3" x14ac:dyDescent="0.25">
      <c r="C2457" s="42"/>
    </row>
    <row r="2458" spans="3:3" x14ac:dyDescent="0.25">
      <c r="C2458" s="42"/>
    </row>
    <row r="2459" spans="3:3" x14ac:dyDescent="0.25">
      <c r="C2459" s="42"/>
    </row>
    <row r="2460" spans="3:3" x14ac:dyDescent="0.25">
      <c r="C2460" s="42"/>
    </row>
    <row r="2461" spans="3:3" x14ac:dyDescent="0.25">
      <c r="C2461" s="42"/>
    </row>
    <row r="2462" spans="3:3" x14ac:dyDescent="0.25">
      <c r="C2462" s="42"/>
    </row>
    <row r="2463" spans="3:3" x14ac:dyDescent="0.25">
      <c r="C2463" s="42"/>
    </row>
    <row r="2464" spans="3:3" x14ac:dyDescent="0.25">
      <c r="C2464" s="42"/>
    </row>
    <row r="2465" spans="3:3" x14ac:dyDescent="0.25">
      <c r="C2465" s="42"/>
    </row>
    <row r="2466" spans="3:3" x14ac:dyDescent="0.25">
      <c r="C2466" s="42"/>
    </row>
    <row r="2467" spans="3:3" x14ac:dyDescent="0.25">
      <c r="C2467" s="42"/>
    </row>
    <row r="2468" spans="3:3" x14ac:dyDescent="0.25">
      <c r="C2468" s="42"/>
    </row>
    <row r="2469" spans="3:3" x14ac:dyDescent="0.25">
      <c r="C2469" s="42"/>
    </row>
    <row r="2470" spans="3:3" x14ac:dyDescent="0.25">
      <c r="C2470" s="42"/>
    </row>
    <row r="2471" spans="3:3" x14ac:dyDescent="0.25">
      <c r="C2471" s="42"/>
    </row>
    <row r="2472" spans="3:3" x14ac:dyDescent="0.25">
      <c r="C2472" s="42"/>
    </row>
    <row r="2473" spans="3:3" x14ac:dyDescent="0.25">
      <c r="C2473" s="42"/>
    </row>
    <row r="2474" spans="3:3" x14ac:dyDescent="0.25">
      <c r="C2474" s="42"/>
    </row>
    <row r="2475" spans="3:3" x14ac:dyDescent="0.25">
      <c r="C2475" s="42"/>
    </row>
    <row r="2476" spans="3:3" x14ac:dyDescent="0.25">
      <c r="C2476" s="42"/>
    </row>
    <row r="2477" spans="3:3" x14ac:dyDescent="0.25">
      <c r="C2477" s="42"/>
    </row>
    <row r="2478" spans="3:3" x14ac:dyDescent="0.25">
      <c r="C2478" s="42"/>
    </row>
    <row r="2479" spans="3:3" x14ac:dyDescent="0.25">
      <c r="C2479" s="42"/>
    </row>
    <row r="2480" spans="3:3" x14ac:dyDescent="0.25">
      <c r="C2480" s="42"/>
    </row>
    <row r="2481" spans="3:3" x14ac:dyDescent="0.25">
      <c r="C2481" s="42"/>
    </row>
    <row r="2482" spans="3:3" x14ac:dyDescent="0.25">
      <c r="C2482" s="42"/>
    </row>
    <row r="2483" spans="3:3" x14ac:dyDescent="0.25">
      <c r="C2483" s="42"/>
    </row>
    <row r="2484" spans="3:3" x14ac:dyDescent="0.25">
      <c r="C2484" s="42"/>
    </row>
    <row r="2485" spans="3:3" x14ac:dyDescent="0.25">
      <c r="C2485" s="42"/>
    </row>
    <row r="2486" spans="3:3" x14ac:dyDescent="0.25">
      <c r="C2486" s="42"/>
    </row>
    <row r="2487" spans="3:3" x14ac:dyDescent="0.25">
      <c r="C2487" s="42"/>
    </row>
    <row r="2488" spans="3:3" x14ac:dyDescent="0.25">
      <c r="C2488" s="42"/>
    </row>
    <row r="2489" spans="3:3" x14ac:dyDescent="0.25">
      <c r="C2489" s="42"/>
    </row>
    <row r="2490" spans="3:3" x14ac:dyDescent="0.25">
      <c r="C2490" s="42"/>
    </row>
    <row r="2491" spans="3:3" x14ac:dyDescent="0.25">
      <c r="C2491" s="42"/>
    </row>
    <row r="2492" spans="3:3" x14ac:dyDescent="0.25">
      <c r="C2492" s="42"/>
    </row>
    <row r="2493" spans="3:3" x14ac:dyDescent="0.25">
      <c r="C2493" s="42"/>
    </row>
    <row r="2494" spans="3:3" x14ac:dyDescent="0.25">
      <c r="C2494" s="42"/>
    </row>
    <row r="2495" spans="3:3" x14ac:dyDescent="0.25">
      <c r="C2495" s="42"/>
    </row>
    <row r="2496" spans="3:3" x14ac:dyDescent="0.25">
      <c r="C2496" s="42"/>
    </row>
    <row r="2497" spans="3:3" x14ac:dyDescent="0.25">
      <c r="C2497" s="42"/>
    </row>
    <row r="2498" spans="3:3" x14ac:dyDescent="0.25">
      <c r="C2498" s="42"/>
    </row>
    <row r="2499" spans="3:3" x14ac:dyDescent="0.25">
      <c r="C2499" s="42"/>
    </row>
    <row r="2500" spans="3:3" x14ac:dyDescent="0.25">
      <c r="C2500" s="42"/>
    </row>
    <row r="2501" spans="3:3" x14ac:dyDescent="0.25">
      <c r="C2501" s="42"/>
    </row>
    <row r="2502" spans="3:3" x14ac:dyDescent="0.25">
      <c r="C2502" s="42"/>
    </row>
    <row r="2503" spans="3:3" x14ac:dyDescent="0.25">
      <c r="C2503" s="42"/>
    </row>
    <row r="2504" spans="3:3" x14ac:dyDescent="0.25">
      <c r="C2504" s="42"/>
    </row>
    <row r="2505" spans="3:3" x14ac:dyDescent="0.25">
      <c r="C2505" s="42"/>
    </row>
    <row r="2506" spans="3:3" x14ac:dyDescent="0.25">
      <c r="C2506" s="42"/>
    </row>
    <row r="2507" spans="3:3" x14ac:dyDescent="0.25">
      <c r="C2507" s="42"/>
    </row>
    <row r="2508" spans="3:3" x14ac:dyDescent="0.25">
      <c r="C2508" s="42"/>
    </row>
    <row r="2509" spans="3:3" x14ac:dyDescent="0.25">
      <c r="C2509" s="42"/>
    </row>
    <row r="2510" spans="3:3" x14ac:dyDescent="0.25">
      <c r="C2510" s="42"/>
    </row>
    <row r="2511" spans="3:3" x14ac:dyDescent="0.25">
      <c r="C2511" s="42"/>
    </row>
    <row r="2512" spans="3:3" x14ac:dyDescent="0.25">
      <c r="C2512" s="42"/>
    </row>
    <row r="2513" spans="3:3" x14ac:dyDescent="0.25">
      <c r="C2513" s="42"/>
    </row>
    <row r="2514" spans="3:3" x14ac:dyDescent="0.25">
      <c r="C2514" s="42"/>
    </row>
    <row r="2515" spans="3:3" x14ac:dyDescent="0.25">
      <c r="C2515" s="42"/>
    </row>
    <row r="2516" spans="3:3" x14ac:dyDescent="0.25">
      <c r="C2516" s="42"/>
    </row>
    <row r="2517" spans="3:3" x14ac:dyDescent="0.25">
      <c r="C2517" s="42"/>
    </row>
    <row r="2518" spans="3:3" x14ac:dyDescent="0.25">
      <c r="C2518" s="42"/>
    </row>
    <row r="2519" spans="3:3" x14ac:dyDescent="0.25">
      <c r="C2519" s="42"/>
    </row>
    <row r="2520" spans="3:3" x14ac:dyDescent="0.25">
      <c r="C2520" s="42"/>
    </row>
    <row r="2521" spans="3:3" x14ac:dyDescent="0.25">
      <c r="C2521" s="42"/>
    </row>
    <row r="2522" spans="3:3" x14ac:dyDescent="0.25">
      <c r="C2522" s="42"/>
    </row>
    <row r="2523" spans="3:3" x14ac:dyDescent="0.25">
      <c r="C2523" s="42"/>
    </row>
    <row r="2524" spans="3:3" x14ac:dyDescent="0.25">
      <c r="C2524" s="42"/>
    </row>
    <row r="2525" spans="3:3" x14ac:dyDescent="0.25">
      <c r="C2525" s="42"/>
    </row>
    <row r="2526" spans="3:3" x14ac:dyDescent="0.25">
      <c r="C2526" s="42"/>
    </row>
    <row r="2527" spans="3:3" x14ac:dyDescent="0.25">
      <c r="C2527" s="42"/>
    </row>
    <row r="2528" spans="3:3" x14ac:dyDescent="0.25">
      <c r="C2528" s="42"/>
    </row>
    <row r="2529" spans="3:3" x14ac:dyDescent="0.25">
      <c r="C2529" s="42"/>
    </row>
    <row r="2530" spans="3:3" x14ac:dyDescent="0.25">
      <c r="C2530" s="42"/>
    </row>
    <row r="2531" spans="3:3" x14ac:dyDescent="0.25">
      <c r="C2531" s="42"/>
    </row>
    <row r="2532" spans="3:3" x14ac:dyDescent="0.25">
      <c r="C2532" s="42"/>
    </row>
    <row r="2533" spans="3:3" x14ac:dyDescent="0.25">
      <c r="C2533" s="42"/>
    </row>
    <row r="2534" spans="3:3" x14ac:dyDescent="0.25">
      <c r="C2534" s="42"/>
    </row>
    <row r="2535" spans="3:3" x14ac:dyDescent="0.25">
      <c r="C2535" s="42"/>
    </row>
    <row r="2536" spans="3:3" x14ac:dyDescent="0.25">
      <c r="C2536" s="42"/>
    </row>
    <row r="2537" spans="3:3" x14ac:dyDescent="0.25">
      <c r="C2537" s="42"/>
    </row>
    <row r="2538" spans="3:3" x14ac:dyDescent="0.25">
      <c r="C2538" s="42"/>
    </row>
    <row r="2539" spans="3:3" x14ac:dyDescent="0.25">
      <c r="C2539" s="42"/>
    </row>
    <row r="2540" spans="3:3" x14ac:dyDescent="0.25">
      <c r="C2540" s="42"/>
    </row>
    <row r="2541" spans="3:3" x14ac:dyDescent="0.25">
      <c r="C2541" s="42"/>
    </row>
    <row r="2542" spans="3:3" x14ac:dyDescent="0.25">
      <c r="C2542" s="42"/>
    </row>
    <row r="2543" spans="3:3" x14ac:dyDescent="0.25">
      <c r="C2543" s="42"/>
    </row>
    <row r="2544" spans="3:3" x14ac:dyDescent="0.25">
      <c r="C2544" s="42"/>
    </row>
    <row r="2545" spans="3:3" x14ac:dyDescent="0.25">
      <c r="C2545" s="42"/>
    </row>
    <row r="2546" spans="3:3" x14ac:dyDescent="0.25">
      <c r="C2546" s="42"/>
    </row>
    <row r="2547" spans="3:3" x14ac:dyDescent="0.25">
      <c r="C2547" s="42"/>
    </row>
    <row r="2548" spans="3:3" x14ac:dyDescent="0.25">
      <c r="C2548" s="42"/>
    </row>
    <row r="2549" spans="3:3" x14ac:dyDescent="0.25">
      <c r="C2549" s="42"/>
    </row>
    <row r="2550" spans="3:3" x14ac:dyDescent="0.25">
      <c r="C2550" s="42"/>
    </row>
    <row r="2551" spans="3:3" x14ac:dyDescent="0.25">
      <c r="C2551" s="42"/>
    </row>
    <row r="2552" spans="3:3" x14ac:dyDescent="0.25">
      <c r="C2552" s="42"/>
    </row>
    <row r="2553" spans="3:3" x14ac:dyDescent="0.25">
      <c r="C2553" s="42"/>
    </row>
    <row r="2554" spans="3:3" x14ac:dyDescent="0.25">
      <c r="C2554" s="42"/>
    </row>
    <row r="2555" spans="3:3" x14ac:dyDescent="0.25">
      <c r="C2555" s="42"/>
    </row>
    <row r="2556" spans="3:3" x14ac:dyDescent="0.25">
      <c r="C2556" s="42"/>
    </row>
    <row r="2557" spans="3:3" x14ac:dyDescent="0.25">
      <c r="C2557" s="42"/>
    </row>
    <row r="2558" spans="3:3" x14ac:dyDescent="0.25">
      <c r="C2558" s="42"/>
    </row>
    <row r="2559" spans="3:3" x14ac:dyDescent="0.25">
      <c r="C2559" s="42"/>
    </row>
    <row r="2560" spans="3:3" x14ac:dyDescent="0.25">
      <c r="C2560" s="42"/>
    </row>
    <row r="2561" spans="3:3" x14ac:dyDescent="0.25">
      <c r="C2561" s="42"/>
    </row>
    <row r="2562" spans="3:3" x14ac:dyDescent="0.25">
      <c r="C2562" s="42"/>
    </row>
    <row r="2563" spans="3:3" x14ac:dyDescent="0.25">
      <c r="C2563" s="42"/>
    </row>
    <row r="2564" spans="3:3" x14ac:dyDescent="0.25">
      <c r="C2564" s="42"/>
    </row>
    <row r="2565" spans="3:3" x14ac:dyDescent="0.25">
      <c r="C2565" s="42"/>
    </row>
    <row r="2566" spans="3:3" x14ac:dyDescent="0.25">
      <c r="C2566" s="42"/>
    </row>
    <row r="2567" spans="3:3" x14ac:dyDescent="0.25">
      <c r="C2567" s="42"/>
    </row>
    <row r="2568" spans="3:3" x14ac:dyDescent="0.25">
      <c r="C2568" s="42"/>
    </row>
    <row r="2569" spans="3:3" x14ac:dyDescent="0.25">
      <c r="C2569" s="42"/>
    </row>
    <row r="2570" spans="3:3" x14ac:dyDescent="0.25">
      <c r="C2570" s="42"/>
    </row>
    <row r="2571" spans="3:3" x14ac:dyDescent="0.25">
      <c r="C2571" s="42"/>
    </row>
    <row r="2572" spans="3:3" x14ac:dyDescent="0.25">
      <c r="C2572" s="42"/>
    </row>
    <row r="2573" spans="3:3" x14ac:dyDescent="0.25">
      <c r="C2573" s="42"/>
    </row>
    <row r="2574" spans="3:3" x14ac:dyDescent="0.25">
      <c r="C2574" s="42"/>
    </row>
    <row r="2575" spans="3:3" x14ac:dyDescent="0.25">
      <c r="C2575" s="42"/>
    </row>
    <row r="2576" spans="3:3" x14ac:dyDescent="0.25">
      <c r="C2576" s="42"/>
    </row>
    <row r="2577" spans="3:3" x14ac:dyDescent="0.25">
      <c r="C2577" s="42"/>
    </row>
    <row r="2578" spans="3:3" x14ac:dyDescent="0.25">
      <c r="C2578" s="42"/>
    </row>
    <row r="2579" spans="3:3" x14ac:dyDescent="0.25">
      <c r="C2579" s="42"/>
    </row>
    <row r="2580" spans="3:3" x14ac:dyDescent="0.25">
      <c r="C2580" s="42"/>
    </row>
    <row r="2581" spans="3:3" x14ac:dyDescent="0.25">
      <c r="C2581" s="42"/>
    </row>
    <row r="2582" spans="3:3" x14ac:dyDescent="0.25">
      <c r="C2582" s="42"/>
    </row>
    <row r="2583" spans="3:3" x14ac:dyDescent="0.25">
      <c r="C2583" s="42"/>
    </row>
    <row r="2584" spans="3:3" x14ac:dyDescent="0.25">
      <c r="C2584" s="42"/>
    </row>
    <row r="2585" spans="3:3" x14ac:dyDescent="0.25">
      <c r="C2585" s="42"/>
    </row>
    <row r="2586" spans="3:3" x14ac:dyDescent="0.25">
      <c r="C2586" s="42"/>
    </row>
    <row r="2587" spans="3:3" x14ac:dyDescent="0.25">
      <c r="C2587" s="42"/>
    </row>
    <row r="2588" spans="3:3" x14ac:dyDescent="0.25">
      <c r="C2588" s="42"/>
    </row>
    <row r="2589" spans="3:3" x14ac:dyDescent="0.25">
      <c r="C2589" s="42"/>
    </row>
    <row r="2590" spans="3:3" x14ac:dyDescent="0.25">
      <c r="C2590" s="42"/>
    </row>
    <row r="2591" spans="3:3" x14ac:dyDescent="0.25">
      <c r="C2591" s="42"/>
    </row>
    <row r="2592" spans="3:3" x14ac:dyDescent="0.25">
      <c r="C2592" s="42"/>
    </row>
    <row r="2593" spans="3:3" x14ac:dyDescent="0.25">
      <c r="C2593" s="42"/>
    </row>
    <row r="2594" spans="3:3" x14ac:dyDescent="0.25">
      <c r="C2594" s="42"/>
    </row>
    <row r="2595" spans="3:3" x14ac:dyDescent="0.25">
      <c r="C2595" s="42"/>
    </row>
    <row r="2596" spans="3:3" x14ac:dyDescent="0.25">
      <c r="C2596" s="42"/>
    </row>
    <row r="2597" spans="3:3" x14ac:dyDescent="0.25">
      <c r="C2597" s="42"/>
    </row>
    <row r="2598" spans="3:3" x14ac:dyDescent="0.25">
      <c r="C2598" s="42"/>
    </row>
    <row r="2599" spans="3:3" x14ac:dyDescent="0.25">
      <c r="C2599" s="42"/>
    </row>
    <row r="2600" spans="3:3" x14ac:dyDescent="0.25">
      <c r="C2600" s="42"/>
    </row>
    <row r="2601" spans="3:3" x14ac:dyDescent="0.25">
      <c r="C2601" s="42"/>
    </row>
    <row r="2602" spans="3:3" x14ac:dyDescent="0.25">
      <c r="C2602" s="42"/>
    </row>
    <row r="2603" spans="3:3" x14ac:dyDescent="0.25">
      <c r="C2603" s="42"/>
    </row>
    <row r="2604" spans="3:3" x14ac:dyDescent="0.25">
      <c r="C2604" s="42"/>
    </row>
    <row r="2605" spans="3:3" x14ac:dyDescent="0.25">
      <c r="C2605" s="42"/>
    </row>
    <row r="2606" spans="3:3" x14ac:dyDescent="0.25">
      <c r="C2606" s="42"/>
    </row>
    <row r="2607" spans="3:3" x14ac:dyDescent="0.25">
      <c r="C2607" s="42"/>
    </row>
    <row r="2608" spans="3:3" x14ac:dyDescent="0.25">
      <c r="C2608" s="42"/>
    </row>
    <row r="2609" spans="3:3" x14ac:dyDescent="0.25">
      <c r="C2609" s="42"/>
    </row>
    <row r="2610" spans="3:3" x14ac:dyDescent="0.25">
      <c r="C2610" s="42"/>
    </row>
    <row r="2611" spans="3:3" x14ac:dyDescent="0.25">
      <c r="C2611" s="42"/>
    </row>
    <row r="2612" spans="3:3" x14ac:dyDescent="0.25">
      <c r="C2612" s="42"/>
    </row>
    <row r="2613" spans="3:3" x14ac:dyDescent="0.25">
      <c r="C2613" s="42"/>
    </row>
    <row r="2614" spans="3:3" x14ac:dyDescent="0.25">
      <c r="C2614" s="42"/>
    </row>
    <row r="2615" spans="3:3" x14ac:dyDescent="0.25">
      <c r="C2615" s="42"/>
    </row>
    <row r="2616" spans="3:3" x14ac:dyDescent="0.25">
      <c r="C2616" s="42"/>
    </row>
    <row r="2617" spans="3:3" x14ac:dyDescent="0.25">
      <c r="C2617" s="42"/>
    </row>
    <row r="2618" spans="3:3" x14ac:dyDescent="0.25">
      <c r="C2618" s="42"/>
    </row>
    <row r="2619" spans="3:3" x14ac:dyDescent="0.25">
      <c r="C2619" s="42"/>
    </row>
    <row r="2620" spans="3:3" x14ac:dyDescent="0.25">
      <c r="C2620" s="42"/>
    </row>
    <row r="2621" spans="3:3" x14ac:dyDescent="0.25">
      <c r="C2621" s="42"/>
    </row>
    <row r="2622" spans="3:3" x14ac:dyDescent="0.25">
      <c r="C2622" s="42"/>
    </row>
    <row r="2623" spans="3:3" x14ac:dyDescent="0.25">
      <c r="C2623" s="42"/>
    </row>
    <row r="2624" spans="3:3" x14ac:dyDescent="0.25">
      <c r="C2624" s="42"/>
    </row>
    <row r="2625" spans="3:3" x14ac:dyDescent="0.25">
      <c r="C2625" s="42"/>
    </row>
    <row r="2626" spans="3:3" x14ac:dyDescent="0.25">
      <c r="C2626" s="42"/>
    </row>
    <row r="2627" spans="3:3" x14ac:dyDescent="0.25">
      <c r="C2627" s="42"/>
    </row>
    <row r="2628" spans="3:3" x14ac:dyDescent="0.25">
      <c r="C2628" s="42"/>
    </row>
    <row r="2629" spans="3:3" x14ac:dyDescent="0.25">
      <c r="C2629" s="42"/>
    </row>
    <row r="2630" spans="3:3" x14ac:dyDescent="0.25">
      <c r="C2630" s="42"/>
    </row>
    <row r="2631" spans="3:3" x14ac:dyDescent="0.25">
      <c r="C2631" s="42"/>
    </row>
    <row r="2632" spans="3:3" x14ac:dyDescent="0.25">
      <c r="C2632" s="42"/>
    </row>
    <row r="2633" spans="3:3" x14ac:dyDescent="0.25">
      <c r="C2633" s="42"/>
    </row>
    <row r="2634" spans="3:3" x14ac:dyDescent="0.25">
      <c r="C2634" s="42"/>
    </row>
    <row r="2635" spans="3:3" x14ac:dyDescent="0.25">
      <c r="C2635" s="42"/>
    </row>
    <row r="2636" spans="3:3" x14ac:dyDescent="0.25">
      <c r="C2636" s="42"/>
    </row>
    <row r="2637" spans="3:3" x14ac:dyDescent="0.25">
      <c r="C2637" s="42"/>
    </row>
    <row r="2638" spans="3:3" x14ac:dyDescent="0.25">
      <c r="C2638" s="42"/>
    </row>
    <row r="2639" spans="3:3" x14ac:dyDescent="0.25">
      <c r="C2639" s="42"/>
    </row>
    <row r="2640" spans="3:3" x14ac:dyDescent="0.25">
      <c r="C2640" s="42"/>
    </row>
    <row r="2641" spans="3:3" x14ac:dyDescent="0.25">
      <c r="C2641" s="42"/>
    </row>
    <row r="2642" spans="3:3" x14ac:dyDescent="0.25">
      <c r="C2642" s="42"/>
    </row>
    <row r="2643" spans="3:3" x14ac:dyDescent="0.25">
      <c r="C2643" s="42"/>
    </row>
    <row r="2644" spans="3:3" x14ac:dyDescent="0.25">
      <c r="C2644" s="42"/>
    </row>
    <row r="2645" spans="3:3" x14ac:dyDescent="0.25">
      <c r="C2645" s="42"/>
    </row>
    <row r="2646" spans="3:3" x14ac:dyDescent="0.25">
      <c r="C2646" s="42"/>
    </row>
    <row r="2647" spans="3:3" x14ac:dyDescent="0.25">
      <c r="C2647" s="42"/>
    </row>
    <row r="2648" spans="3:3" x14ac:dyDescent="0.25">
      <c r="C2648" s="42"/>
    </row>
    <row r="2649" spans="3:3" x14ac:dyDescent="0.25">
      <c r="C2649" s="42"/>
    </row>
    <row r="2650" spans="3:3" x14ac:dyDescent="0.25">
      <c r="C2650" s="42"/>
    </row>
    <row r="2651" spans="3:3" x14ac:dyDescent="0.25">
      <c r="C2651" s="42"/>
    </row>
    <row r="2652" spans="3:3" x14ac:dyDescent="0.25">
      <c r="C2652" s="42"/>
    </row>
    <row r="2653" spans="3:3" x14ac:dyDescent="0.25">
      <c r="C2653" s="42"/>
    </row>
    <row r="2654" spans="3:3" x14ac:dyDescent="0.25">
      <c r="C2654" s="42"/>
    </row>
    <row r="2655" spans="3:3" x14ac:dyDescent="0.25">
      <c r="C2655" s="42"/>
    </row>
    <row r="2656" spans="3:3" x14ac:dyDescent="0.25">
      <c r="C2656" s="42"/>
    </row>
    <row r="2657" spans="3:3" x14ac:dyDescent="0.25">
      <c r="C2657" s="42"/>
    </row>
    <row r="2658" spans="3:3" x14ac:dyDescent="0.25">
      <c r="C2658" s="42"/>
    </row>
    <row r="2659" spans="3:3" x14ac:dyDescent="0.25">
      <c r="C2659" s="42"/>
    </row>
    <row r="2660" spans="3:3" x14ac:dyDescent="0.25">
      <c r="C2660" s="42"/>
    </row>
    <row r="2661" spans="3:3" x14ac:dyDescent="0.25">
      <c r="C2661" s="42"/>
    </row>
    <row r="2662" spans="3:3" x14ac:dyDescent="0.25">
      <c r="C2662" s="42"/>
    </row>
    <row r="2663" spans="3:3" x14ac:dyDescent="0.25">
      <c r="C2663" s="42"/>
    </row>
    <row r="2664" spans="3:3" x14ac:dyDescent="0.25">
      <c r="C2664" s="42"/>
    </row>
    <row r="2665" spans="3:3" x14ac:dyDescent="0.25">
      <c r="C2665" s="42"/>
    </row>
    <row r="2666" spans="3:3" x14ac:dyDescent="0.25">
      <c r="C2666" s="42"/>
    </row>
    <row r="2667" spans="3:3" x14ac:dyDescent="0.25">
      <c r="C2667" s="42"/>
    </row>
    <row r="2668" spans="3:3" x14ac:dyDescent="0.25">
      <c r="C2668" s="42"/>
    </row>
    <row r="2669" spans="3:3" x14ac:dyDescent="0.25">
      <c r="C2669" s="42"/>
    </row>
    <row r="2670" spans="3:3" x14ac:dyDescent="0.25">
      <c r="C2670" s="42"/>
    </row>
    <row r="2671" spans="3:3" x14ac:dyDescent="0.25">
      <c r="C2671" s="42"/>
    </row>
    <row r="2672" spans="3:3" x14ac:dyDescent="0.25">
      <c r="C2672" s="42"/>
    </row>
    <row r="2673" spans="3:3" x14ac:dyDescent="0.25">
      <c r="C2673" s="42"/>
    </row>
    <row r="2674" spans="3:3" x14ac:dyDescent="0.25">
      <c r="C2674" s="42"/>
    </row>
    <row r="2675" spans="3:3" x14ac:dyDescent="0.25">
      <c r="C2675" s="42"/>
    </row>
    <row r="2676" spans="3:3" x14ac:dyDescent="0.25">
      <c r="C2676" s="42"/>
    </row>
    <row r="2677" spans="3:3" x14ac:dyDescent="0.25">
      <c r="C2677" s="42"/>
    </row>
    <row r="2678" spans="3:3" x14ac:dyDescent="0.25">
      <c r="C2678" s="42"/>
    </row>
    <row r="2679" spans="3:3" x14ac:dyDescent="0.25">
      <c r="C2679" s="42"/>
    </row>
    <row r="2680" spans="3:3" x14ac:dyDescent="0.25">
      <c r="C2680" s="42"/>
    </row>
    <row r="2681" spans="3:3" x14ac:dyDescent="0.25">
      <c r="C2681" s="42"/>
    </row>
    <row r="2682" spans="3:3" x14ac:dyDescent="0.25">
      <c r="C2682" s="42"/>
    </row>
    <row r="2683" spans="3:3" x14ac:dyDescent="0.25">
      <c r="C2683" s="42"/>
    </row>
    <row r="2684" spans="3:3" x14ac:dyDescent="0.25">
      <c r="C2684" s="42"/>
    </row>
    <row r="2685" spans="3:3" x14ac:dyDescent="0.25">
      <c r="C2685" s="42"/>
    </row>
    <row r="2686" spans="3:3" x14ac:dyDescent="0.25">
      <c r="C2686" s="42"/>
    </row>
    <row r="2687" spans="3:3" x14ac:dyDescent="0.25">
      <c r="C2687" s="42"/>
    </row>
    <row r="2688" spans="3:3" x14ac:dyDescent="0.25">
      <c r="C2688" s="42"/>
    </row>
    <row r="2689" spans="3:3" x14ac:dyDescent="0.25">
      <c r="C2689" s="42"/>
    </row>
    <row r="2690" spans="3:3" x14ac:dyDescent="0.25">
      <c r="C2690" s="42"/>
    </row>
    <row r="2691" spans="3:3" x14ac:dyDescent="0.25">
      <c r="C2691" s="42"/>
    </row>
    <row r="2692" spans="3:3" x14ac:dyDescent="0.25">
      <c r="C2692" s="42"/>
    </row>
    <row r="2693" spans="3:3" x14ac:dyDescent="0.25">
      <c r="C2693" s="42"/>
    </row>
    <row r="2694" spans="3:3" x14ac:dyDescent="0.25">
      <c r="C2694" s="42"/>
    </row>
    <row r="2695" spans="3:3" x14ac:dyDescent="0.25">
      <c r="C2695" s="42"/>
    </row>
    <row r="2696" spans="3:3" x14ac:dyDescent="0.25">
      <c r="C2696" s="42"/>
    </row>
    <row r="2697" spans="3:3" x14ac:dyDescent="0.25">
      <c r="C2697" s="42"/>
    </row>
    <row r="2698" spans="3:3" x14ac:dyDescent="0.25">
      <c r="C2698" s="42"/>
    </row>
    <row r="2699" spans="3:3" x14ac:dyDescent="0.25">
      <c r="C2699" s="42"/>
    </row>
    <row r="2700" spans="3:3" x14ac:dyDescent="0.25">
      <c r="C2700" s="42"/>
    </row>
    <row r="2701" spans="3:3" x14ac:dyDescent="0.25">
      <c r="C2701" s="42"/>
    </row>
    <row r="2702" spans="3:3" x14ac:dyDescent="0.25">
      <c r="C2702" s="42"/>
    </row>
    <row r="2703" spans="3:3" x14ac:dyDescent="0.25">
      <c r="C2703" s="42"/>
    </row>
    <row r="2704" spans="3:3" x14ac:dyDescent="0.25">
      <c r="C2704" s="42"/>
    </row>
    <row r="2705" spans="3:3" x14ac:dyDescent="0.25">
      <c r="C2705" s="42"/>
    </row>
    <row r="2706" spans="3:3" x14ac:dyDescent="0.25">
      <c r="C2706" s="42"/>
    </row>
    <row r="2707" spans="3:3" x14ac:dyDescent="0.25">
      <c r="C2707" s="42"/>
    </row>
    <row r="2708" spans="3:3" x14ac:dyDescent="0.25">
      <c r="C2708" s="42"/>
    </row>
    <row r="2709" spans="3:3" x14ac:dyDescent="0.25">
      <c r="C2709" s="42"/>
    </row>
    <row r="2710" spans="3:3" x14ac:dyDescent="0.25">
      <c r="C2710" s="42"/>
    </row>
    <row r="2711" spans="3:3" x14ac:dyDescent="0.25">
      <c r="C2711" s="42"/>
    </row>
    <row r="2712" spans="3:3" x14ac:dyDescent="0.25">
      <c r="C2712" s="42"/>
    </row>
    <row r="2713" spans="3:3" x14ac:dyDescent="0.25">
      <c r="C2713" s="42"/>
    </row>
    <row r="2714" spans="3:3" x14ac:dyDescent="0.25">
      <c r="C2714" s="42"/>
    </row>
    <row r="2715" spans="3:3" x14ac:dyDescent="0.25">
      <c r="C2715" s="42"/>
    </row>
    <row r="2716" spans="3:3" x14ac:dyDescent="0.25">
      <c r="C2716" s="42"/>
    </row>
    <row r="2717" spans="3:3" x14ac:dyDescent="0.25">
      <c r="C2717" s="42"/>
    </row>
    <row r="2718" spans="3:3" x14ac:dyDescent="0.25">
      <c r="C2718" s="42"/>
    </row>
    <row r="2719" spans="3:3" x14ac:dyDescent="0.25">
      <c r="C2719" s="42"/>
    </row>
    <row r="2720" spans="3:3" x14ac:dyDescent="0.25">
      <c r="C2720" s="42"/>
    </row>
    <row r="2721" spans="3:3" x14ac:dyDescent="0.25">
      <c r="C2721" s="42"/>
    </row>
    <row r="2722" spans="3:3" x14ac:dyDescent="0.25">
      <c r="C2722" s="42"/>
    </row>
    <row r="2723" spans="3:3" x14ac:dyDescent="0.25">
      <c r="C2723" s="42"/>
    </row>
    <row r="2724" spans="3:3" x14ac:dyDescent="0.25">
      <c r="C2724" s="42"/>
    </row>
    <row r="2725" spans="3:3" x14ac:dyDescent="0.25">
      <c r="C2725" s="42"/>
    </row>
    <row r="2726" spans="3:3" x14ac:dyDescent="0.25">
      <c r="C2726" s="42"/>
    </row>
    <row r="2727" spans="3:3" x14ac:dyDescent="0.25">
      <c r="C2727" s="42"/>
    </row>
    <row r="2728" spans="3:3" x14ac:dyDescent="0.25">
      <c r="C2728" s="42"/>
    </row>
    <row r="2729" spans="3:3" x14ac:dyDescent="0.25">
      <c r="C2729" s="42"/>
    </row>
    <row r="2730" spans="3:3" x14ac:dyDescent="0.25">
      <c r="C2730" s="42"/>
    </row>
    <row r="2731" spans="3:3" x14ac:dyDescent="0.25">
      <c r="C2731" s="42"/>
    </row>
    <row r="2732" spans="3:3" x14ac:dyDescent="0.25">
      <c r="C2732" s="42"/>
    </row>
    <row r="2733" spans="3:3" x14ac:dyDescent="0.25">
      <c r="C2733" s="42"/>
    </row>
    <row r="2734" spans="3:3" x14ac:dyDescent="0.25">
      <c r="C2734" s="42"/>
    </row>
    <row r="2735" spans="3:3" x14ac:dyDescent="0.25">
      <c r="C2735" s="42"/>
    </row>
    <row r="2736" spans="3:3" x14ac:dyDescent="0.25">
      <c r="C2736" s="42"/>
    </row>
    <row r="2737" spans="3:3" x14ac:dyDescent="0.25">
      <c r="C2737" s="42"/>
    </row>
    <row r="2738" spans="3:3" x14ac:dyDescent="0.25">
      <c r="C2738" s="42"/>
    </row>
    <row r="2739" spans="3:3" x14ac:dyDescent="0.25">
      <c r="C2739" s="42"/>
    </row>
    <row r="2740" spans="3:3" x14ac:dyDescent="0.25">
      <c r="C2740" s="42"/>
    </row>
    <row r="2741" spans="3:3" x14ac:dyDescent="0.25">
      <c r="C2741" s="42"/>
    </row>
    <row r="2742" spans="3:3" x14ac:dyDescent="0.25">
      <c r="C2742" s="42"/>
    </row>
    <row r="2743" spans="3:3" x14ac:dyDescent="0.25">
      <c r="C2743" s="42"/>
    </row>
    <row r="2744" spans="3:3" x14ac:dyDescent="0.25">
      <c r="C2744" s="42"/>
    </row>
    <row r="2745" spans="3:3" x14ac:dyDescent="0.25">
      <c r="C2745" s="42"/>
    </row>
    <row r="2746" spans="3:3" x14ac:dyDescent="0.25">
      <c r="C2746" s="42"/>
    </row>
    <row r="2747" spans="3:3" x14ac:dyDescent="0.25">
      <c r="C2747" s="42"/>
    </row>
    <row r="2748" spans="3:3" x14ac:dyDescent="0.25">
      <c r="C2748" s="42"/>
    </row>
    <row r="2749" spans="3:3" x14ac:dyDescent="0.25">
      <c r="C2749" s="42"/>
    </row>
    <row r="2750" spans="3:3" x14ac:dyDescent="0.25">
      <c r="C2750" s="42"/>
    </row>
    <row r="2751" spans="3:3" x14ac:dyDescent="0.25">
      <c r="C2751" s="42"/>
    </row>
    <row r="2752" spans="3:3" x14ac:dyDescent="0.25">
      <c r="C2752" s="42"/>
    </row>
    <row r="2753" spans="3:3" x14ac:dyDescent="0.25">
      <c r="C2753" s="42"/>
    </row>
    <row r="2754" spans="3:3" x14ac:dyDescent="0.25">
      <c r="C2754" s="42"/>
    </row>
    <row r="2755" spans="3:3" x14ac:dyDescent="0.25">
      <c r="C2755" s="42"/>
    </row>
    <row r="2756" spans="3:3" x14ac:dyDescent="0.25">
      <c r="C2756" s="42"/>
    </row>
    <row r="2757" spans="3:3" x14ac:dyDescent="0.25">
      <c r="C2757" s="42"/>
    </row>
    <row r="2758" spans="3:3" x14ac:dyDescent="0.25">
      <c r="C2758" s="42"/>
    </row>
    <row r="2759" spans="3:3" x14ac:dyDescent="0.25">
      <c r="C2759" s="42"/>
    </row>
    <row r="2760" spans="3:3" x14ac:dyDescent="0.25">
      <c r="C2760" s="42"/>
    </row>
    <row r="2761" spans="3:3" x14ac:dyDescent="0.25">
      <c r="C2761" s="42"/>
    </row>
    <row r="2762" spans="3:3" x14ac:dyDescent="0.25">
      <c r="C2762" s="42"/>
    </row>
    <row r="2763" spans="3:3" x14ac:dyDescent="0.25">
      <c r="C2763" s="42"/>
    </row>
    <row r="2764" spans="3:3" x14ac:dyDescent="0.25">
      <c r="C2764" s="42"/>
    </row>
    <row r="2765" spans="3:3" x14ac:dyDescent="0.25">
      <c r="C2765" s="42"/>
    </row>
    <row r="2766" spans="3:3" x14ac:dyDescent="0.25">
      <c r="C2766" s="42"/>
    </row>
    <row r="2767" spans="3:3" x14ac:dyDescent="0.25">
      <c r="C2767" s="42"/>
    </row>
    <row r="2768" spans="3:3" x14ac:dyDescent="0.25">
      <c r="C2768" s="42"/>
    </row>
    <row r="2769" spans="3:3" x14ac:dyDescent="0.25">
      <c r="C2769" s="42"/>
    </row>
    <row r="2770" spans="3:3" x14ac:dyDescent="0.25">
      <c r="C2770" s="42"/>
    </row>
    <row r="2771" spans="3:3" x14ac:dyDescent="0.25">
      <c r="C2771" s="42"/>
    </row>
    <row r="2772" spans="3:3" x14ac:dyDescent="0.25">
      <c r="C2772" s="42"/>
    </row>
    <row r="2773" spans="3:3" x14ac:dyDescent="0.25">
      <c r="C2773" s="42"/>
    </row>
    <row r="2774" spans="3:3" x14ac:dyDescent="0.25">
      <c r="C2774" s="42"/>
    </row>
    <row r="2775" spans="3:3" x14ac:dyDescent="0.25">
      <c r="C2775" s="42"/>
    </row>
    <row r="2776" spans="3:3" x14ac:dyDescent="0.25">
      <c r="C2776" s="42"/>
    </row>
    <row r="2777" spans="3:3" x14ac:dyDescent="0.25">
      <c r="C2777" s="42"/>
    </row>
    <row r="2778" spans="3:3" x14ac:dyDescent="0.25">
      <c r="C2778" s="42"/>
    </row>
    <row r="2779" spans="3:3" x14ac:dyDescent="0.25">
      <c r="C2779" s="42"/>
    </row>
    <row r="2780" spans="3:3" x14ac:dyDescent="0.25">
      <c r="C2780" s="42"/>
    </row>
    <row r="2781" spans="3:3" x14ac:dyDescent="0.25">
      <c r="C2781" s="42"/>
    </row>
    <row r="2782" spans="3:3" x14ac:dyDescent="0.25">
      <c r="C2782" s="42"/>
    </row>
    <row r="2783" spans="3:3" x14ac:dyDescent="0.25">
      <c r="C2783" s="42"/>
    </row>
    <row r="2784" spans="3:3" x14ac:dyDescent="0.25">
      <c r="C2784" s="42"/>
    </row>
    <row r="2785" spans="3:3" x14ac:dyDescent="0.25">
      <c r="C2785" s="42"/>
    </row>
    <row r="2786" spans="3:3" x14ac:dyDescent="0.25">
      <c r="C2786" s="42"/>
    </row>
    <row r="2787" spans="3:3" x14ac:dyDescent="0.25">
      <c r="C2787" s="42"/>
    </row>
    <row r="2788" spans="3:3" x14ac:dyDescent="0.25">
      <c r="C2788" s="42"/>
    </row>
    <row r="2789" spans="3:3" x14ac:dyDescent="0.25">
      <c r="C2789" s="42"/>
    </row>
    <row r="2790" spans="3:3" x14ac:dyDescent="0.25">
      <c r="C2790" s="42"/>
    </row>
    <row r="2791" spans="3:3" x14ac:dyDescent="0.25">
      <c r="C2791" s="42"/>
    </row>
    <row r="2792" spans="3:3" x14ac:dyDescent="0.25">
      <c r="C2792" s="42"/>
    </row>
    <row r="2793" spans="3:3" x14ac:dyDescent="0.25">
      <c r="C2793" s="42"/>
    </row>
    <row r="2794" spans="3:3" x14ac:dyDescent="0.25">
      <c r="C2794" s="42"/>
    </row>
    <row r="2795" spans="3:3" x14ac:dyDescent="0.25">
      <c r="C2795" s="42"/>
    </row>
    <row r="2796" spans="3:3" x14ac:dyDescent="0.25">
      <c r="C2796" s="42"/>
    </row>
    <row r="2797" spans="3:3" x14ac:dyDescent="0.25">
      <c r="C2797" s="42"/>
    </row>
    <row r="2798" spans="3:3" x14ac:dyDescent="0.25">
      <c r="C2798" s="42"/>
    </row>
    <row r="2799" spans="3:3" x14ac:dyDescent="0.25">
      <c r="C2799" s="42"/>
    </row>
    <row r="2800" spans="3:3" x14ac:dyDescent="0.25">
      <c r="C2800" s="42"/>
    </row>
    <row r="2801" spans="3:3" x14ac:dyDescent="0.25">
      <c r="C2801" s="42"/>
    </row>
    <row r="2802" spans="3:3" x14ac:dyDescent="0.25">
      <c r="C2802" s="42"/>
    </row>
    <row r="2803" spans="3:3" x14ac:dyDescent="0.25">
      <c r="C2803" s="42"/>
    </row>
    <row r="2804" spans="3:3" x14ac:dyDescent="0.25">
      <c r="C2804" s="42"/>
    </row>
    <row r="2805" spans="3:3" x14ac:dyDescent="0.25">
      <c r="C2805" s="42"/>
    </row>
    <row r="2806" spans="3:3" x14ac:dyDescent="0.25">
      <c r="C2806" s="42"/>
    </row>
    <row r="2807" spans="3:3" x14ac:dyDescent="0.25">
      <c r="C2807" s="42"/>
    </row>
    <row r="2808" spans="3:3" x14ac:dyDescent="0.25">
      <c r="C2808" s="42"/>
    </row>
    <row r="2809" spans="3:3" x14ac:dyDescent="0.25">
      <c r="C2809" s="42"/>
    </row>
    <row r="2810" spans="3:3" x14ac:dyDescent="0.25">
      <c r="C2810" s="42"/>
    </row>
    <row r="2811" spans="3:3" x14ac:dyDescent="0.25">
      <c r="C2811" s="42"/>
    </row>
    <row r="2812" spans="3:3" x14ac:dyDescent="0.25">
      <c r="C2812" s="42"/>
    </row>
    <row r="2813" spans="3:3" x14ac:dyDescent="0.25">
      <c r="C2813" s="42"/>
    </row>
    <row r="2814" spans="3:3" x14ac:dyDescent="0.25">
      <c r="C2814" s="42"/>
    </row>
    <row r="2815" spans="3:3" x14ac:dyDescent="0.25">
      <c r="C2815" s="42"/>
    </row>
    <row r="2816" spans="3:3" x14ac:dyDescent="0.25">
      <c r="C2816" s="42"/>
    </row>
    <row r="2817" spans="3:3" x14ac:dyDescent="0.25">
      <c r="C2817" s="42"/>
    </row>
    <row r="2818" spans="3:3" x14ac:dyDescent="0.25">
      <c r="C2818" s="42"/>
    </row>
    <row r="2819" spans="3:3" x14ac:dyDescent="0.25">
      <c r="C2819" s="42"/>
    </row>
    <row r="2820" spans="3:3" x14ac:dyDescent="0.25">
      <c r="C2820" s="42"/>
    </row>
    <row r="2821" spans="3:3" x14ac:dyDescent="0.25">
      <c r="C2821" s="42"/>
    </row>
    <row r="2822" spans="3:3" x14ac:dyDescent="0.25">
      <c r="C2822" s="42"/>
    </row>
    <row r="2823" spans="3:3" x14ac:dyDescent="0.25">
      <c r="C2823" s="42"/>
    </row>
    <row r="2824" spans="3:3" x14ac:dyDescent="0.25">
      <c r="C2824" s="42"/>
    </row>
    <row r="2825" spans="3:3" x14ac:dyDescent="0.25">
      <c r="C2825" s="42"/>
    </row>
    <row r="2826" spans="3:3" x14ac:dyDescent="0.25">
      <c r="C2826" s="42"/>
    </row>
    <row r="2827" spans="3:3" x14ac:dyDescent="0.25">
      <c r="C2827" s="42"/>
    </row>
    <row r="2828" spans="3:3" x14ac:dyDescent="0.25">
      <c r="C2828" s="42"/>
    </row>
    <row r="2829" spans="3:3" x14ac:dyDescent="0.25">
      <c r="C2829" s="42"/>
    </row>
    <row r="2830" spans="3:3" x14ac:dyDescent="0.25">
      <c r="C2830" s="42"/>
    </row>
    <row r="2831" spans="3:3" x14ac:dyDescent="0.25">
      <c r="C2831" s="42"/>
    </row>
    <row r="2832" spans="3:3" x14ac:dyDescent="0.25">
      <c r="C2832" s="42"/>
    </row>
    <row r="2833" spans="3:3" x14ac:dyDescent="0.25">
      <c r="C2833" s="42"/>
    </row>
    <row r="2834" spans="3:3" x14ac:dyDescent="0.25">
      <c r="C2834" s="42"/>
    </row>
    <row r="2835" spans="3:3" x14ac:dyDescent="0.25">
      <c r="C2835" s="42"/>
    </row>
    <row r="2836" spans="3:3" x14ac:dyDescent="0.25">
      <c r="C2836" s="42"/>
    </row>
    <row r="2837" spans="3:3" x14ac:dyDescent="0.25">
      <c r="C2837" s="42"/>
    </row>
    <row r="2838" spans="3:3" x14ac:dyDescent="0.25">
      <c r="C2838" s="42"/>
    </row>
    <row r="2839" spans="3:3" x14ac:dyDescent="0.25">
      <c r="C2839" s="42"/>
    </row>
    <row r="2840" spans="3:3" x14ac:dyDescent="0.25">
      <c r="C2840" s="42"/>
    </row>
    <row r="2841" spans="3:3" x14ac:dyDescent="0.25">
      <c r="C2841" s="42"/>
    </row>
    <row r="2842" spans="3:3" x14ac:dyDescent="0.25">
      <c r="C2842" s="42"/>
    </row>
    <row r="2843" spans="3:3" x14ac:dyDescent="0.25">
      <c r="C2843" s="42"/>
    </row>
    <row r="2844" spans="3:3" x14ac:dyDescent="0.25">
      <c r="C2844" s="42"/>
    </row>
    <row r="2845" spans="3:3" x14ac:dyDescent="0.25">
      <c r="C2845" s="42"/>
    </row>
    <row r="2846" spans="3:3" x14ac:dyDescent="0.25">
      <c r="C2846" s="42"/>
    </row>
    <row r="2847" spans="3:3" x14ac:dyDescent="0.25">
      <c r="C2847" s="42"/>
    </row>
    <row r="2848" spans="3:3" x14ac:dyDescent="0.25">
      <c r="C2848" s="42"/>
    </row>
    <row r="2849" spans="3:3" x14ac:dyDescent="0.25">
      <c r="C2849" s="42"/>
    </row>
    <row r="2850" spans="3:3" x14ac:dyDescent="0.25">
      <c r="C2850" s="42"/>
    </row>
    <row r="2851" spans="3:3" x14ac:dyDescent="0.25">
      <c r="C2851" s="42"/>
    </row>
    <row r="2852" spans="3:3" x14ac:dyDescent="0.25">
      <c r="C2852" s="42"/>
    </row>
    <row r="2853" spans="3:3" x14ac:dyDescent="0.25">
      <c r="C2853" s="42"/>
    </row>
    <row r="2854" spans="3:3" x14ac:dyDescent="0.25">
      <c r="C2854" s="42"/>
    </row>
    <row r="2855" spans="3:3" x14ac:dyDescent="0.25">
      <c r="C2855" s="42"/>
    </row>
    <row r="2856" spans="3:3" x14ac:dyDescent="0.25">
      <c r="C2856" s="42"/>
    </row>
    <row r="2857" spans="3:3" x14ac:dyDescent="0.25">
      <c r="C2857" s="42"/>
    </row>
    <row r="2858" spans="3:3" x14ac:dyDescent="0.25">
      <c r="C2858" s="42"/>
    </row>
    <row r="2859" spans="3:3" x14ac:dyDescent="0.25">
      <c r="C2859" s="42"/>
    </row>
    <row r="2860" spans="3:3" x14ac:dyDescent="0.25">
      <c r="C2860" s="42"/>
    </row>
    <row r="2861" spans="3:3" x14ac:dyDescent="0.25">
      <c r="C2861" s="42"/>
    </row>
    <row r="2862" spans="3:3" x14ac:dyDescent="0.25">
      <c r="C2862" s="42"/>
    </row>
    <row r="2863" spans="3:3" x14ac:dyDescent="0.25">
      <c r="C2863" s="42"/>
    </row>
    <row r="2864" spans="3:3" x14ac:dyDescent="0.25">
      <c r="C2864" s="42"/>
    </row>
    <row r="2865" spans="3:3" x14ac:dyDescent="0.25">
      <c r="C2865" s="42"/>
    </row>
    <row r="2866" spans="3:3" x14ac:dyDescent="0.25">
      <c r="C2866" s="42"/>
    </row>
    <row r="2867" spans="3:3" x14ac:dyDescent="0.25">
      <c r="C2867" s="42"/>
    </row>
    <row r="2868" spans="3:3" x14ac:dyDescent="0.25">
      <c r="C2868" s="42"/>
    </row>
    <row r="2869" spans="3:3" x14ac:dyDescent="0.25">
      <c r="C2869" s="42"/>
    </row>
    <row r="2870" spans="3:3" x14ac:dyDescent="0.25">
      <c r="C2870" s="42"/>
    </row>
    <row r="2871" spans="3:3" x14ac:dyDescent="0.25">
      <c r="C2871" s="42"/>
    </row>
    <row r="2872" spans="3:3" x14ac:dyDescent="0.25">
      <c r="C2872" s="42"/>
    </row>
    <row r="2873" spans="3:3" x14ac:dyDescent="0.25">
      <c r="C2873" s="42"/>
    </row>
    <row r="2874" spans="3:3" x14ac:dyDescent="0.25">
      <c r="C2874" s="42"/>
    </row>
    <row r="2875" spans="3:3" x14ac:dyDescent="0.25">
      <c r="C2875" s="42"/>
    </row>
    <row r="2876" spans="3:3" x14ac:dyDescent="0.25">
      <c r="C2876" s="42"/>
    </row>
    <row r="2877" spans="3:3" x14ac:dyDescent="0.25">
      <c r="C2877" s="42"/>
    </row>
    <row r="2878" spans="3:3" x14ac:dyDescent="0.25">
      <c r="C2878" s="42"/>
    </row>
    <row r="2879" spans="3:3" x14ac:dyDescent="0.25">
      <c r="C2879" s="42"/>
    </row>
    <row r="2880" spans="3:3" x14ac:dyDescent="0.25">
      <c r="C2880" s="42"/>
    </row>
    <row r="2881" spans="3:3" x14ac:dyDescent="0.25">
      <c r="C2881" s="42"/>
    </row>
    <row r="2882" spans="3:3" x14ac:dyDescent="0.25">
      <c r="C2882" s="42"/>
    </row>
    <row r="2883" spans="3:3" x14ac:dyDescent="0.25">
      <c r="C2883" s="42"/>
    </row>
    <row r="2884" spans="3:3" x14ac:dyDescent="0.25">
      <c r="C2884" s="42"/>
    </row>
    <row r="2885" spans="3:3" x14ac:dyDescent="0.25">
      <c r="C2885" s="42"/>
    </row>
    <row r="2886" spans="3:3" x14ac:dyDescent="0.25">
      <c r="C2886" s="42"/>
    </row>
    <row r="2887" spans="3:3" x14ac:dyDescent="0.25">
      <c r="C2887" s="42"/>
    </row>
    <row r="2888" spans="3:3" x14ac:dyDescent="0.25">
      <c r="C2888" s="42"/>
    </row>
    <row r="2889" spans="3:3" x14ac:dyDescent="0.25">
      <c r="C2889" s="42"/>
    </row>
    <row r="2890" spans="3:3" x14ac:dyDescent="0.25">
      <c r="C2890" s="42"/>
    </row>
    <row r="2891" spans="3:3" x14ac:dyDescent="0.25">
      <c r="C2891" s="42"/>
    </row>
    <row r="2892" spans="3:3" x14ac:dyDescent="0.25">
      <c r="C2892" s="42"/>
    </row>
    <row r="2893" spans="3:3" x14ac:dyDescent="0.25">
      <c r="C2893" s="42"/>
    </row>
    <row r="2894" spans="3:3" x14ac:dyDescent="0.25">
      <c r="C2894" s="42"/>
    </row>
    <row r="2895" spans="3:3" x14ac:dyDescent="0.25">
      <c r="C2895" s="42"/>
    </row>
    <row r="2896" spans="3:3" x14ac:dyDescent="0.25">
      <c r="C2896" s="42"/>
    </row>
    <row r="2897" spans="3:3" x14ac:dyDescent="0.25">
      <c r="C2897" s="42"/>
    </row>
    <row r="2898" spans="3:3" x14ac:dyDescent="0.25">
      <c r="C2898" s="42"/>
    </row>
    <row r="2899" spans="3:3" x14ac:dyDescent="0.25">
      <c r="C2899" s="42"/>
    </row>
    <row r="2900" spans="3:3" x14ac:dyDescent="0.25">
      <c r="C2900" s="42"/>
    </row>
    <row r="2901" spans="3:3" x14ac:dyDescent="0.25">
      <c r="C2901" s="42"/>
    </row>
    <row r="2902" spans="3:3" x14ac:dyDescent="0.25">
      <c r="C2902" s="42"/>
    </row>
    <row r="2903" spans="3:3" x14ac:dyDescent="0.25">
      <c r="C2903" s="42"/>
    </row>
    <row r="2904" spans="3:3" x14ac:dyDescent="0.25">
      <c r="C2904" s="42"/>
    </row>
    <row r="2905" spans="3:3" x14ac:dyDescent="0.25">
      <c r="C2905" s="42"/>
    </row>
    <row r="2906" spans="3:3" x14ac:dyDescent="0.25">
      <c r="C2906" s="42"/>
    </row>
    <row r="2907" spans="3:3" x14ac:dyDescent="0.25">
      <c r="C2907" s="42"/>
    </row>
    <row r="2908" spans="3:3" x14ac:dyDescent="0.25">
      <c r="C2908" s="42"/>
    </row>
    <row r="2909" spans="3:3" x14ac:dyDescent="0.25">
      <c r="C2909" s="42"/>
    </row>
    <row r="2910" spans="3:3" x14ac:dyDescent="0.25">
      <c r="C2910" s="42"/>
    </row>
    <row r="2911" spans="3:3" x14ac:dyDescent="0.25">
      <c r="C2911" s="42"/>
    </row>
    <row r="2912" spans="3:3" x14ac:dyDescent="0.25">
      <c r="C2912" s="42"/>
    </row>
    <row r="2913" spans="3:3" x14ac:dyDescent="0.25">
      <c r="C2913" s="42"/>
    </row>
    <row r="2914" spans="3:3" x14ac:dyDescent="0.25">
      <c r="C2914" s="42"/>
    </row>
    <row r="2915" spans="3:3" x14ac:dyDescent="0.25">
      <c r="C2915" s="42"/>
    </row>
    <row r="2916" spans="3:3" x14ac:dyDescent="0.25">
      <c r="C2916" s="42"/>
    </row>
    <row r="2917" spans="3:3" x14ac:dyDescent="0.25">
      <c r="C2917" s="42"/>
    </row>
    <row r="2918" spans="3:3" x14ac:dyDescent="0.25">
      <c r="C2918" s="42"/>
    </row>
    <row r="2919" spans="3:3" x14ac:dyDescent="0.25">
      <c r="C2919" s="42"/>
    </row>
    <row r="2920" spans="3:3" x14ac:dyDescent="0.25">
      <c r="C2920" s="42"/>
    </row>
    <row r="2921" spans="3:3" x14ac:dyDescent="0.25">
      <c r="C2921" s="42"/>
    </row>
    <row r="2922" spans="3:3" x14ac:dyDescent="0.25">
      <c r="C2922" s="42"/>
    </row>
    <row r="2923" spans="3:3" x14ac:dyDescent="0.25">
      <c r="C2923" s="42"/>
    </row>
    <row r="2924" spans="3:3" x14ac:dyDescent="0.25">
      <c r="C2924" s="42"/>
    </row>
    <row r="2925" spans="3:3" x14ac:dyDescent="0.25">
      <c r="C2925" s="42"/>
    </row>
    <row r="2926" spans="3:3" x14ac:dyDescent="0.25">
      <c r="C2926" s="42"/>
    </row>
    <row r="2927" spans="3:3" x14ac:dyDescent="0.25">
      <c r="C2927" s="42"/>
    </row>
    <row r="2928" spans="3:3" x14ac:dyDescent="0.25">
      <c r="C2928" s="42"/>
    </row>
    <row r="2929" spans="3:3" x14ac:dyDescent="0.25">
      <c r="C2929" s="42"/>
    </row>
    <row r="2930" spans="3:3" x14ac:dyDescent="0.25">
      <c r="C2930" s="42"/>
    </row>
    <row r="2931" spans="3:3" x14ac:dyDescent="0.25">
      <c r="C2931" s="42"/>
    </row>
    <row r="2932" spans="3:3" x14ac:dyDescent="0.25">
      <c r="C2932" s="42"/>
    </row>
    <row r="2933" spans="3:3" x14ac:dyDescent="0.25">
      <c r="C2933" s="42"/>
    </row>
    <row r="2934" spans="3:3" x14ac:dyDescent="0.25">
      <c r="C2934" s="42"/>
    </row>
    <row r="2935" spans="3:3" x14ac:dyDescent="0.25">
      <c r="C2935" s="42"/>
    </row>
    <row r="2936" spans="3:3" x14ac:dyDescent="0.25">
      <c r="C2936" s="42"/>
    </row>
    <row r="2937" spans="3:3" x14ac:dyDescent="0.25">
      <c r="C2937" s="42"/>
    </row>
    <row r="2938" spans="3:3" x14ac:dyDescent="0.25">
      <c r="C2938" s="42"/>
    </row>
    <row r="2939" spans="3:3" x14ac:dyDescent="0.25">
      <c r="C2939" s="42"/>
    </row>
    <row r="2940" spans="3:3" x14ac:dyDescent="0.25">
      <c r="C2940" s="42"/>
    </row>
    <row r="2941" spans="3:3" x14ac:dyDescent="0.25">
      <c r="C2941" s="42"/>
    </row>
    <row r="2942" spans="3:3" x14ac:dyDescent="0.25">
      <c r="C2942" s="42"/>
    </row>
    <row r="2943" spans="3:3" x14ac:dyDescent="0.25">
      <c r="C2943" s="42"/>
    </row>
    <row r="2944" spans="3:3" x14ac:dyDescent="0.25">
      <c r="C2944" s="42"/>
    </row>
    <row r="2945" spans="3:3" x14ac:dyDescent="0.25">
      <c r="C2945" s="42"/>
    </row>
    <row r="2946" spans="3:3" x14ac:dyDescent="0.25">
      <c r="C2946" s="42"/>
    </row>
    <row r="2947" spans="3:3" x14ac:dyDescent="0.25">
      <c r="C2947" s="42"/>
    </row>
    <row r="2948" spans="3:3" x14ac:dyDescent="0.25">
      <c r="C2948" s="42"/>
    </row>
    <row r="2949" spans="3:3" x14ac:dyDescent="0.25">
      <c r="C2949" s="42"/>
    </row>
    <row r="2950" spans="3:3" x14ac:dyDescent="0.25">
      <c r="C2950" s="42"/>
    </row>
    <row r="2951" spans="3:3" x14ac:dyDescent="0.25">
      <c r="C2951" s="42"/>
    </row>
    <row r="2952" spans="3:3" x14ac:dyDescent="0.25">
      <c r="C2952" s="42"/>
    </row>
    <row r="2953" spans="3:3" x14ac:dyDescent="0.25">
      <c r="C2953" s="42"/>
    </row>
    <row r="2954" spans="3:3" x14ac:dyDescent="0.25">
      <c r="C2954" s="42"/>
    </row>
    <row r="2955" spans="3:3" x14ac:dyDescent="0.25">
      <c r="C2955" s="42"/>
    </row>
    <row r="2956" spans="3:3" x14ac:dyDescent="0.25">
      <c r="C2956" s="42"/>
    </row>
    <row r="2957" spans="3:3" x14ac:dyDescent="0.25">
      <c r="C2957" s="42"/>
    </row>
    <row r="2958" spans="3:3" x14ac:dyDescent="0.25">
      <c r="C2958" s="42"/>
    </row>
    <row r="2959" spans="3:3" x14ac:dyDescent="0.25">
      <c r="C2959" s="42"/>
    </row>
    <row r="2960" spans="3:3" x14ac:dyDescent="0.25">
      <c r="C2960" s="42"/>
    </row>
    <row r="2961" spans="3:3" x14ac:dyDescent="0.25">
      <c r="C2961" s="42"/>
    </row>
    <row r="2962" spans="3:3" x14ac:dyDescent="0.25">
      <c r="C2962" s="42"/>
    </row>
    <row r="2963" spans="3:3" x14ac:dyDescent="0.25">
      <c r="C2963" s="42"/>
    </row>
    <row r="2964" spans="3:3" x14ac:dyDescent="0.25">
      <c r="C2964" s="42"/>
    </row>
    <row r="2965" spans="3:3" x14ac:dyDescent="0.25">
      <c r="C2965" s="42"/>
    </row>
    <row r="2966" spans="3:3" x14ac:dyDescent="0.25">
      <c r="C2966" s="42"/>
    </row>
    <row r="2967" spans="3:3" x14ac:dyDescent="0.25">
      <c r="C2967" s="42"/>
    </row>
    <row r="2968" spans="3:3" x14ac:dyDescent="0.25">
      <c r="C2968" s="42"/>
    </row>
    <row r="2969" spans="3:3" x14ac:dyDescent="0.25">
      <c r="C2969" s="42"/>
    </row>
    <row r="2970" spans="3:3" x14ac:dyDescent="0.25">
      <c r="C2970" s="42"/>
    </row>
    <row r="2971" spans="3:3" x14ac:dyDescent="0.25">
      <c r="C2971" s="42"/>
    </row>
    <row r="2972" spans="3:3" x14ac:dyDescent="0.25">
      <c r="C2972" s="42"/>
    </row>
    <row r="2973" spans="3:3" x14ac:dyDescent="0.25">
      <c r="C2973" s="42"/>
    </row>
    <row r="2974" spans="3:3" x14ac:dyDescent="0.25">
      <c r="C2974" s="42"/>
    </row>
    <row r="2975" spans="3:3" x14ac:dyDescent="0.25">
      <c r="C2975" s="42"/>
    </row>
    <row r="2976" spans="3:3" x14ac:dyDescent="0.25">
      <c r="C2976" s="42"/>
    </row>
    <row r="2977" spans="3:3" x14ac:dyDescent="0.25">
      <c r="C2977" s="42"/>
    </row>
    <row r="2978" spans="3:3" x14ac:dyDescent="0.25">
      <c r="C2978" s="42"/>
    </row>
    <row r="2979" spans="3:3" x14ac:dyDescent="0.25">
      <c r="C2979" s="42"/>
    </row>
    <row r="2980" spans="3:3" x14ac:dyDescent="0.25">
      <c r="C2980" s="42"/>
    </row>
    <row r="2981" spans="3:3" x14ac:dyDescent="0.25">
      <c r="C2981" s="42"/>
    </row>
    <row r="2982" spans="3:3" x14ac:dyDescent="0.25">
      <c r="C2982" s="42"/>
    </row>
    <row r="2983" spans="3:3" x14ac:dyDescent="0.25">
      <c r="C2983" s="42"/>
    </row>
    <row r="2984" spans="3:3" x14ac:dyDescent="0.25">
      <c r="C2984" s="42"/>
    </row>
    <row r="2985" spans="3:3" x14ac:dyDescent="0.25">
      <c r="C2985" s="42"/>
    </row>
    <row r="2986" spans="3:3" x14ac:dyDescent="0.25">
      <c r="C2986" s="42"/>
    </row>
    <row r="2987" spans="3:3" x14ac:dyDescent="0.25">
      <c r="C2987" s="42"/>
    </row>
    <row r="2988" spans="3:3" x14ac:dyDescent="0.25">
      <c r="C2988" s="42"/>
    </row>
    <row r="2989" spans="3:3" x14ac:dyDescent="0.25">
      <c r="C2989" s="42"/>
    </row>
    <row r="2990" spans="3:3" x14ac:dyDescent="0.25">
      <c r="C2990" s="42"/>
    </row>
    <row r="2991" spans="3:3" x14ac:dyDescent="0.25">
      <c r="C2991" s="42"/>
    </row>
    <row r="2992" spans="3:3" x14ac:dyDescent="0.25">
      <c r="C2992" s="42"/>
    </row>
    <row r="2993" spans="3:3" x14ac:dyDescent="0.25">
      <c r="C2993" s="42"/>
    </row>
    <row r="2994" spans="3:3" x14ac:dyDescent="0.25">
      <c r="C2994" s="42"/>
    </row>
    <row r="2995" spans="3:3" x14ac:dyDescent="0.25">
      <c r="C2995" s="42"/>
    </row>
    <row r="2996" spans="3:3" x14ac:dyDescent="0.25">
      <c r="C2996" s="42"/>
    </row>
    <row r="2997" spans="3:3" x14ac:dyDescent="0.25">
      <c r="C2997" s="42"/>
    </row>
    <row r="2998" spans="3:3" x14ac:dyDescent="0.25">
      <c r="C2998" s="42"/>
    </row>
    <row r="2999" spans="3:3" x14ac:dyDescent="0.25">
      <c r="C2999" s="42"/>
    </row>
    <row r="3000" spans="3:3" x14ac:dyDescent="0.25">
      <c r="C3000" s="42"/>
    </row>
    <row r="3001" spans="3:3" x14ac:dyDescent="0.25">
      <c r="C3001" s="42"/>
    </row>
    <row r="3002" spans="3:3" x14ac:dyDescent="0.25">
      <c r="C3002" s="42"/>
    </row>
    <row r="3003" spans="3:3" x14ac:dyDescent="0.25">
      <c r="C3003" s="42"/>
    </row>
    <row r="3004" spans="3:3" x14ac:dyDescent="0.25">
      <c r="C3004" s="42"/>
    </row>
    <row r="3005" spans="3:3" x14ac:dyDescent="0.25">
      <c r="C3005" s="42"/>
    </row>
    <row r="3006" spans="3:3" x14ac:dyDescent="0.25">
      <c r="C3006" s="42"/>
    </row>
    <row r="3007" spans="3:3" x14ac:dyDescent="0.25">
      <c r="C3007" s="42"/>
    </row>
    <row r="3008" spans="3:3" x14ac:dyDescent="0.25">
      <c r="C3008" s="42"/>
    </row>
    <row r="3009" spans="3:3" x14ac:dyDescent="0.25">
      <c r="C3009" s="42"/>
    </row>
    <row r="3010" spans="3:3" x14ac:dyDescent="0.25">
      <c r="C3010" s="42"/>
    </row>
    <row r="3011" spans="3:3" x14ac:dyDescent="0.25">
      <c r="C3011" s="42"/>
    </row>
    <row r="3012" spans="3:3" x14ac:dyDescent="0.25">
      <c r="C3012" s="42"/>
    </row>
    <row r="3013" spans="3:3" x14ac:dyDescent="0.25">
      <c r="C3013" s="42"/>
    </row>
    <row r="3014" spans="3:3" x14ac:dyDescent="0.25">
      <c r="C3014" s="42"/>
    </row>
    <row r="3015" spans="3:3" x14ac:dyDescent="0.25">
      <c r="C3015" s="42"/>
    </row>
    <row r="3016" spans="3:3" x14ac:dyDescent="0.25">
      <c r="C3016" s="42"/>
    </row>
    <row r="3017" spans="3:3" x14ac:dyDescent="0.25">
      <c r="C3017" s="42"/>
    </row>
    <row r="3018" spans="3:3" x14ac:dyDescent="0.25">
      <c r="C3018" s="42"/>
    </row>
    <row r="3019" spans="3:3" x14ac:dyDescent="0.25">
      <c r="C3019" s="42"/>
    </row>
    <row r="3020" spans="3:3" x14ac:dyDescent="0.25">
      <c r="C3020" s="42"/>
    </row>
    <row r="3021" spans="3:3" x14ac:dyDescent="0.25">
      <c r="C3021" s="42"/>
    </row>
    <row r="3022" spans="3:3" x14ac:dyDescent="0.25">
      <c r="C3022" s="42"/>
    </row>
    <row r="3023" spans="3:3" x14ac:dyDescent="0.25">
      <c r="C3023" s="42"/>
    </row>
    <row r="3024" spans="3:3" x14ac:dyDescent="0.25">
      <c r="C3024" s="42"/>
    </row>
    <row r="3025" spans="3:3" x14ac:dyDescent="0.25">
      <c r="C3025" s="42"/>
    </row>
    <row r="3026" spans="3:3" x14ac:dyDescent="0.25">
      <c r="C3026" s="42"/>
    </row>
    <row r="3027" spans="3:3" x14ac:dyDescent="0.25">
      <c r="C3027" s="42"/>
    </row>
    <row r="3028" spans="3:3" x14ac:dyDescent="0.25">
      <c r="C3028" s="42"/>
    </row>
    <row r="3029" spans="3:3" x14ac:dyDescent="0.25">
      <c r="C3029" s="42"/>
    </row>
    <row r="3030" spans="3:3" x14ac:dyDescent="0.25">
      <c r="C3030" s="42"/>
    </row>
    <row r="3031" spans="3:3" x14ac:dyDescent="0.25">
      <c r="C3031" s="42"/>
    </row>
    <row r="3032" spans="3:3" x14ac:dyDescent="0.25">
      <c r="C3032" s="42"/>
    </row>
    <row r="3033" spans="3:3" x14ac:dyDescent="0.25">
      <c r="C3033" s="42"/>
    </row>
    <row r="3034" spans="3:3" x14ac:dyDescent="0.25">
      <c r="C3034" s="42"/>
    </row>
    <row r="3035" spans="3:3" x14ac:dyDescent="0.25">
      <c r="C3035" s="42"/>
    </row>
    <row r="3036" spans="3:3" x14ac:dyDescent="0.25">
      <c r="C3036" s="42"/>
    </row>
    <row r="3037" spans="3:3" x14ac:dyDescent="0.25">
      <c r="C3037" s="42"/>
    </row>
    <row r="3038" spans="3:3" x14ac:dyDescent="0.25">
      <c r="C3038" s="42"/>
    </row>
    <row r="3039" spans="3:3" x14ac:dyDescent="0.25">
      <c r="C3039" s="42"/>
    </row>
    <row r="3040" spans="3:3" x14ac:dyDescent="0.25">
      <c r="C3040" s="42"/>
    </row>
    <row r="3041" spans="3:3" x14ac:dyDescent="0.25">
      <c r="C3041" s="42"/>
    </row>
    <row r="3042" spans="3:3" x14ac:dyDescent="0.25">
      <c r="C3042" s="42"/>
    </row>
    <row r="3043" spans="3:3" x14ac:dyDescent="0.25">
      <c r="C3043" s="42"/>
    </row>
    <row r="3044" spans="3:3" x14ac:dyDescent="0.25">
      <c r="C3044" s="42"/>
    </row>
    <row r="3045" spans="3:3" x14ac:dyDescent="0.25">
      <c r="C3045" s="42"/>
    </row>
    <row r="3046" spans="3:3" x14ac:dyDescent="0.25">
      <c r="C3046" s="42"/>
    </row>
    <row r="3047" spans="3:3" x14ac:dyDescent="0.25">
      <c r="C3047" s="42"/>
    </row>
    <row r="3048" spans="3:3" x14ac:dyDescent="0.25">
      <c r="C3048" s="42"/>
    </row>
    <row r="3049" spans="3:3" x14ac:dyDescent="0.25">
      <c r="C3049" s="42"/>
    </row>
    <row r="3050" spans="3:3" x14ac:dyDescent="0.25">
      <c r="C3050" s="42"/>
    </row>
    <row r="3051" spans="3:3" x14ac:dyDescent="0.25">
      <c r="C3051" s="42"/>
    </row>
    <row r="3052" spans="3:3" x14ac:dyDescent="0.25">
      <c r="C3052" s="42"/>
    </row>
    <row r="3053" spans="3:3" x14ac:dyDescent="0.25">
      <c r="C3053" s="42"/>
    </row>
    <row r="3054" spans="3:3" x14ac:dyDescent="0.25">
      <c r="C3054" s="42"/>
    </row>
    <row r="3055" spans="3:3" x14ac:dyDescent="0.25">
      <c r="C3055" s="42"/>
    </row>
    <row r="3056" spans="3:3" x14ac:dyDescent="0.25">
      <c r="C3056" s="42"/>
    </row>
    <row r="3057" spans="3:3" x14ac:dyDescent="0.25">
      <c r="C3057" s="42"/>
    </row>
    <row r="3058" spans="3:3" x14ac:dyDescent="0.25">
      <c r="C3058" s="42"/>
    </row>
    <row r="3059" spans="3:3" x14ac:dyDescent="0.25">
      <c r="C3059" s="42"/>
    </row>
    <row r="3060" spans="3:3" x14ac:dyDescent="0.25">
      <c r="C3060" s="42"/>
    </row>
    <row r="3061" spans="3:3" x14ac:dyDescent="0.25">
      <c r="C3061" s="42"/>
    </row>
    <row r="3062" spans="3:3" x14ac:dyDescent="0.25">
      <c r="C3062" s="42"/>
    </row>
    <row r="3063" spans="3:3" x14ac:dyDescent="0.25">
      <c r="C3063" s="42"/>
    </row>
    <row r="3064" spans="3:3" x14ac:dyDescent="0.25">
      <c r="C3064" s="42"/>
    </row>
    <row r="3065" spans="3:3" x14ac:dyDescent="0.25">
      <c r="C3065" s="42"/>
    </row>
    <row r="3066" spans="3:3" x14ac:dyDescent="0.25">
      <c r="C3066" s="42"/>
    </row>
    <row r="3067" spans="3:3" x14ac:dyDescent="0.25">
      <c r="C3067" s="42"/>
    </row>
    <row r="3068" spans="3:3" x14ac:dyDescent="0.25">
      <c r="C3068" s="42"/>
    </row>
    <row r="3069" spans="3:3" x14ac:dyDescent="0.25">
      <c r="C3069" s="42"/>
    </row>
    <row r="3070" spans="3:3" x14ac:dyDescent="0.25">
      <c r="C3070" s="42"/>
    </row>
    <row r="3071" spans="3:3" x14ac:dyDescent="0.25">
      <c r="C3071" s="42"/>
    </row>
    <row r="3072" spans="3:3" x14ac:dyDescent="0.25">
      <c r="C3072" s="42"/>
    </row>
    <row r="3073" spans="3:3" x14ac:dyDescent="0.25">
      <c r="C3073" s="42"/>
    </row>
    <row r="3074" spans="3:3" x14ac:dyDescent="0.25">
      <c r="C3074" s="42"/>
    </row>
    <row r="3075" spans="3:3" x14ac:dyDescent="0.25">
      <c r="C3075" s="42"/>
    </row>
    <row r="3076" spans="3:3" x14ac:dyDescent="0.25">
      <c r="C3076" s="42"/>
    </row>
    <row r="3077" spans="3:3" x14ac:dyDescent="0.25">
      <c r="C3077" s="42"/>
    </row>
    <row r="3078" spans="3:3" x14ac:dyDescent="0.25">
      <c r="C3078" s="42"/>
    </row>
    <row r="3079" spans="3:3" x14ac:dyDescent="0.25">
      <c r="C3079" s="42"/>
    </row>
    <row r="3080" spans="3:3" x14ac:dyDescent="0.25">
      <c r="C3080" s="42"/>
    </row>
    <row r="3081" spans="3:3" x14ac:dyDescent="0.25">
      <c r="C3081" s="42"/>
    </row>
    <row r="3082" spans="3:3" x14ac:dyDescent="0.25">
      <c r="C3082" s="42"/>
    </row>
    <row r="3083" spans="3:3" x14ac:dyDescent="0.25">
      <c r="C3083" s="42"/>
    </row>
    <row r="3084" spans="3:3" x14ac:dyDescent="0.25">
      <c r="C3084" s="42"/>
    </row>
    <row r="3085" spans="3:3" x14ac:dyDescent="0.25">
      <c r="C3085" s="42"/>
    </row>
    <row r="3086" spans="3:3" x14ac:dyDescent="0.25">
      <c r="C3086" s="42"/>
    </row>
    <row r="3087" spans="3:3" x14ac:dyDescent="0.25">
      <c r="C3087" s="42"/>
    </row>
    <row r="3088" spans="3:3" x14ac:dyDescent="0.25">
      <c r="C3088" s="42"/>
    </row>
    <row r="3089" spans="3:3" x14ac:dyDescent="0.25">
      <c r="C3089" s="42"/>
    </row>
    <row r="3090" spans="3:3" x14ac:dyDescent="0.25">
      <c r="C3090" s="42"/>
    </row>
    <row r="3091" spans="3:3" x14ac:dyDescent="0.25">
      <c r="C3091" s="42"/>
    </row>
    <row r="3092" spans="3:3" x14ac:dyDescent="0.25">
      <c r="C3092" s="42"/>
    </row>
    <row r="3093" spans="3:3" x14ac:dyDescent="0.25">
      <c r="C3093" s="42"/>
    </row>
    <row r="3094" spans="3:3" x14ac:dyDescent="0.25">
      <c r="C3094" s="42"/>
    </row>
    <row r="3095" spans="3:3" x14ac:dyDescent="0.25">
      <c r="C3095" s="42"/>
    </row>
    <row r="3096" spans="3:3" x14ac:dyDescent="0.25">
      <c r="C3096" s="42"/>
    </row>
    <row r="3097" spans="3:3" x14ac:dyDescent="0.25">
      <c r="C3097" s="42"/>
    </row>
    <row r="3098" spans="3:3" x14ac:dyDescent="0.25">
      <c r="C3098" s="42"/>
    </row>
    <row r="3099" spans="3:3" x14ac:dyDescent="0.25">
      <c r="C3099" s="42"/>
    </row>
    <row r="3100" spans="3:3" x14ac:dyDescent="0.25">
      <c r="C3100" s="42"/>
    </row>
    <row r="3101" spans="3:3" x14ac:dyDescent="0.25">
      <c r="C3101" s="42"/>
    </row>
    <row r="3102" spans="3:3" x14ac:dyDescent="0.25">
      <c r="C3102" s="42"/>
    </row>
    <row r="3103" spans="3:3" x14ac:dyDescent="0.25">
      <c r="C3103" s="42"/>
    </row>
    <row r="3104" spans="3:3" x14ac:dyDescent="0.25">
      <c r="C3104" s="42"/>
    </row>
    <row r="3105" spans="3:3" x14ac:dyDescent="0.25">
      <c r="C3105" s="42"/>
    </row>
    <row r="3106" spans="3:3" x14ac:dyDescent="0.25">
      <c r="C3106" s="42"/>
    </row>
    <row r="3107" spans="3:3" x14ac:dyDescent="0.25">
      <c r="C3107" s="42"/>
    </row>
    <row r="3108" spans="3:3" x14ac:dyDescent="0.25">
      <c r="C3108" s="42"/>
    </row>
    <row r="3109" spans="3:3" x14ac:dyDescent="0.25">
      <c r="C3109" s="42"/>
    </row>
    <row r="3110" spans="3:3" x14ac:dyDescent="0.25">
      <c r="C3110" s="42"/>
    </row>
    <row r="3111" spans="3:3" x14ac:dyDescent="0.25">
      <c r="C3111" s="42"/>
    </row>
    <row r="3112" spans="3:3" x14ac:dyDescent="0.25">
      <c r="C3112" s="42"/>
    </row>
    <row r="3113" spans="3:3" x14ac:dyDescent="0.25">
      <c r="C3113" s="42"/>
    </row>
    <row r="3114" spans="3:3" x14ac:dyDescent="0.25">
      <c r="C3114" s="42"/>
    </row>
    <row r="3115" spans="3:3" x14ac:dyDescent="0.25">
      <c r="C3115" s="42"/>
    </row>
    <row r="3116" spans="3:3" x14ac:dyDescent="0.25">
      <c r="C3116" s="42"/>
    </row>
    <row r="3117" spans="3:3" x14ac:dyDescent="0.25">
      <c r="C3117" s="42"/>
    </row>
    <row r="3118" spans="3:3" x14ac:dyDescent="0.25">
      <c r="C3118" s="42"/>
    </row>
    <row r="3119" spans="3:3" x14ac:dyDescent="0.25">
      <c r="C3119" s="42"/>
    </row>
    <row r="3120" spans="3:3" x14ac:dyDescent="0.25">
      <c r="C3120" s="42"/>
    </row>
    <row r="3121" spans="3:3" x14ac:dyDescent="0.25">
      <c r="C3121" s="42"/>
    </row>
    <row r="3122" spans="3:3" x14ac:dyDescent="0.25">
      <c r="C3122" s="42"/>
    </row>
    <row r="3123" spans="3:3" x14ac:dyDescent="0.25">
      <c r="C3123" s="42"/>
    </row>
    <row r="3124" spans="3:3" x14ac:dyDescent="0.25">
      <c r="C3124" s="42"/>
    </row>
    <row r="3125" spans="3:3" x14ac:dyDescent="0.25">
      <c r="C3125" s="42"/>
    </row>
    <row r="3126" spans="3:3" x14ac:dyDescent="0.25">
      <c r="C3126" s="42"/>
    </row>
    <row r="3127" spans="3:3" x14ac:dyDescent="0.25">
      <c r="C3127" s="42"/>
    </row>
    <row r="3128" spans="3:3" x14ac:dyDescent="0.25">
      <c r="C3128" s="42"/>
    </row>
    <row r="3129" spans="3:3" x14ac:dyDescent="0.25">
      <c r="C3129" s="42"/>
    </row>
    <row r="3130" spans="3:3" x14ac:dyDescent="0.25">
      <c r="C3130" s="42"/>
    </row>
    <row r="3131" spans="3:3" x14ac:dyDescent="0.25">
      <c r="C3131" s="42"/>
    </row>
    <row r="3132" spans="3:3" x14ac:dyDescent="0.25">
      <c r="C3132" s="42"/>
    </row>
    <row r="3133" spans="3:3" x14ac:dyDescent="0.25">
      <c r="C3133" s="42"/>
    </row>
    <row r="3134" spans="3:3" x14ac:dyDescent="0.25">
      <c r="C3134" s="42"/>
    </row>
    <row r="3135" spans="3:3" x14ac:dyDescent="0.25">
      <c r="C3135" s="42"/>
    </row>
    <row r="3136" spans="3:3" x14ac:dyDescent="0.25">
      <c r="C3136" s="42"/>
    </row>
    <row r="3137" spans="3:3" x14ac:dyDescent="0.25">
      <c r="C3137" s="42"/>
    </row>
    <row r="3138" spans="3:3" x14ac:dyDescent="0.25">
      <c r="C3138" s="42"/>
    </row>
    <row r="3139" spans="3:3" x14ac:dyDescent="0.25">
      <c r="C3139" s="42"/>
    </row>
    <row r="3140" spans="3:3" x14ac:dyDescent="0.25">
      <c r="C3140" s="42"/>
    </row>
    <row r="3141" spans="3:3" x14ac:dyDescent="0.25">
      <c r="C3141" s="42"/>
    </row>
    <row r="3142" spans="3:3" x14ac:dyDescent="0.25">
      <c r="C3142" s="42"/>
    </row>
    <row r="3143" spans="3:3" x14ac:dyDescent="0.25">
      <c r="C3143" s="42"/>
    </row>
    <row r="3144" spans="3:3" x14ac:dyDescent="0.25">
      <c r="C3144" s="42"/>
    </row>
    <row r="3145" spans="3:3" x14ac:dyDescent="0.25">
      <c r="C3145" s="42"/>
    </row>
    <row r="3146" spans="3:3" x14ac:dyDescent="0.25">
      <c r="C3146" s="42"/>
    </row>
    <row r="3147" spans="3:3" x14ac:dyDescent="0.25">
      <c r="C3147" s="42"/>
    </row>
    <row r="3148" spans="3:3" x14ac:dyDescent="0.25">
      <c r="C3148" s="42"/>
    </row>
    <row r="3149" spans="3:3" x14ac:dyDescent="0.25">
      <c r="C3149" s="42"/>
    </row>
    <row r="3150" spans="3:3" x14ac:dyDescent="0.25">
      <c r="C3150" s="42"/>
    </row>
    <row r="3151" spans="3:3" x14ac:dyDescent="0.25">
      <c r="C3151" s="42"/>
    </row>
    <row r="3152" spans="3:3" x14ac:dyDescent="0.25">
      <c r="C3152" s="42"/>
    </row>
    <row r="3153" spans="3:3" x14ac:dyDescent="0.25">
      <c r="C3153" s="42"/>
    </row>
    <row r="3154" spans="3:3" x14ac:dyDescent="0.25">
      <c r="C3154" s="42"/>
    </row>
    <row r="3155" spans="3:3" x14ac:dyDescent="0.25">
      <c r="C3155" s="42"/>
    </row>
    <row r="3156" spans="3:3" x14ac:dyDescent="0.25">
      <c r="C3156" s="42"/>
    </row>
    <row r="3157" spans="3:3" x14ac:dyDescent="0.25">
      <c r="C3157" s="42"/>
    </row>
    <row r="3158" spans="3:3" x14ac:dyDescent="0.25">
      <c r="C3158" s="42"/>
    </row>
    <row r="3159" spans="3:3" x14ac:dyDescent="0.25">
      <c r="C3159" s="42"/>
    </row>
    <row r="3160" spans="3:3" x14ac:dyDescent="0.25">
      <c r="C3160" s="42"/>
    </row>
    <row r="3161" spans="3:3" x14ac:dyDescent="0.25">
      <c r="C3161" s="42"/>
    </row>
    <row r="3162" spans="3:3" x14ac:dyDescent="0.25">
      <c r="C3162" s="42"/>
    </row>
    <row r="3163" spans="3:3" x14ac:dyDescent="0.25">
      <c r="C3163" s="42"/>
    </row>
    <row r="3164" spans="3:3" x14ac:dyDescent="0.25">
      <c r="C3164" s="42"/>
    </row>
    <row r="3165" spans="3:3" x14ac:dyDescent="0.25">
      <c r="C3165" s="42"/>
    </row>
    <row r="3166" spans="3:3" x14ac:dyDescent="0.25">
      <c r="C3166" s="42"/>
    </row>
    <row r="3167" spans="3:3" x14ac:dyDescent="0.25">
      <c r="C3167" s="42"/>
    </row>
    <row r="3168" spans="3:3" x14ac:dyDescent="0.25">
      <c r="C3168" s="42"/>
    </row>
    <row r="3169" spans="3:3" x14ac:dyDescent="0.25">
      <c r="C3169" s="42"/>
    </row>
    <row r="3170" spans="3:3" x14ac:dyDescent="0.25">
      <c r="C3170" s="42"/>
    </row>
    <row r="3171" spans="3:3" x14ac:dyDescent="0.25">
      <c r="C3171" s="42"/>
    </row>
    <row r="3172" spans="3:3" x14ac:dyDescent="0.25">
      <c r="C3172" s="42"/>
    </row>
    <row r="3173" spans="3:3" x14ac:dyDescent="0.25">
      <c r="C3173" s="42"/>
    </row>
    <row r="3174" spans="3:3" x14ac:dyDescent="0.25">
      <c r="C3174" s="42"/>
    </row>
    <row r="3175" spans="3:3" x14ac:dyDescent="0.25">
      <c r="C3175" s="42"/>
    </row>
    <row r="3176" spans="3:3" x14ac:dyDescent="0.25">
      <c r="C3176" s="42"/>
    </row>
    <row r="3177" spans="3:3" x14ac:dyDescent="0.25">
      <c r="C3177" s="42"/>
    </row>
    <row r="3178" spans="3:3" x14ac:dyDescent="0.25">
      <c r="C3178" s="42"/>
    </row>
    <row r="3179" spans="3:3" x14ac:dyDescent="0.25">
      <c r="C3179" s="42"/>
    </row>
    <row r="3180" spans="3:3" x14ac:dyDescent="0.25">
      <c r="C3180" s="42"/>
    </row>
    <row r="3181" spans="3:3" x14ac:dyDescent="0.25">
      <c r="C3181" s="42"/>
    </row>
    <row r="3182" spans="3:3" x14ac:dyDescent="0.25">
      <c r="C3182" s="42"/>
    </row>
    <row r="3183" spans="3:3" x14ac:dyDescent="0.25">
      <c r="C3183" s="42"/>
    </row>
    <row r="3184" spans="3:3" x14ac:dyDescent="0.25">
      <c r="C3184" s="42"/>
    </row>
    <row r="3185" spans="3:3" x14ac:dyDescent="0.25">
      <c r="C3185" s="42"/>
    </row>
    <row r="3186" spans="3:3" x14ac:dyDescent="0.25">
      <c r="C3186" s="42"/>
    </row>
    <row r="3187" spans="3:3" x14ac:dyDescent="0.25">
      <c r="C3187" s="42"/>
    </row>
    <row r="3188" spans="3:3" x14ac:dyDescent="0.25">
      <c r="C3188" s="42"/>
    </row>
    <row r="3189" spans="3:3" x14ac:dyDescent="0.25">
      <c r="C3189" s="42"/>
    </row>
    <row r="3190" spans="3:3" x14ac:dyDescent="0.25">
      <c r="C3190" s="42"/>
    </row>
    <row r="3191" spans="3:3" x14ac:dyDescent="0.25">
      <c r="C3191" s="42"/>
    </row>
    <row r="3192" spans="3:3" x14ac:dyDescent="0.25">
      <c r="C3192" s="42"/>
    </row>
    <row r="3193" spans="3:3" x14ac:dyDescent="0.25">
      <c r="C3193" s="42"/>
    </row>
    <row r="3194" spans="3:3" x14ac:dyDescent="0.25">
      <c r="C3194" s="42"/>
    </row>
    <row r="3195" spans="3:3" x14ac:dyDescent="0.25">
      <c r="C3195" s="42"/>
    </row>
    <row r="3196" spans="3:3" x14ac:dyDescent="0.25">
      <c r="C3196" s="42"/>
    </row>
    <row r="3197" spans="3:3" x14ac:dyDescent="0.25">
      <c r="C3197" s="42"/>
    </row>
    <row r="3198" spans="3:3" x14ac:dyDescent="0.25">
      <c r="C3198" s="42"/>
    </row>
    <row r="3199" spans="3:3" x14ac:dyDescent="0.25">
      <c r="C3199" s="42"/>
    </row>
    <row r="3200" spans="3:3" x14ac:dyDescent="0.25">
      <c r="C3200" s="42"/>
    </row>
    <row r="3201" spans="3:3" x14ac:dyDescent="0.25">
      <c r="C3201" s="42"/>
    </row>
    <row r="3202" spans="3:3" x14ac:dyDescent="0.25">
      <c r="C3202" s="42"/>
    </row>
    <row r="3203" spans="3:3" x14ac:dyDescent="0.25">
      <c r="C3203" s="42"/>
    </row>
    <row r="3204" spans="3:3" x14ac:dyDescent="0.25">
      <c r="C3204" s="42"/>
    </row>
    <row r="3205" spans="3:3" x14ac:dyDescent="0.25">
      <c r="C3205" s="42"/>
    </row>
    <row r="3206" spans="3:3" x14ac:dyDescent="0.25">
      <c r="C3206" s="42"/>
    </row>
    <row r="3207" spans="3:3" x14ac:dyDescent="0.25">
      <c r="C3207" s="42"/>
    </row>
    <row r="3208" spans="3:3" x14ac:dyDescent="0.25">
      <c r="C3208" s="42"/>
    </row>
    <row r="3209" spans="3:3" x14ac:dyDescent="0.25">
      <c r="C3209" s="42"/>
    </row>
    <row r="3210" spans="3:3" x14ac:dyDescent="0.25">
      <c r="C3210" s="42"/>
    </row>
    <row r="3211" spans="3:3" x14ac:dyDescent="0.25">
      <c r="C3211" s="42"/>
    </row>
    <row r="3212" spans="3:3" x14ac:dyDescent="0.25">
      <c r="C3212" s="42"/>
    </row>
    <row r="3213" spans="3:3" x14ac:dyDescent="0.25">
      <c r="C3213" s="42"/>
    </row>
    <row r="3214" spans="3:3" x14ac:dyDescent="0.25">
      <c r="C3214" s="42"/>
    </row>
    <row r="3215" spans="3:3" x14ac:dyDescent="0.25">
      <c r="C3215" s="42"/>
    </row>
    <row r="3216" spans="3:3" x14ac:dyDescent="0.25">
      <c r="C3216" s="42"/>
    </row>
    <row r="3217" spans="3:3" x14ac:dyDescent="0.25">
      <c r="C3217" s="42"/>
    </row>
    <row r="3218" spans="3:3" x14ac:dyDescent="0.25">
      <c r="C3218" s="42"/>
    </row>
    <row r="3219" spans="3:3" x14ac:dyDescent="0.25">
      <c r="C3219" s="42"/>
    </row>
    <row r="3220" spans="3:3" x14ac:dyDescent="0.25">
      <c r="C3220" s="42"/>
    </row>
    <row r="3221" spans="3:3" x14ac:dyDescent="0.25">
      <c r="C3221" s="42"/>
    </row>
    <row r="3222" spans="3:3" x14ac:dyDescent="0.25">
      <c r="C3222" s="42"/>
    </row>
    <row r="3223" spans="3:3" x14ac:dyDescent="0.25">
      <c r="C3223" s="42"/>
    </row>
    <row r="3224" spans="3:3" x14ac:dyDescent="0.25">
      <c r="C3224" s="42"/>
    </row>
    <row r="3225" spans="3:3" x14ac:dyDescent="0.25">
      <c r="C3225" s="42"/>
    </row>
    <row r="3226" spans="3:3" x14ac:dyDescent="0.25">
      <c r="C3226" s="42"/>
    </row>
    <row r="3227" spans="3:3" x14ac:dyDescent="0.25">
      <c r="C3227" s="42"/>
    </row>
    <row r="3228" spans="3:3" x14ac:dyDescent="0.25">
      <c r="C3228" s="42"/>
    </row>
    <row r="3229" spans="3:3" x14ac:dyDescent="0.25">
      <c r="C3229" s="42"/>
    </row>
    <row r="3230" spans="3:3" x14ac:dyDescent="0.25">
      <c r="C3230" s="42"/>
    </row>
    <row r="3231" spans="3:3" x14ac:dyDescent="0.25">
      <c r="C3231" s="42"/>
    </row>
    <row r="3232" spans="3:3" x14ac:dyDescent="0.25">
      <c r="C3232" s="42"/>
    </row>
    <row r="3233" spans="3:3" x14ac:dyDescent="0.25">
      <c r="C3233" s="42"/>
    </row>
    <row r="3234" spans="3:3" x14ac:dyDescent="0.25">
      <c r="C3234" s="42"/>
    </row>
    <row r="3235" spans="3:3" x14ac:dyDescent="0.25">
      <c r="C3235" s="42"/>
    </row>
    <row r="3236" spans="3:3" x14ac:dyDescent="0.25">
      <c r="C3236" s="42"/>
    </row>
    <row r="3237" spans="3:3" x14ac:dyDescent="0.25">
      <c r="C3237" s="42"/>
    </row>
    <row r="3238" spans="3:3" x14ac:dyDescent="0.25">
      <c r="C3238" s="42"/>
    </row>
    <row r="3239" spans="3:3" x14ac:dyDescent="0.25">
      <c r="C3239" s="42"/>
    </row>
    <row r="3240" spans="3:3" x14ac:dyDescent="0.25">
      <c r="C3240" s="42"/>
    </row>
    <row r="3241" spans="3:3" x14ac:dyDescent="0.25">
      <c r="C3241" s="42"/>
    </row>
    <row r="3242" spans="3:3" x14ac:dyDescent="0.25">
      <c r="C3242" s="42"/>
    </row>
    <row r="3243" spans="3:3" x14ac:dyDescent="0.25">
      <c r="C3243" s="42"/>
    </row>
    <row r="3244" spans="3:3" x14ac:dyDescent="0.25">
      <c r="C3244" s="42"/>
    </row>
    <row r="3245" spans="3:3" x14ac:dyDescent="0.25">
      <c r="C3245" s="42"/>
    </row>
    <row r="3246" spans="3:3" x14ac:dyDescent="0.25">
      <c r="C3246" s="42"/>
    </row>
    <row r="3247" spans="3:3" x14ac:dyDescent="0.25">
      <c r="C3247" s="42"/>
    </row>
    <row r="3248" spans="3:3" x14ac:dyDescent="0.25">
      <c r="C3248" s="42"/>
    </row>
    <row r="3249" spans="3:3" x14ac:dyDescent="0.25">
      <c r="C3249" s="42"/>
    </row>
    <row r="3250" spans="3:3" x14ac:dyDescent="0.25">
      <c r="C3250" s="42"/>
    </row>
    <row r="3251" spans="3:3" x14ac:dyDescent="0.25">
      <c r="C3251" s="42"/>
    </row>
    <row r="3252" spans="3:3" x14ac:dyDescent="0.25">
      <c r="C3252" s="42"/>
    </row>
    <row r="3253" spans="3:3" x14ac:dyDescent="0.25">
      <c r="C3253" s="42"/>
    </row>
    <row r="3254" spans="3:3" x14ac:dyDescent="0.25">
      <c r="C3254" s="42"/>
    </row>
    <row r="3255" spans="3:3" x14ac:dyDescent="0.25">
      <c r="C3255" s="42"/>
    </row>
    <row r="3256" spans="3:3" x14ac:dyDescent="0.25">
      <c r="C3256" s="42"/>
    </row>
    <row r="3257" spans="3:3" x14ac:dyDescent="0.25">
      <c r="C3257" s="42"/>
    </row>
    <row r="3258" spans="3:3" x14ac:dyDescent="0.25">
      <c r="C3258" s="42"/>
    </row>
    <row r="3259" spans="3:3" x14ac:dyDescent="0.25">
      <c r="C3259" s="42"/>
    </row>
    <row r="3260" spans="3:3" x14ac:dyDescent="0.25">
      <c r="C3260" s="42"/>
    </row>
    <row r="3261" spans="3:3" x14ac:dyDescent="0.25">
      <c r="C3261" s="42"/>
    </row>
    <row r="3262" spans="3:3" x14ac:dyDescent="0.25">
      <c r="C3262" s="42"/>
    </row>
    <row r="3263" spans="3:3" x14ac:dyDescent="0.25">
      <c r="C3263" s="42"/>
    </row>
    <row r="3264" spans="3:3" x14ac:dyDescent="0.25">
      <c r="C3264" s="42"/>
    </row>
    <row r="3265" spans="3:3" x14ac:dyDescent="0.25">
      <c r="C3265" s="42"/>
    </row>
    <row r="3266" spans="3:3" x14ac:dyDescent="0.25">
      <c r="C3266" s="42"/>
    </row>
    <row r="3267" spans="3:3" x14ac:dyDescent="0.25">
      <c r="C3267" s="42"/>
    </row>
    <row r="3268" spans="3:3" x14ac:dyDescent="0.25">
      <c r="C3268" s="42"/>
    </row>
    <row r="3269" spans="3:3" x14ac:dyDescent="0.25">
      <c r="C3269" s="42"/>
    </row>
    <row r="3270" spans="3:3" x14ac:dyDescent="0.25">
      <c r="C3270" s="42"/>
    </row>
    <row r="3271" spans="3:3" x14ac:dyDescent="0.25">
      <c r="C3271" s="42"/>
    </row>
    <row r="3272" spans="3:3" x14ac:dyDescent="0.25">
      <c r="C3272" s="42"/>
    </row>
    <row r="3273" spans="3:3" x14ac:dyDescent="0.25">
      <c r="C3273" s="42"/>
    </row>
    <row r="3274" spans="3:3" x14ac:dyDescent="0.25">
      <c r="C3274" s="42"/>
    </row>
    <row r="3275" spans="3:3" x14ac:dyDescent="0.25">
      <c r="C3275" s="42"/>
    </row>
    <row r="3276" spans="3:3" x14ac:dyDescent="0.25">
      <c r="C3276" s="42"/>
    </row>
    <row r="3277" spans="3:3" x14ac:dyDescent="0.25">
      <c r="C3277" s="42"/>
    </row>
    <row r="3278" spans="3:3" x14ac:dyDescent="0.25">
      <c r="C3278" s="42"/>
    </row>
    <row r="3279" spans="3:3" x14ac:dyDescent="0.25">
      <c r="C3279" s="42"/>
    </row>
    <row r="3280" spans="3:3" x14ac:dyDescent="0.25">
      <c r="C3280" s="42"/>
    </row>
    <row r="3281" spans="3:3" x14ac:dyDescent="0.25">
      <c r="C3281" s="42"/>
    </row>
    <row r="3282" spans="3:3" x14ac:dyDescent="0.25">
      <c r="C3282" s="42"/>
    </row>
    <row r="3283" spans="3:3" x14ac:dyDescent="0.25">
      <c r="C3283" s="42"/>
    </row>
    <row r="3284" spans="3:3" x14ac:dyDescent="0.25">
      <c r="C3284" s="42"/>
    </row>
    <row r="3285" spans="3:3" x14ac:dyDescent="0.25">
      <c r="C3285" s="42"/>
    </row>
    <row r="3286" spans="3:3" x14ac:dyDescent="0.25">
      <c r="C3286" s="42"/>
    </row>
    <row r="3287" spans="3:3" x14ac:dyDescent="0.25">
      <c r="C3287" s="42"/>
    </row>
    <row r="3288" spans="3:3" x14ac:dyDescent="0.25">
      <c r="C3288" s="42"/>
    </row>
    <row r="3289" spans="3:3" x14ac:dyDescent="0.25">
      <c r="C3289" s="42"/>
    </row>
    <row r="3290" spans="3:3" x14ac:dyDescent="0.25">
      <c r="C3290" s="42"/>
    </row>
    <row r="3291" spans="3:3" x14ac:dyDescent="0.25">
      <c r="C3291" s="42"/>
    </row>
    <row r="3292" spans="3:3" x14ac:dyDescent="0.25">
      <c r="C3292" s="42"/>
    </row>
    <row r="3293" spans="3:3" x14ac:dyDescent="0.25">
      <c r="C3293" s="42"/>
    </row>
    <row r="3294" spans="3:3" x14ac:dyDescent="0.25">
      <c r="C3294" s="42"/>
    </row>
    <row r="3295" spans="3:3" x14ac:dyDescent="0.25">
      <c r="C3295" s="42"/>
    </row>
    <row r="3296" spans="3:3" x14ac:dyDescent="0.25">
      <c r="C3296" s="42"/>
    </row>
    <row r="3297" spans="3:3" x14ac:dyDescent="0.25">
      <c r="C3297" s="42"/>
    </row>
    <row r="3298" spans="3:3" x14ac:dyDescent="0.25">
      <c r="C3298" s="42"/>
    </row>
    <row r="3299" spans="3:3" x14ac:dyDescent="0.25">
      <c r="C3299" s="42"/>
    </row>
    <row r="3300" spans="3:3" x14ac:dyDescent="0.25">
      <c r="C3300" s="42"/>
    </row>
    <row r="3301" spans="3:3" x14ac:dyDescent="0.25">
      <c r="C3301" s="42"/>
    </row>
    <row r="3302" spans="3:3" x14ac:dyDescent="0.25">
      <c r="C3302" s="42"/>
    </row>
    <row r="3303" spans="3:3" x14ac:dyDescent="0.25">
      <c r="C3303" s="42"/>
    </row>
    <row r="3304" spans="3:3" x14ac:dyDescent="0.25">
      <c r="C3304" s="42"/>
    </row>
    <row r="3305" spans="3:3" x14ac:dyDescent="0.25">
      <c r="C3305" s="42"/>
    </row>
    <row r="3306" spans="3:3" x14ac:dyDescent="0.25">
      <c r="C3306" s="42"/>
    </row>
    <row r="3307" spans="3:3" x14ac:dyDescent="0.25">
      <c r="C3307" s="42"/>
    </row>
    <row r="3308" spans="3:3" x14ac:dyDescent="0.25">
      <c r="C3308" s="42"/>
    </row>
    <row r="3309" spans="3:3" x14ac:dyDescent="0.25">
      <c r="C3309" s="42"/>
    </row>
    <row r="3310" spans="3:3" x14ac:dyDescent="0.25">
      <c r="C3310" s="42"/>
    </row>
    <row r="3311" spans="3:3" x14ac:dyDescent="0.25">
      <c r="C3311" s="42"/>
    </row>
    <row r="3312" spans="3:3" x14ac:dyDescent="0.25">
      <c r="C3312" s="42"/>
    </row>
    <row r="3313" spans="3:3" x14ac:dyDescent="0.25">
      <c r="C3313" s="42"/>
    </row>
    <row r="3314" spans="3:3" x14ac:dyDescent="0.25">
      <c r="C3314" s="42"/>
    </row>
    <row r="3315" spans="3:3" x14ac:dyDescent="0.25">
      <c r="C3315" s="42"/>
    </row>
    <row r="3316" spans="3:3" x14ac:dyDescent="0.25">
      <c r="C3316" s="42"/>
    </row>
    <row r="3317" spans="3:3" x14ac:dyDescent="0.25">
      <c r="C3317" s="42"/>
    </row>
    <row r="3318" spans="3:3" x14ac:dyDescent="0.25">
      <c r="C3318" s="42"/>
    </row>
    <row r="3319" spans="3:3" x14ac:dyDescent="0.25">
      <c r="C3319" s="42"/>
    </row>
    <row r="3320" spans="3:3" x14ac:dyDescent="0.25">
      <c r="C3320" s="42"/>
    </row>
    <row r="3321" spans="3:3" x14ac:dyDescent="0.25">
      <c r="C3321" s="42"/>
    </row>
    <row r="3322" spans="3:3" x14ac:dyDescent="0.25">
      <c r="C3322" s="42"/>
    </row>
    <row r="3323" spans="3:3" x14ac:dyDescent="0.25">
      <c r="C3323" s="42"/>
    </row>
    <row r="3324" spans="3:3" x14ac:dyDescent="0.25">
      <c r="C3324" s="42"/>
    </row>
    <row r="3325" spans="3:3" x14ac:dyDescent="0.25">
      <c r="C3325" s="42"/>
    </row>
    <row r="3326" spans="3:3" x14ac:dyDescent="0.25">
      <c r="C3326" s="42"/>
    </row>
    <row r="3327" spans="3:3" x14ac:dyDescent="0.25">
      <c r="C3327" s="42"/>
    </row>
    <row r="3328" spans="3:3" x14ac:dyDescent="0.25">
      <c r="C3328" s="42"/>
    </row>
    <row r="3329" spans="3:3" x14ac:dyDescent="0.25">
      <c r="C3329" s="42"/>
    </row>
    <row r="3330" spans="3:3" x14ac:dyDescent="0.25">
      <c r="C3330" s="42"/>
    </row>
    <row r="3331" spans="3:3" x14ac:dyDescent="0.25">
      <c r="C3331" s="42"/>
    </row>
    <row r="3332" spans="3:3" x14ac:dyDescent="0.25">
      <c r="C3332" s="42"/>
    </row>
    <row r="3333" spans="3:3" x14ac:dyDescent="0.25">
      <c r="C3333" s="42"/>
    </row>
    <row r="3334" spans="3:3" x14ac:dyDescent="0.25">
      <c r="C3334" s="42"/>
    </row>
    <row r="3335" spans="3:3" x14ac:dyDescent="0.25">
      <c r="C3335" s="42"/>
    </row>
    <row r="3336" spans="3:3" x14ac:dyDescent="0.25">
      <c r="C3336" s="42"/>
    </row>
    <row r="3337" spans="3:3" x14ac:dyDescent="0.25">
      <c r="C3337" s="42"/>
    </row>
    <row r="3338" spans="3:3" x14ac:dyDescent="0.25">
      <c r="C3338" s="42"/>
    </row>
    <row r="3339" spans="3:3" x14ac:dyDescent="0.25">
      <c r="C3339" s="42"/>
    </row>
    <row r="3340" spans="3:3" x14ac:dyDescent="0.25">
      <c r="C3340" s="42"/>
    </row>
    <row r="3341" spans="3:3" x14ac:dyDescent="0.25">
      <c r="C3341" s="42"/>
    </row>
    <row r="3342" spans="3:3" x14ac:dyDescent="0.25">
      <c r="C3342" s="42"/>
    </row>
    <row r="3343" spans="3:3" x14ac:dyDescent="0.25">
      <c r="C3343" s="42"/>
    </row>
    <row r="3344" spans="3:3" x14ac:dyDescent="0.25">
      <c r="C3344" s="42"/>
    </row>
    <row r="3345" spans="3:3" x14ac:dyDescent="0.25">
      <c r="C3345" s="42"/>
    </row>
    <row r="3346" spans="3:3" x14ac:dyDescent="0.25">
      <c r="C3346" s="42"/>
    </row>
    <row r="3347" spans="3:3" x14ac:dyDescent="0.25">
      <c r="C3347" s="42"/>
    </row>
    <row r="3348" spans="3:3" x14ac:dyDescent="0.25">
      <c r="C3348" s="42"/>
    </row>
    <row r="3349" spans="3:3" x14ac:dyDescent="0.25">
      <c r="C3349" s="42"/>
    </row>
    <row r="3350" spans="3:3" x14ac:dyDescent="0.25">
      <c r="C3350" s="42"/>
    </row>
    <row r="3351" spans="3:3" x14ac:dyDescent="0.25">
      <c r="C3351" s="42"/>
    </row>
    <row r="3352" spans="3:3" x14ac:dyDescent="0.25">
      <c r="C3352" s="42"/>
    </row>
    <row r="3353" spans="3:3" x14ac:dyDescent="0.25">
      <c r="C3353" s="42"/>
    </row>
    <row r="3354" spans="3:3" x14ac:dyDescent="0.25">
      <c r="C3354" s="42"/>
    </row>
    <row r="3355" spans="3:3" x14ac:dyDescent="0.25">
      <c r="C3355" s="42"/>
    </row>
    <row r="3356" spans="3:3" x14ac:dyDescent="0.25">
      <c r="C3356" s="42"/>
    </row>
    <row r="3357" spans="3:3" x14ac:dyDescent="0.25">
      <c r="C3357" s="42"/>
    </row>
    <row r="3358" spans="3:3" x14ac:dyDescent="0.25">
      <c r="C3358" s="42"/>
    </row>
    <row r="3359" spans="3:3" x14ac:dyDescent="0.25">
      <c r="C3359" s="42"/>
    </row>
    <row r="3360" spans="3:3" x14ac:dyDescent="0.25">
      <c r="C3360" s="42"/>
    </row>
    <row r="3361" spans="3:3" x14ac:dyDescent="0.25">
      <c r="C3361" s="42"/>
    </row>
    <row r="3362" spans="3:3" x14ac:dyDescent="0.25">
      <c r="C3362" s="42"/>
    </row>
    <row r="3363" spans="3:3" x14ac:dyDescent="0.25">
      <c r="C3363" s="42"/>
    </row>
    <row r="3364" spans="3:3" x14ac:dyDescent="0.25">
      <c r="C3364" s="42"/>
    </row>
    <row r="3365" spans="3:3" x14ac:dyDescent="0.25">
      <c r="C3365" s="42"/>
    </row>
    <row r="3366" spans="3:3" x14ac:dyDescent="0.25">
      <c r="C3366" s="42"/>
    </row>
    <row r="3367" spans="3:3" x14ac:dyDescent="0.25">
      <c r="C3367" s="42"/>
    </row>
    <row r="3368" spans="3:3" x14ac:dyDescent="0.25">
      <c r="C3368" s="42"/>
    </row>
    <row r="3369" spans="3:3" x14ac:dyDescent="0.25">
      <c r="C3369" s="42"/>
    </row>
    <row r="3370" spans="3:3" x14ac:dyDescent="0.25">
      <c r="C3370" s="42"/>
    </row>
    <row r="3371" spans="3:3" x14ac:dyDescent="0.25">
      <c r="C3371" s="42"/>
    </row>
    <row r="3372" spans="3:3" x14ac:dyDescent="0.25">
      <c r="C3372" s="42"/>
    </row>
    <row r="3373" spans="3:3" x14ac:dyDescent="0.25">
      <c r="C3373" s="42"/>
    </row>
    <row r="3374" spans="3:3" x14ac:dyDescent="0.25">
      <c r="C3374" s="42"/>
    </row>
    <row r="3375" spans="3:3" x14ac:dyDescent="0.25">
      <c r="C3375" s="42"/>
    </row>
    <row r="3376" spans="3:3" x14ac:dyDescent="0.25">
      <c r="C3376" s="42"/>
    </row>
    <row r="3377" spans="3:3" x14ac:dyDescent="0.25">
      <c r="C3377" s="42"/>
    </row>
    <row r="3378" spans="3:3" x14ac:dyDescent="0.25">
      <c r="C3378" s="42"/>
    </row>
    <row r="3379" spans="3:3" x14ac:dyDescent="0.25">
      <c r="C3379" s="42"/>
    </row>
    <row r="3380" spans="3:3" x14ac:dyDescent="0.25">
      <c r="C3380" s="42"/>
    </row>
    <row r="3381" spans="3:3" x14ac:dyDescent="0.25">
      <c r="C3381" s="42"/>
    </row>
    <row r="3382" spans="3:3" x14ac:dyDescent="0.25">
      <c r="C3382" s="42"/>
    </row>
    <row r="3383" spans="3:3" x14ac:dyDescent="0.25">
      <c r="C3383" s="42"/>
    </row>
    <row r="3384" spans="3:3" x14ac:dyDescent="0.25">
      <c r="C3384" s="42"/>
    </row>
    <row r="3385" spans="3:3" x14ac:dyDescent="0.25">
      <c r="C3385" s="42"/>
    </row>
    <row r="3386" spans="3:3" x14ac:dyDescent="0.25">
      <c r="C3386" s="42"/>
    </row>
    <row r="3387" spans="3:3" x14ac:dyDescent="0.25">
      <c r="C3387" s="42"/>
    </row>
    <row r="3388" spans="3:3" x14ac:dyDescent="0.25">
      <c r="C3388" s="42"/>
    </row>
    <row r="3389" spans="3:3" x14ac:dyDescent="0.25">
      <c r="C3389" s="42"/>
    </row>
    <row r="3390" spans="3:3" x14ac:dyDescent="0.25">
      <c r="C3390" s="42"/>
    </row>
    <row r="3391" spans="3:3" x14ac:dyDescent="0.25">
      <c r="C3391" s="42"/>
    </row>
    <row r="3392" spans="3:3" x14ac:dyDescent="0.25">
      <c r="C3392" s="42"/>
    </row>
    <row r="3393" spans="3:3" x14ac:dyDescent="0.25">
      <c r="C3393" s="42"/>
    </row>
    <row r="3394" spans="3:3" x14ac:dyDescent="0.25">
      <c r="C3394" s="42"/>
    </row>
    <row r="3395" spans="3:3" x14ac:dyDescent="0.25">
      <c r="C3395" s="42"/>
    </row>
    <row r="3396" spans="3:3" x14ac:dyDescent="0.25">
      <c r="C3396" s="42"/>
    </row>
    <row r="3397" spans="3:3" x14ac:dyDescent="0.25">
      <c r="C3397" s="42"/>
    </row>
    <row r="3398" spans="3:3" x14ac:dyDescent="0.25">
      <c r="C3398" s="42"/>
    </row>
    <row r="3399" spans="3:3" x14ac:dyDescent="0.25">
      <c r="C3399" s="42"/>
    </row>
    <row r="3400" spans="3:3" x14ac:dyDescent="0.25">
      <c r="C3400" s="42"/>
    </row>
    <row r="3401" spans="3:3" x14ac:dyDescent="0.25">
      <c r="C3401" s="42"/>
    </row>
    <row r="3402" spans="3:3" x14ac:dyDescent="0.25">
      <c r="C3402" s="42"/>
    </row>
    <row r="3403" spans="3:3" x14ac:dyDescent="0.25">
      <c r="C3403" s="42"/>
    </row>
    <row r="3404" spans="3:3" x14ac:dyDescent="0.25">
      <c r="C3404" s="42"/>
    </row>
    <row r="3405" spans="3:3" x14ac:dyDescent="0.25">
      <c r="C3405" s="42"/>
    </row>
    <row r="3406" spans="3:3" x14ac:dyDescent="0.25">
      <c r="C3406" s="42"/>
    </row>
    <row r="3407" spans="3:3" x14ac:dyDescent="0.25">
      <c r="C3407" s="42"/>
    </row>
    <row r="3408" spans="3:3" x14ac:dyDescent="0.25">
      <c r="C3408" s="42"/>
    </row>
    <row r="3409" spans="3:3" x14ac:dyDescent="0.25">
      <c r="C3409" s="42"/>
    </row>
    <row r="3410" spans="3:3" x14ac:dyDescent="0.25">
      <c r="C3410" s="42"/>
    </row>
    <row r="3411" spans="3:3" x14ac:dyDescent="0.25">
      <c r="C3411" s="42"/>
    </row>
    <row r="3412" spans="3:3" x14ac:dyDescent="0.25">
      <c r="C3412" s="42"/>
    </row>
    <row r="3413" spans="3:3" x14ac:dyDescent="0.25">
      <c r="C3413" s="42"/>
    </row>
    <row r="3414" spans="3:3" x14ac:dyDescent="0.25">
      <c r="C3414" s="42"/>
    </row>
    <row r="3415" spans="3:3" x14ac:dyDescent="0.25">
      <c r="C3415" s="42"/>
    </row>
    <row r="3416" spans="3:3" x14ac:dyDescent="0.25">
      <c r="C3416" s="42"/>
    </row>
    <row r="3417" spans="3:3" x14ac:dyDescent="0.25">
      <c r="C3417" s="42"/>
    </row>
    <row r="3418" spans="3:3" x14ac:dyDescent="0.25">
      <c r="C3418" s="42"/>
    </row>
    <row r="3419" spans="3:3" x14ac:dyDescent="0.25">
      <c r="C3419" s="42"/>
    </row>
    <row r="3420" spans="3:3" x14ac:dyDescent="0.25">
      <c r="C3420" s="42"/>
    </row>
    <row r="3421" spans="3:3" x14ac:dyDescent="0.25">
      <c r="C3421" s="42"/>
    </row>
    <row r="3422" spans="3:3" x14ac:dyDescent="0.25">
      <c r="C3422" s="42"/>
    </row>
    <row r="3423" spans="3:3" x14ac:dyDescent="0.25">
      <c r="C3423" s="42"/>
    </row>
    <row r="3424" spans="3:3" x14ac:dyDescent="0.25">
      <c r="C3424" s="42"/>
    </row>
    <row r="3425" spans="3:3" x14ac:dyDescent="0.25">
      <c r="C3425" s="42"/>
    </row>
    <row r="3426" spans="3:3" x14ac:dyDescent="0.25">
      <c r="C3426" s="42"/>
    </row>
    <row r="3427" spans="3:3" x14ac:dyDescent="0.25">
      <c r="C3427" s="42"/>
    </row>
    <row r="3428" spans="3:3" x14ac:dyDescent="0.25">
      <c r="C3428" s="42"/>
    </row>
    <row r="3429" spans="3:3" x14ac:dyDescent="0.25">
      <c r="C3429" s="42"/>
    </row>
    <row r="3430" spans="3:3" x14ac:dyDescent="0.25">
      <c r="C3430" s="42"/>
    </row>
    <row r="3431" spans="3:3" x14ac:dyDescent="0.25">
      <c r="C3431" s="42"/>
    </row>
    <row r="3432" spans="3:3" x14ac:dyDescent="0.25">
      <c r="C3432" s="42"/>
    </row>
    <row r="3433" spans="3:3" x14ac:dyDescent="0.25">
      <c r="C3433" s="42"/>
    </row>
    <row r="3434" spans="3:3" x14ac:dyDescent="0.25">
      <c r="C3434" s="42"/>
    </row>
    <row r="3435" spans="3:3" x14ac:dyDescent="0.25">
      <c r="C3435" s="42"/>
    </row>
    <row r="3436" spans="3:3" x14ac:dyDescent="0.25">
      <c r="C3436" s="42"/>
    </row>
    <row r="3437" spans="3:3" x14ac:dyDescent="0.25">
      <c r="C3437" s="42"/>
    </row>
    <row r="3438" spans="3:3" x14ac:dyDescent="0.25">
      <c r="C3438" s="42"/>
    </row>
    <row r="3439" spans="3:3" x14ac:dyDescent="0.25">
      <c r="C3439" s="42"/>
    </row>
    <row r="3440" spans="3:3" x14ac:dyDescent="0.25">
      <c r="C3440" s="42"/>
    </row>
    <row r="3441" spans="3:3" x14ac:dyDescent="0.25">
      <c r="C3441" s="42"/>
    </row>
    <row r="3442" spans="3:3" x14ac:dyDescent="0.25">
      <c r="C3442" s="42"/>
    </row>
    <row r="3443" spans="3:3" x14ac:dyDescent="0.25">
      <c r="C3443" s="42"/>
    </row>
    <row r="3444" spans="3:3" x14ac:dyDescent="0.25">
      <c r="C3444" s="42"/>
    </row>
    <row r="3445" spans="3:3" x14ac:dyDescent="0.25">
      <c r="C3445" s="42"/>
    </row>
    <row r="3446" spans="3:3" x14ac:dyDescent="0.25">
      <c r="C3446" s="42"/>
    </row>
    <row r="3447" spans="3:3" x14ac:dyDescent="0.25">
      <c r="C3447" s="42"/>
    </row>
    <row r="3448" spans="3:3" x14ac:dyDescent="0.25">
      <c r="C3448" s="42"/>
    </row>
    <row r="3449" spans="3:3" x14ac:dyDescent="0.25">
      <c r="C3449" s="42"/>
    </row>
    <row r="3450" spans="3:3" x14ac:dyDescent="0.25">
      <c r="C3450" s="42"/>
    </row>
    <row r="3451" spans="3:3" x14ac:dyDescent="0.25">
      <c r="C3451" s="42"/>
    </row>
    <row r="3452" spans="3:3" x14ac:dyDescent="0.25">
      <c r="C3452" s="42"/>
    </row>
    <row r="3453" spans="3:3" x14ac:dyDescent="0.25">
      <c r="C3453" s="42"/>
    </row>
    <row r="3454" spans="3:3" x14ac:dyDescent="0.25">
      <c r="C3454" s="42"/>
    </row>
    <row r="3455" spans="3:3" x14ac:dyDescent="0.25">
      <c r="C3455" s="42"/>
    </row>
    <row r="3456" spans="3:3" x14ac:dyDescent="0.25">
      <c r="C3456" s="42"/>
    </row>
    <row r="3457" spans="3:3" x14ac:dyDescent="0.25">
      <c r="C3457" s="42"/>
    </row>
    <row r="3458" spans="3:3" x14ac:dyDescent="0.25">
      <c r="C3458" s="42"/>
    </row>
    <row r="3459" spans="3:3" x14ac:dyDescent="0.25">
      <c r="C3459" s="42"/>
    </row>
    <row r="3460" spans="3:3" x14ac:dyDescent="0.25">
      <c r="C3460" s="42"/>
    </row>
    <row r="3461" spans="3:3" x14ac:dyDescent="0.25">
      <c r="C3461" s="42"/>
    </row>
    <row r="3462" spans="3:3" x14ac:dyDescent="0.25">
      <c r="C3462" s="42"/>
    </row>
    <row r="3463" spans="3:3" x14ac:dyDescent="0.25">
      <c r="C3463" s="42"/>
    </row>
    <row r="3464" spans="3:3" x14ac:dyDescent="0.25">
      <c r="C3464" s="42"/>
    </row>
    <row r="3465" spans="3:3" x14ac:dyDescent="0.25">
      <c r="C3465" s="42"/>
    </row>
    <row r="3466" spans="3:3" x14ac:dyDescent="0.25">
      <c r="C3466" s="42"/>
    </row>
    <row r="3467" spans="3:3" x14ac:dyDescent="0.25">
      <c r="C3467" s="42"/>
    </row>
    <row r="3468" spans="3:3" x14ac:dyDescent="0.25">
      <c r="C3468" s="42"/>
    </row>
    <row r="3469" spans="3:3" x14ac:dyDescent="0.25">
      <c r="C3469" s="42"/>
    </row>
    <row r="3470" spans="3:3" x14ac:dyDescent="0.25">
      <c r="C3470" s="42"/>
    </row>
    <row r="3471" spans="3:3" x14ac:dyDescent="0.25">
      <c r="C3471" s="42"/>
    </row>
    <row r="3472" spans="3:3" x14ac:dyDescent="0.25">
      <c r="C3472" s="42"/>
    </row>
    <row r="3473" spans="3:3" x14ac:dyDescent="0.25">
      <c r="C3473" s="42"/>
    </row>
    <row r="3474" spans="3:3" x14ac:dyDescent="0.25">
      <c r="C3474" s="42"/>
    </row>
    <row r="3475" spans="3:3" x14ac:dyDescent="0.25">
      <c r="C3475" s="42"/>
    </row>
    <row r="3476" spans="3:3" x14ac:dyDescent="0.25">
      <c r="C3476" s="42"/>
    </row>
    <row r="3477" spans="3:3" x14ac:dyDescent="0.25">
      <c r="C3477" s="42"/>
    </row>
    <row r="3478" spans="3:3" x14ac:dyDescent="0.25">
      <c r="C3478" s="42"/>
    </row>
    <row r="3479" spans="3:3" x14ac:dyDescent="0.25">
      <c r="C3479" s="42"/>
    </row>
    <row r="3480" spans="3:3" x14ac:dyDescent="0.25">
      <c r="C3480" s="42"/>
    </row>
    <row r="3481" spans="3:3" x14ac:dyDescent="0.25">
      <c r="C3481" s="42"/>
    </row>
    <row r="3482" spans="3:3" x14ac:dyDescent="0.25">
      <c r="C3482" s="42"/>
    </row>
    <row r="3483" spans="3:3" x14ac:dyDescent="0.25">
      <c r="C3483" s="42"/>
    </row>
    <row r="3484" spans="3:3" x14ac:dyDescent="0.25">
      <c r="C3484" s="42"/>
    </row>
    <row r="3485" spans="3:3" x14ac:dyDescent="0.25">
      <c r="C3485" s="42"/>
    </row>
    <row r="3486" spans="3:3" x14ac:dyDescent="0.25">
      <c r="C3486" s="42"/>
    </row>
    <row r="3487" spans="3:3" x14ac:dyDescent="0.25">
      <c r="C3487" s="42"/>
    </row>
    <row r="3488" spans="3:3" x14ac:dyDescent="0.25">
      <c r="C3488" s="42"/>
    </row>
    <row r="3489" spans="3:3" x14ac:dyDescent="0.25">
      <c r="C3489" s="42"/>
    </row>
    <row r="3490" spans="3:3" x14ac:dyDescent="0.25">
      <c r="C3490" s="42"/>
    </row>
    <row r="3491" spans="3:3" x14ac:dyDescent="0.25">
      <c r="C3491" s="42"/>
    </row>
    <row r="3492" spans="3:3" x14ac:dyDescent="0.25">
      <c r="C3492" s="42"/>
    </row>
    <row r="3493" spans="3:3" x14ac:dyDescent="0.25">
      <c r="C3493" s="42"/>
    </row>
    <row r="3494" spans="3:3" x14ac:dyDescent="0.25">
      <c r="C3494" s="42"/>
    </row>
    <row r="3495" spans="3:3" x14ac:dyDescent="0.25">
      <c r="C3495" s="42"/>
    </row>
    <row r="3496" spans="3:3" x14ac:dyDescent="0.25">
      <c r="C3496" s="42"/>
    </row>
    <row r="3497" spans="3:3" x14ac:dyDescent="0.25">
      <c r="C3497" s="42"/>
    </row>
    <row r="3498" spans="3:3" x14ac:dyDescent="0.25">
      <c r="C3498" s="42"/>
    </row>
    <row r="3499" spans="3:3" x14ac:dyDescent="0.25">
      <c r="C3499" s="42"/>
    </row>
    <row r="3500" spans="3:3" x14ac:dyDescent="0.25">
      <c r="C3500" s="42"/>
    </row>
    <row r="3501" spans="3:3" x14ac:dyDescent="0.25">
      <c r="C3501" s="42"/>
    </row>
    <row r="3502" spans="3:3" x14ac:dyDescent="0.25">
      <c r="C3502" s="42"/>
    </row>
    <row r="3503" spans="3:3" x14ac:dyDescent="0.25">
      <c r="C3503" s="42"/>
    </row>
    <row r="3504" spans="3:3" x14ac:dyDescent="0.25">
      <c r="C3504" s="42"/>
    </row>
    <row r="3505" spans="3:3" x14ac:dyDescent="0.25">
      <c r="C3505" s="42"/>
    </row>
    <row r="3506" spans="3:3" x14ac:dyDescent="0.25">
      <c r="C3506" s="42"/>
    </row>
    <row r="3507" spans="3:3" x14ac:dyDescent="0.25">
      <c r="C3507" s="42"/>
    </row>
    <row r="3508" spans="3:3" x14ac:dyDescent="0.25">
      <c r="C3508" s="42"/>
    </row>
    <row r="3509" spans="3:3" x14ac:dyDescent="0.25">
      <c r="C3509" s="42"/>
    </row>
    <row r="3510" spans="3:3" x14ac:dyDescent="0.25">
      <c r="C3510" s="42"/>
    </row>
    <row r="3511" spans="3:3" x14ac:dyDescent="0.25">
      <c r="C3511" s="42"/>
    </row>
    <row r="3512" spans="3:3" x14ac:dyDescent="0.25">
      <c r="C3512" s="42"/>
    </row>
    <row r="3513" spans="3:3" x14ac:dyDescent="0.25">
      <c r="C3513" s="42"/>
    </row>
    <row r="3514" spans="3:3" x14ac:dyDescent="0.25">
      <c r="C3514" s="42"/>
    </row>
    <row r="3515" spans="3:3" x14ac:dyDescent="0.25">
      <c r="C3515" s="42"/>
    </row>
    <row r="3516" spans="3:3" x14ac:dyDescent="0.25">
      <c r="C3516" s="42"/>
    </row>
    <row r="3517" spans="3:3" x14ac:dyDescent="0.25">
      <c r="C3517" s="42"/>
    </row>
    <row r="3518" spans="3:3" x14ac:dyDescent="0.25">
      <c r="C3518" s="42"/>
    </row>
    <row r="3519" spans="3:3" x14ac:dyDescent="0.25">
      <c r="C3519" s="42"/>
    </row>
    <row r="3520" spans="3:3" x14ac:dyDescent="0.25">
      <c r="C3520" s="42"/>
    </row>
    <row r="3521" spans="3:3" x14ac:dyDescent="0.25">
      <c r="C3521" s="42"/>
    </row>
    <row r="3522" spans="3:3" x14ac:dyDescent="0.25">
      <c r="C3522" s="42"/>
    </row>
    <row r="3523" spans="3:3" x14ac:dyDescent="0.25">
      <c r="C3523" s="42"/>
    </row>
    <row r="3524" spans="3:3" x14ac:dyDescent="0.25">
      <c r="C3524" s="42"/>
    </row>
    <row r="3525" spans="3:3" x14ac:dyDescent="0.25">
      <c r="C3525" s="42"/>
    </row>
    <row r="3526" spans="3:3" x14ac:dyDescent="0.25">
      <c r="C3526" s="42"/>
    </row>
    <row r="3527" spans="3:3" x14ac:dyDescent="0.25">
      <c r="C3527" s="42"/>
    </row>
    <row r="3528" spans="3:3" x14ac:dyDescent="0.25">
      <c r="C3528" s="42"/>
    </row>
    <row r="3529" spans="3:3" x14ac:dyDescent="0.25">
      <c r="C3529" s="42"/>
    </row>
    <row r="3530" spans="3:3" x14ac:dyDescent="0.25">
      <c r="C3530" s="42"/>
    </row>
    <row r="3531" spans="3:3" x14ac:dyDescent="0.25">
      <c r="C3531" s="42"/>
    </row>
    <row r="3532" spans="3:3" x14ac:dyDescent="0.25">
      <c r="C3532" s="42"/>
    </row>
    <row r="3533" spans="3:3" x14ac:dyDescent="0.25">
      <c r="C3533" s="42"/>
    </row>
    <row r="3534" spans="3:3" x14ac:dyDescent="0.25">
      <c r="C3534" s="42"/>
    </row>
    <row r="3535" spans="3:3" x14ac:dyDescent="0.25">
      <c r="C3535" s="42"/>
    </row>
    <row r="3536" spans="3:3" x14ac:dyDescent="0.25">
      <c r="C3536" s="42"/>
    </row>
    <row r="3537" spans="3:3" x14ac:dyDescent="0.25">
      <c r="C3537" s="42"/>
    </row>
    <row r="3538" spans="3:3" x14ac:dyDescent="0.25">
      <c r="C3538" s="42"/>
    </row>
    <row r="3539" spans="3:3" x14ac:dyDescent="0.25">
      <c r="C3539" s="42"/>
    </row>
    <row r="3540" spans="3:3" x14ac:dyDescent="0.25">
      <c r="C3540" s="42"/>
    </row>
    <row r="3541" spans="3:3" x14ac:dyDescent="0.25">
      <c r="C3541" s="42"/>
    </row>
    <row r="3542" spans="3:3" x14ac:dyDescent="0.25">
      <c r="C3542" s="42"/>
    </row>
    <row r="3543" spans="3:3" x14ac:dyDescent="0.25">
      <c r="C3543" s="42"/>
    </row>
    <row r="3544" spans="3:3" x14ac:dyDescent="0.25">
      <c r="C3544" s="42"/>
    </row>
    <row r="3545" spans="3:3" x14ac:dyDescent="0.25">
      <c r="C3545" s="42"/>
    </row>
    <row r="3546" spans="3:3" x14ac:dyDescent="0.25">
      <c r="C3546" s="42"/>
    </row>
    <row r="3547" spans="3:3" x14ac:dyDescent="0.25">
      <c r="C3547" s="42"/>
    </row>
    <row r="3548" spans="3:3" x14ac:dyDescent="0.25">
      <c r="C3548" s="42"/>
    </row>
    <row r="3549" spans="3:3" x14ac:dyDescent="0.25">
      <c r="C3549" s="42"/>
    </row>
    <row r="3550" spans="3:3" x14ac:dyDescent="0.25">
      <c r="C3550" s="42"/>
    </row>
    <row r="3551" spans="3:3" x14ac:dyDescent="0.25">
      <c r="C3551" s="42"/>
    </row>
    <row r="3552" spans="3:3" x14ac:dyDescent="0.25">
      <c r="C3552" s="42"/>
    </row>
    <row r="3553" spans="3:3" x14ac:dyDescent="0.25">
      <c r="C3553" s="42"/>
    </row>
    <row r="3554" spans="3:3" x14ac:dyDescent="0.25">
      <c r="C3554" s="42"/>
    </row>
    <row r="3555" spans="3:3" x14ac:dyDescent="0.25">
      <c r="C3555" s="42"/>
    </row>
    <row r="3556" spans="3:3" x14ac:dyDescent="0.25">
      <c r="C3556" s="42"/>
    </row>
    <row r="3557" spans="3:3" x14ac:dyDescent="0.25">
      <c r="C3557" s="42"/>
    </row>
    <row r="3558" spans="3:3" x14ac:dyDescent="0.25">
      <c r="C3558" s="42"/>
    </row>
    <row r="3559" spans="3:3" x14ac:dyDescent="0.25">
      <c r="C3559" s="42"/>
    </row>
    <row r="3560" spans="3:3" x14ac:dyDescent="0.25">
      <c r="C3560" s="42"/>
    </row>
    <row r="3561" spans="3:3" x14ac:dyDescent="0.25">
      <c r="C3561" s="42"/>
    </row>
    <row r="3562" spans="3:3" x14ac:dyDescent="0.25">
      <c r="C3562" s="42"/>
    </row>
    <row r="3563" spans="3:3" x14ac:dyDescent="0.25">
      <c r="C3563" s="42"/>
    </row>
    <row r="3564" spans="3:3" x14ac:dyDescent="0.25">
      <c r="C3564" s="42"/>
    </row>
    <row r="3565" spans="3:3" x14ac:dyDescent="0.25">
      <c r="C3565" s="42"/>
    </row>
    <row r="3566" spans="3:3" x14ac:dyDescent="0.25">
      <c r="C3566" s="42"/>
    </row>
    <row r="3567" spans="3:3" x14ac:dyDescent="0.25">
      <c r="C3567" s="42"/>
    </row>
    <row r="3568" spans="3:3" x14ac:dyDescent="0.25">
      <c r="C3568" s="42"/>
    </row>
    <row r="3569" spans="3:3" x14ac:dyDescent="0.25">
      <c r="C3569" s="42"/>
    </row>
    <row r="3570" spans="3:3" x14ac:dyDescent="0.25">
      <c r="C3570" s="42"/>
    </row>
    <row r="3571" spans="3:3" x14ac:dyDescent="0.25">
      <c r="C3571" s="42"/>
    </row>
    <row r="3572" spans="3:3" x14ac:dyDescent="0.25">
      <c r="C3572" s="42"/>
    </row>
    <row r="3573" spans="3:3" x14ac:dyDescent="0.25">
      <c r="C3573" s="42"/>
    </row>
    <row r="3574" spans="3:3" x14ac:dyDescent="0.25">
      <c r="C3574" s="42"/>
    </row>
    <row r="3575" spans="3:3" x14ac:dyDescent="0.25">
      <c r="C3575" s="42"/>
    </row>
    <row r="3576" spans="3:3" x14ac:dyDescent="0.25">
      <c r="C3576" s="42"/>
    </row>
    <row r="3577" spans="3:3" x14ac:dyDescent="0.25">
      <c r="C3577" s="42"/>
    </row>
    <row r="3578" spans="3:3" x14ac:dyDescent="0.25">
      <c r="C3578" s="42"/>
    </row>
    <row r="3579" spans="3:3" x14ac:dyDescent="0.25">
      <c r="C3579" s="42"/>
    </row>
    <row r="3580" spans="3:3" x14ac:dyDescent="0.25">
      <c r="C3580" s="42"/>
    </row>
    <row r="3581" spans="3:3" x14ac:dyDescent="0.25">
      <c r="C3581" s="42"/>
    </row>
    <row r="3582" spans="3:3" x14ac:dyDescent="0.25">
      <c r="C3582" s="42"/>
    </row>
    <row r="3583" spans="3:3" x14ac:dyDescent="0.25">
      <c r="C3583" s="42"/>
    </row>
    <row r="3584" spans="3:3" x14ac:dyDescent="0.25">
      <c r="C3584" s="42"/>
    </row>
    <row r="3585" spans="3:3" x14ac:dyDescent="0.25">
      <c r="C3585" s="42"/>
    </row>
    <row r="3586" spans="3:3" x14ac:dyDescent="0.25">
      <c r="C3586" s="42"/>
    </row>
    <row r="3587" spans="3:3" x14ac:dyDescent="0.25">
      <c r="C3587" s="42"/>
    </row>
    <row r="3588" spans="3:3" x14ac:dyDescent="0.25">
      <c r="C3588" s="42"/>
    </row>
    <row r="3589" spans="3:3" x14ac:dyDescent="0.25">
      <c r="C3589" s="42"/>
    </row>
    <row r="3590" spans="3:3" x14ac:dyDescent="0.25">
      <c r="C3590" s="42"/>
    </row>
    <row r="3591" spans="3:3" x14ac:dyDescent="0.25">
      <c r="C3591" s="42"/>
    </row>
    <row r="3592" spans="3:3" x14ac:dyDescent="0.25">
      <c r="C3592" s="42"/>
    </row>
    <row r="3593" spans="3:3" x14ac:dyDescent="0.25">
      <c r="C3593" s="42"/>
    </row>
    <row r="3594" spans="3:3" x14ac:dyDescent="0.25">
      <c r="C3594" s="42"/>
    </row>
    <row r="3595" spans="3:3" x14ac:dyDescent="0.25">
      <c r="C3595" s="42"/>
    </row>
    <row r="3596" spans="3:3" x14ac:dyDescent="0.25">
      <c r="C3596" s="42"/>
    </row>
    <row r="3597" spans="3:3" x14ac:dyDescent="0.25">
      <c r="C3597" s="42"/>
    </row>
    <row r="3598" spans="3:3" x14ac:dyDescent="0.25">
      <c r="C3598" s="42"/>
    </row>
    <row r="3599" spans="3:3" x14ac:dyDescent="0.25">
      <c r="C3599" s="42"/>
    </row>
    <row r="3600" spans="3:3" x14ac:dyDescent="0.25">
      <c r="C3600" s="42"/>
    </row>
    <row r="3601" spans="3:3" x14ac:dyDescent="0.25">
      <c r="C3601" s="42"/>
    </row>
    <row r="3602" spans="3:3" x14ac:dyDescent="0.25">
      <c r="C3602" s="42"/>
    </row>
    <row r="3603" spans="3:3" x14ac:dyDescent="0.25">
      <c r="C3603" s="42"/>
    </row>
    <row r="3604" spans="3:3" x14ac:dyDescent="0.25">
      <c r="C3604" s="42"/>
    </row>
    <row r="3605" spans="3:3" x14ac:dyDescent="0.25">
      <c r="C3605" s="42"/>
    </row>
    <row r="3606" spans="3:3" x14ac:dyDescent="0.25">
      <c r="C3606" s="42"/>
    </row>
    <row r="3607" spans="3:3" x14ac:dyDescent="0.25">
      <c r="C3607" s="42"/>
    </row>
    <row r="3608" spans="3:3" x14ac:dyDescent="0.25">
      <c r="C3608" s="42"/>
    </row>
    <row r="3609" spans="3:3" x14ac:dyDescent="0.25">
      <c r="C3609" s="42"/>
    </row>
    <row r="3610" spans="3:3" x14ac:dyDescent="0.25">
      <c r="C3610" s="42"/>
    </row>
    <row r="3611" spans="3:3" x14ac:dyDescent="0.25">
      <c r="C3611" s="42"/>
    </row>
    <row r="3612" spans="3:3" x14ac:dyDescent="0.25">
      <c r="C3612" s="42"/>
    </row>
    <row r="3613" spans="3:3" x14ac:dyDescent="0.25">
      <c r="C3613" s="42"/>
    </row>
    <row r="3614" spans="3:3" x14ac:dyDescent="0.25">
      <c r="C3614" s="42"/>
    </row>
    <row r="3615" spans="3:3" x14ac:dyDescent="0.25">
      <c r="C3615" s="42"/>
    </row>
    <row r="3616" spans="3:3" x14ac:dyDescent="0.25">
      <c r="C3616" s="42"/>
    </row>
    <row r="3617" spans="3:3" x14ac:dyDescent="0.25">
      <c r="C3617" s="42"/>
    </row>
    <row r="3618" spans="3:3" x14ac:dyDescent="0.25">
      <c r="C3618" s="42"/>
    </row>
    <row r="3619" spans="3:3" x14ac:dyDescent="0.25">
      <c r="C3619" s="42"/>
    </row>
    <row r="3620" spans="3:3" x14ac:dyDescent="0.25">
      <c r="C3620" s="42"/>
    </row>
    <row r="3621" spans="3:3" x14ac:dyDescent="0.25">
      <c r="C3621" s="42"/>
    </row>
    <row r="3622" spans="3:3" x14ac:dyDescent="0.25">
      <c r="C3622" s="42"/>
    </row>
    <row r="3623" spans="3:3" x14ac:dyDescent="0.25">
      <c r="C3623" s="42"/>
    </row>
    <row r="3624" spans="3:3" x14ac:dyDescent="0.25">
      <c r="C3624" s="42"/>
    </row>
    <row r="3625" spans="3:3" x14ac:dyDescent="0.25">
      <c r="C3625" s="42"/>
    </row>
    <row r="3626" spans="3:3" x14ac:dyDescent="0.25">
      <c r="C3626" s="42"/>
    </row>
    <row r="3627" spans="3:3" x14ac:dyDescent="0.25">
      <c r="C3627" s="42"/>
    </row>
    <row r="3628" spans="3:3" x14ac:dyDescent="0.25">
      <c r="C3628" s="42"/>
    </row>
    <row r="3629" spans="3:3" x14ac:dyDescent="0.25">
      <c r="C3629" s="42"/>
    </row>
    <row r="3630" spans="3:3" x14ac:dyDescent="0.25">
      <c r="C3630" s="42"/>
    </row>
    <row r="3631" spans="3:3" x14ac:dyDescent="0.25">
      <c r="C3631" s="42"/>
    </row>
    <row r="3632" spans="3:3" x14ac:dyDescent="0.25">
      <c r="C3632" s="42"/>
    </row>
    <row r="3633" spans="3:3" x14ac:dyDescent="0.25">
      <c r="C3633" s="42"/>
    </row>
    <row r="3634" spans="3:3" x14ac:dyDescent="0.25">
      <c r="C3634" s="42"/>
    </row>
    <row r="3635" spans="3:3" x14ac:dyDescent="0.25">
      <c r="C3635" s="42"/>
    </row>
    <row r="3636" spans="3:3" x14ac:dyDescent="0.25">
      <c r="C3636" s="42"/>
    </row>
    <row r="3637" spans="3:3" x14ac:dyDescent="0.25">
      <c r="C3637" s="42"/>
    </row>
    <row r="3638" spans="3:3" x14ac:dyDescent="0.25">
      <c r="C3638" s="42"/>
    </row>
    <row r="3639" spans="3:3" x14ac:dyDescent="0.25">
      <c r="C3639" s="42"/>
    </row>
    <row r="3640" spans="3:3" x14ac:dyDescent="0.25">
      <c r="C3640" s="42"/>
    </row>
    <row r="3641" spans="3:3" x14ac:dyDescent="0.25">
      <c r="C3641" s="42"/>
    </row>
    <row r="3642" spans="3:3" x14ac:dyDescent="0.25">
      <c r="C3642" s="42"/>
    </row>
    <row r="3643" spans="3:3" x14ac:dyDescent="0.25">
      <c r="C3643" s="42"/>
    </row>
    <row r="3644" spans="3:3" x14ac:dyDescent="0.25">
      <c r="C3644" s="42"/>
    </row>
    <row r="3645" spans="3:3" x14ac:dyDescent="0.25">
      <c r="C3645" s="42"/>
    </row>
    <row r="3646" spans="3:3" x14ac:dyDescent="0.25">
      <c r="C3646" s="42"/>
    </row>
    <row r="3647" spans="3:3" x14ac:dyDescent="0.25">
      <c r="C3647" s="42"/>
    </row>
    <row r="3648" spans="3:3" x14ac:dyDescent="0.25">
      <c r="C3648" s="42"/>
    </row>
    <row r="3649" spans="3:3" x14ac:dyDescent="0.25">
      <c r="C3649" s="42"/>
    </row>
    <row r="3650" spans="3:3" x14ac:dyDescent="0.25">
      <c r="C3650" s="42"/>
    </row>
    <row r="3651" spans="3:3" x14ac:dyDescent="0.25">
      <c r="C3651" s="42"/>
    </row>
    <row r="3652" spans="3:3" x14ac:dyDescent="0.25">
      <c r="C3652" s="42"/>
    </row>
    <row r="3653" spans="3:3" x14ac:dyDescent="0.25">
      <c r="C3653" s="42"/>
    </row>
    <row r="3654" spans="3:3" x14ac:dyDescent="0.25">
      <c r="C3654" s="42"/>
    </row>
    <row r="3655" spans="3:3" x14ac:dyDescent="0.25">
      <c r="C3655" s="42"/>
    </row>
    <row r="3656" spans="3:3" x14ac:dyDescent="0.25">
      <c r="C3656" s="42"/>
    </row>
    <row r="3657" spans="3:3" x14ac:dyDescent="0.25">
      <c r="C3657" s="42"/>
    </row>
    <row r="3658" spans="3:3" x14ac:dyDescent="0.25">
      <c r="C3658" s="42"/>
    </row>
    <row r="3659" spans="3:3" x14ac:dyDescent="0.25">
      <c r="C3659" s="42"/>
    </row>
    <row r="3660" spans="3:3" x14ac:dyDescent="0.25">
      <c r="C3660" s="42"/>
    </row>
    <row r="3661" spans="3:3" x14ac:dyDescent="0.25">
      <c r="C3661" s="42"/>
    </row>
    <row r="3662" spans="3:3" x14ac:dyDescent="0.25">
      <c r="C3662" s="42"/>
    </row>
    <row r="3663" spans="3:3" x14ac:dyDescent="0.25">
      <c r="C3663" s="42"/>
    </row>
    <row r="3664" spans="3:3" x14ac:dyDescent="0.25">
      <c r="C3664" s="42"/>
    </row>
    <row r="3665" spans="3:3" x14ac:dyDescent="0.25">
      <c r="C3665" s="42"/>
    </row>
    <row r="3666" spans="3:3" x14ac:dyDescent="0.25">
      <c r="C3666" s="42"/>
    </row>
    <row r="3667" spans="3:3" x14ac:dyDescent="0.25">
      <c r="C3667" s="42"/>
    </row>
    <row r="3668" spans="3:3" x14ac:dyDescent="0.25">
      <c r="C3668" s="42"/>
    </row>
    <row r="3669" spans="3:3" x14ac:dyDescent="0.25">
      <c r="C3669" s="42"/>
    </row>
    <row r="3670" spans="3:3" x14ac:dyDescent="0.25">
      <c r="C3670" s="42"/>
    </row>
    <row r="3671" spans="3:3" x14ac:dyDescent="0.25">
      <c r="C3671" s="42"/>
    </row>
    <row r="3672" spans="3:3" x14ac:dyDescent="0.25">
      <c r="C3672" s="42"/>
    </row>
    <row r="3673" spans="3:3" x14ac:dyDescent="0.25">
      <c r="C3673" s="42"/>
    </row>
    <row r="3674" spans="3:3" x14ac:dyDescent="0.25">
      <c r="C3674" s="42"/>
    </row>
    <row r="3675" spans="3:3" x14ac:dyDescent="0.25">
      <c r="C3675" s="42"/>
    </row>
    <row r="3676" spans="3:3" x14ac:dyDescent="0.25">
      <c r="C3676" s="42"/>
    </row>
    <row r="3677" spans="3:3" x14ac:dyDescent="0.25">
      <c r="C3677" s="42"/>
    </row>
    <row r="3678" spans="3:3" x14ac:dyDescent="0.25">
      <c r="C3678" s="42"/>
    </row>
    <row r="3679" spans="3:3" x14ac:dyDescent="0.25">
      <c r="C3679" s="42"/>
    </row>
    <row r="3680" spans="3:3" x14ac:dyDescent="0.25">
      <c r="C3680" s="42"/>
    </row>
    <row r="3681" spans="3:3" x14ac:dyDescent="0.25">
      <c r="C3681" s="42"/>
    </row>
    <row r="3682" spans="3:3" x14ac:dyDescent="0.25">
      <c r="C3682" s="42"/>
    </row>
    <row r="3683" spans="3:3" x14ac:dyDescent="0.25">
      <c r="C3683" s="42"/>
    </row>
    <row r="3684" spans="3:3" x14ac:dyDescent="0.25">
      <c r="C3684" s="42"/>
    </row>
    <row r="3685" spans="3:3" x14ac:dyDescent="0.25">
      <c r="C3685" s="42"/>
    </row>
    <row r="3686" spans="3:3" x14ac:dyDescent="0.25">
      <c r="C3686" s="42"/>
    </row>
    <row r="3687" spans="3:3" x14ac:dyDescent="0.25">
      <c r="C3687" s="42"/>
    </row>
    <row r="3688" spans="3:3" x14ac:dyDescent="0.25">
      <c r="C3688" s="42"/>
    </row>
    <row r="3689" spans="3:3" x14ac:dyDescent="0.25">
      <c r="C3689" s="42"/>
    </row>
    <row r="3690" spans="3:3" x14ac:dyDescent="0.25">
      <c r="C3690" s="42"/>
    </row>
    <row r="3691" spans="3:3" x14ac:dyDescent="0.25">
      <c r="C3691" s="42"/>
    </row>
    <row r="3692" spans="3:3" x14ac:dyDescent="0.25">
      <c r="C3692" s="42"/>
    </row>
    <row r="3693" spans="3:3" x14ac:dyDescent="0.25">
      <c r="C3693" s="42"/>
    </row>
    <row r="3694" spans="3:3" x14ac:dyDescent="0.25">
      <c r="C3694" s="42"/>
    </row>
    <row r="3695" spans="3:3" x14ac:dyDescent="0.25">
      <c r="C3695" s="42"/>
    </row>
    <row r="3696" spans="3:3" x14ac:dyDescent="0.25">
      <c r="C3696" s="42"/>
    </row>
    <row r="3697" spans="3:3" x14ac:dyDescent="0.25">
      <c r="C3697" s="42"/>
    </row>
    <row r="3698" spans="3:3" x14ac:dyDescent="0.25">
      <c r="C3698" s="42"/>
    </row>
    <row r="3699" spans="3:3" x14ac:dyDescent="0.25">
      <c r="C3699" s="42"/>
    </row>
    <row r="3700" spans="3:3" x14ac:dyDescent="0.25">
      <c r="C3700" s="42"/>
    </row>
    <row r="3701" spans="3:3" x14ac:dyDescent="0.25">
      <c r="C3701" s="42"/>
    </row>
    <row r="3702" spans="3:3" x14ac:dyDescent="0.25">
      <c r="C3702" s="42"/>
    </row>
    <row r="3703" spans="3:3" x14ac:dyDescent="0.25">
      <c r="C3703" s="42"/>
    </row>
    <row r="3704" spans="3:3" x14ac:dyDescent="0.25">
      <c r="C3704" s="42"/>
    </row>
    <row r="3705" spans="3:3" x14ac:dyDescent="0.25">
      <c r="C3705" s="42"/>
    </row>
    <row r="3706" spans="3:3" x14ac:dyDescent="0.25">
      <c r="C3706" s="42"/>
    </row>
    <row r="3707" spans="3:3" x14ac:dyDescent="0.25">
      <c r="C3707" s="42"/>
    </row>
    <row r="3708" spans="3:3" x14ac:dyDescent="0.25">
      <c r="C3708" s="42"/>
    </row>
    <row r="3709" spans="3:3" x14ac:dyDescent="0.25">
      <c r="C3709" s="42"/>
    </row>
    <row r="3710" spans="3:3" x14ac:dyDescent="0.25">
      <c r="C3710" s="42"/>
    </row>
    <row r="3711" spans="3:3" x14ac:dyDescent="0.25">
      <c r="C3711" s="42"/>
    </row>
    <row r="3712" spans="3:3" x14ac:dyDescent="0.25">
      <c r="C3712" s="42"/>
    </row>
    <row r="3713" spans="3:3" x14ac:dyDescent="0.25">
      <c r="C3713" s="42"/>
    </row>
    <row r="3714" spans="3:3" x14ac:dyDescent="0.25">
      <c r="C3714" s="42"/>
    </row>
    <row r="3715" spans="3:3" x14ac:dyDescent="0.25">
      <c r="C3715" s="42"/>
    </row>
    <row r="3716" spans="3:3" x14ac:dyDescent="0.25">
      <c r="C3716" s="42"/>
    </row>
    <row r="3717" spans="3:3" x14ac:dyDescent="0.25">
      <c r="C3717" s="42"/>
    </row>
    <row r="3718" spans="3:3" x14ac:dyDescent="0.25">
      <c r="C3718" s="42"/>
    </row>
    <row r="3719" spans="3:3" x14ac:dyDescent="0.25">
      <c r="C3719" s="42"/>
    </row>
    <row r="3720" spans="3:3" x14ac:dyDescent="0.25">
      <c r="C3720" s="42"/>
    </row>
    <row r="3721" spans="3:3" x14ac:dyDescent="0.25">
      <c r="C3721" s="42"/>
    </row>
    <row r="3722" spans="3:3" x14ac:dyDescent="0.25">
      <c r="C3722" s="42"/>
    </row>
    <row r="3723" spans="3:3" x14ac:dyDescent="0.25">
      <c r="C3723" s="42"/>
    </row>
    <row r="3724" spans="3:3" x14ac:dyDescent="0.25">
      <c r="C3724" s="42"/>
    </row>
    <row r="3725" spans="3:3" x14ac:dyDescent="0.25">
      <c r="C3725" s="42"/>
    </row>
    <row r="3726" spans="3:3" x14ac:dyDescent="0.25">
      <c r="C3726" s="42"/>
    </row>
    <row r="3727" spans="3:3" x14ac:dyDescent="0.25">
      <c r="C3727" s="42"/>
    </row>
    <row r="3728" spans="3:3" x14ac:dyDescent="0.25">
      <c r="C3728" s="42"/>
    </row>
    <row r="3729" spans="3:3" x14ac:dyDescent="0.25">
      <c r="C3729" s="42"/>
    </row>
    <row r="3730" spans="3:3" x14ac:dyDescent="0.25">
      <c r="C3730" s="42"/>
    </row>
    <row r="3731" spans="3:3" x14ac:dyDescent="0.25">
      <c r="C3731" s="42"/>
    </row>
    <row r="3732" spans="3:3" x14ac:dyDescent="0.25">
      <c r="C3732" s="42"/>
    </row>
    <row r="3733" spans="3:3" x14ac:dyDescent="0.25">
      <c r="C3733" s="42"/>
    </row>
    <row r="3734" spans="3:3" x14ac:dyDescent="0.25">
      <c r="C3734" s="42"/>
    </row>
    <row r="3735" spans="3:3" x14ac:dyDescent="0.25">
      <c r="C3735" s="42"/>
    </row>
    <row r="3736" spans="3:3" x14ac:dyDescent="0.25">
      <c r="C3736" s="42"/>
    </row>
    <row r="3737" spans="3:3" x14ac:dyDescent="0.25">
      <c r="C3737" s="42"/>
    </row>
    <row r="3738" spans="3:3" x14ac:dyDescent="0.25">
      <c r="C3738" s="42"/>
    </row>
    <row r="3739" spans="3:3" x14ac:dyDescent="0.25">
      <c r="C3739" s="42"/>
    </row>
    <row r="3740" spans="3:3" x14ac:dyDescent="0.25">
      <c r="C3740" s="42"/>
    </row>
    <row r="3741" spans="3:3" x14ac:dyDescent="0.25">
      <c r="C3741" s="42"/>
    </row>
    <row r="3742" spans="3:3" x14ac:dyDescent="0.25">
      <c r="C3742" s="42"/>
    </row>
    <row r="3743" spans="3:3" x14ac:dyDescent="0.25">
      <c r="C3743" s="42"/>
    </row>
    <row r="3744" spans="3:3" x14ac:dyDescent="0.25">
      <c r="C3744" s="42"/>
    </row>
    <row r="3745" spans="3:3" x14ac:dyDescent="0.25">
      <c r="C3745" s="42"/>
    </row>
    <row r="3746" spans="3:3" x14ac:dyDescent="0.25">
      <c r="C3746" s="42"/>
    </row>
    <row r="3747" spans="3:3" x14ac:dyDescent="0.25">
      <c r="C3747" s="42"/>
    </row>
    <row r="3748" spans="3:3" x14ac:dyDescent="0.25">
      <c r="C3748" s="42"/>
    </row>
    <row r="3749" spans="3:3" x14ac:dyDescent="0.25">
      <c r="C3749" s="42"/>
    </row>
    <row r="3750" spans="3:3" x14ac:dyDescent="0.25">
      <c r="C3750" s="42"/>
    </row>
    <row r="3751" spans="3:3" x14ac:dyDescent="0.25">
      <c r="C3751" s="42"/>
    </row>
    <row r="3752" spans="3:3" x14ac:dyDescent="0.25">
      <c r="C3752" s="42"/>
    </row>
    <row r="3753" spans="3:3" x14ac:dyDescent="0.25">
      <c r="C3753" s="42"/>
    </row>
    <row r="3754" spans="3:3" x14ac:dyDescent="0.25">
      <c r="C3754" s="42"/>
    </row>
    <row r="3755" spans="3:3" x14ac:dyDescent="0.25">
      <c r="C3755" s="42"/>
    </row>
    <row r="3756" spans="3:3" x14ac:dyDescent="0.25">
      <c r="C3756" s="42"/>
    </row>
    <row r="3757" spans="3:3" x14ac:dyDescent="0.25">
      <c r="C3757" s="42"/>
    </row>
    <row r="3758" spans="3:3" x14ac:dyDescent="0.25">
      <c r="C3758" s="42"/>
    </row>
    <row r="3759" spans="3:3" x14ac:dyDescent="0.25">
      <c r="C3759" s="42"/>
    </row>
    <row r="3760" spans="3:3" x14ac:dyDescent="0.25">
      <c r="C3760" s="42"/>
    </row>
    <row r="3761" spans="3:3" x14ac:dyDescent="0.25">
      <c r="C3761" s="42"/>
    </row>
    <row r="3762" spans="3:3" x14ac:dyDescent="0.25">
      <c r="C3762" s="42"/>
    </row>
    <row r="3763" spans="3:3" x14ac:dyDescent="0.25">
      <c r="C3763" s="42"/>
    </row>
    <row r="3764" spans="3:3" x14ac:dyDescent="0.25">
      <c r="C3764" s="42"/>
    </row>
    <row r="3765" spans="3:3" x14ac:dyDescent="0.25">
      <c r="C3765" s="42"/>
    </row>
    <row r="3766" spans="3:3" x14ac:dyDescent="0.25">
      <c r="C3766" s="42"/>
    </row>
    <row r="3767" spans="3:3" x14ac:dyDescent="0.25">
      <c r="C3767" s="42"/>
    </row>
    <row r="3768" spans="3:3" x14ac:dyDescent="0.25">
      <c r="C3768" s="42"/>
    </row>
    <row r="3769" spans="3:3" x14ac:dyDescent="0.25">
      <c r="C3769" s="42"/>
    </row>
    <row r="3770" spans="3:3" x14ac:dyDescent="0.25">
      <c r="C3770" s="42"/>
    </row>
    <row r="3771" spans="3:3" x14ac:dyDescent="0.25">
      <c r="C3771" s="42"/>
    </row>
    <row r="3772" spans="3:3" x14ac:dyDescent="0.25">
      <c r="C3772" s="42"/>
    </row>
    <row r="3773" spans="3:3" x14ac:dyDescent="0.25">
      <c r="C3773" s="42"/>
    </row>
    <row r="3774" spans="3:3" x14ac:dyDescent="0.25">
      <c r="C3774" s="42"/>
    </row>
    <row r="3775" spans="3:3" x14ac:dyDescent="0.25">
      <c r="C3775" s="42"/>
    </row>
    <row r="3776" spans="3:3" x14ac:dyDescent="0.25">
      <c r="C3776" s="42"/>
    </row>
    <row r="3777" spans="3:3" x14ac:dyDescent="0.25">
      <c r="C3777" s="42"/>
    </row>
    <row r="3778" spans="3:3" x14ac:dyDescent="0.25">
      <c r="C3778" s="42"/>
    </row>
    <row r="3779" spans="3:3" x14ac:dyDescent="0.25">
      <c r="C3779" s="42"/>
    </row>
    <row r="3780" spans="3:3" x14ac:dyDescent="0.25">
      <c r="C3780" s="42"/>
    </row>
    <row r="3781" spans="3:3" x14ac:dyDescent="0.25">
      <c r="C3781" s="42"/>
    </row>
    <row r="3782" spans="3:3" x14ac:dyDescent="0.25">
      <c r="C3782" s="42"/>
    </row>
    <row r="3783" spans="3:3" x14ac:dyDescent="0.25">
      <c r="C3783" s="42"/>
    </row>
    <row r="3784" spans="3:3" x14ac:dyDescent="0.25">
      <c r="C3784" s="42"/>
    </row>
    <row r="3785" spans="3:3" x14ac:dyDescent="0.25">
      <c r="C3785" s="42"/>
    </row>
    <row r="3786" spans="3:3" x14ac:dyDescent="0.25">
      <c r="C3786" s="42"/>
    </row>
    <row r="3787" spans="3:3" x14ac:dyDescent="0.25">
      <c r="C3787" s="42"/>
    </row>
    <row r="3788" spans="3:3" x14ac:dyDescent="0.25">
      <c r="C3788" s="42"/>
    </row>
    <row r="3789" spans="3:3" x14ac:dyDescent="0.25">
      <c r="C3789" s="42"/>
    </row>
    <row r="3790" spans="3:3" x14ac:dyDescent="0.25">
      <c r="C3790" s="42"/>
    </row>
    <row r="3791" spans="3:3" x14ac:dyDescent="0.25">
      <c r="C3791" s="42"/>
    </row>
    <row r="3792" spans="3:3" x14ac:dyDescent="0.25">
      <c r="C3792" s="42"/>
    </row>
    <row r="3793" spans="3:3" x14ac:dyDescent="0.25">
      <c r="C3793" s="42"/>
    </row>
    <row r="3794" spans="3:3" x14ac:dyDescent="0.25">
      <c r="C3794" s="42"/>
    </row>
    <row r="3795" spans="3:3" x14ac:dyDescent="0.25">
      <c r="C3795" s="42"/>
    </row>
    <row r="3796" spans="3:3" x14ac:dyDescent="0.25">
      <c r="C3796" s="42"/>
    </row>
    <row r="3797" spans="3:3" x14ac:dyDescent="0.25">
      <c r="C3797" s="42"/>
    </row>
    <row r="3798" spans="3:3" x14ac:dyDescent="0.25">
      <c r="C3798" s="42"/>
    </row>
    <row r="3799" spans="3:3" x14ac:dyDescent="0.25">
      <c r="C3799" s="42"/>
    </row>
    <row r="3800" spans="3:3" x14ac:dyDescent="0.25">
      <c r="C3800" s="42"/>
    </row>
    <row r="3801" spans="3:3" x14ac:dyDescent="0.25">
      <c r="C3801" s="42"/>
    </row>
    <row r="3802" spans="3:3" x14ac:dyDescent="0.25">
      <c r="C3802" s="42"/>
    </row>
    <row r="3803" spans="3:3" x14ac:dyDescent="0.25">
      <c r="C3803" s="42"/>
    </row>
    <row r="3804" spans="3:3" x14ac:dyDescent="0.25">
      <c r="C3804" s="42"/>
    </row>
    <row r="3805" spans="3:3" x14ac:dyDescent="0.25">
      <c r="C3805" s="42"/>
    </row>
    <row r="3806" spans="3:3" x14ac:dyDescent="0.25">
      <c r="C3806" s="42"/>
    </row>
    <row r="3807" spans="3:3" x14ac:dyDescent="0.25">
      <c r="C3807" s="42"/>
    </row>
    <row r="3808" spans="3:3" x14ac:dyDescent="0.25">
      <c r="C3808" s="42"/>
    </row>
    <row r="3809" spans="3:3" x14ac:dyDescent="0.25">
      <c r="C3809" s="42"/>
    </row>
    <row r="3810" spans="3:3" x14ac:dyDescent="0.25">
      <c r="C3810" s="42"/>
    </row>
    <row r="3811" spans="3:3" x14ac:dyDescent="0.25">
      <c r="C3811" s="42"/>
    </row>
    <row r="3812" spans="3:3" x14ac:dyDescent="0.25">
      <c r="C3812" s="42"/>
    </row>
    <row r="3813" spans="3:3" x14ac:dyDescent="0.25">
      <c r="C3813" s="42"/>
    </row>
    <row r="3814" spans="3:3" x14ac:dyDescent="0.25">
      <c r="C3814" s="42"/>
    </row>
    <row r="3815" spans="3:3" x14ac:dyDescent="0.25">
      <c r="C3815" s="42"/>
    </row>
    <row r="3816" spans="3:3" x14ac:dyDescent="0.25">
      <c r="C3816" s="42"/>
    </row>
    <row r="3817" spans="3:3" x14ac:dyDescent="0.25">
      <c r="C3817" s="42"/>
    </row>
    <row r="3818" spans="3:3" x14ac:dyDescent="0.25">
      <c r="C3818" s="42"/>
    </row>
    <row r="3819" spans="3:3" x14ac:dyDescent="0.25">
      <c r="C3819" s="42"/>
    </row>
    <row r="3820" spans="3:3" x14ac:dyDescent="0.25">
      <c r="C3820" s="42"/>
    </row>
    <row r="3821" spans="3:3" x14ac:dyDescent="0.25">
      <c r="C3821" s="42"/>
    </row>
    <row r="3822" spans="3:3" x14ac:dyDescent="0.25">
      <c r="C3822" s="42"/>
    </row>
    <row r="3823" spans="3:3" x14ac:dyDescent="0.25">
      <c r="C3823" s="42"/>
    </row>
    <row r="3824" spans="3:3" x14ac:dyDescent="0.25">
      <c r="C3824" s="42"/>
    </row>
    <row r="3825" spans="3:3" x14ac:dyDescent="0.25">
      <c r="C3825" s="42"/>
    </row>
    <row r="3826" spans="3:3" x14ac:dyDescent="0.25">
      <c r="C3826" s="42"/>
    </row>
    <row r="3827" spans="3:3" x14ac:dyDescent="0.25">
      <c r="C3827" s="42"/>
    </row>
    <row r="3828" spans="3:3" x14ac:dyDescent="0.25">
      <c r="C3828" s="42"/>
    </row>
    <row r="3829" spans="3:3" x14ac:dyDescent="0.25">
      <c r="C3829" s="42"/>
    </row>
    <row r="3830" spans="3:3" x14ac:dyDescent="0.25">
      <c r="C3830" s="42"/>
    </row>
    <row r="3831" spans="3:3" x14ac:dyDescent="0.25">
      <c r="C3831" s="42"/>
    </row>
    <row r="3832" spans="3:3" x14ac:dyDescent="0.25">
      <c r="C3832" s="42"/>
    </row>
    <row r="3833" spans="3:3" x14ac:dyDescent="0.25">
      <c r="C3833" s="42"/>
    </row>
    <row r="3834" spans="3:3" x14ac:dyDescent="0.25">
      <c r="C3834" s="42"/>
    </row>
    <row r="3835" spans="3:3" x14ac:dyDescent="0.25">
      <c r="C3835" s="42"/>
    </row>
    <row r="3836" spans="3:3" x14ac:dyDescent="0.25">
      <c r="C3836" s="42"/>
    </row>
    <row r="3837" spans="3:3" x14ac:dyDescent="0.25">
      <c r="C3837" s="42"/>
    </row>
    <row r="3838" spans="3:3" x14ac:dyDescent="0.25">
      <c r="C3838" s="42"/>
    </row>
    <row r="3839" spans="3:3" x14ac:dyDescent="0.25">
      <c r="C3839" s="42"/>
    </row>
    <row r="3840" spans="3:3" x14ac:dyDescent="0.25">
      <c r="C3840" s="42"/>
    </row>
    <row r="3841" spans="3:3" x14ac:dyDescent="0.25">
      <c r="C3841" s="42"/>
    </row>
    <row r="3842" spans="3:3" x14ac:dyDescent="0.25">
      <c r="C3842" s="42"/>
    </row>
    <row r="3843" spans="3:3" x14ac:dyDescent="0.25">
      <c r="C3843" s="42"/>
    </row>
    <row r="3844" spans="3:3" x14ac:dyDescent="0.25">
      <c r="C3844" s="42"/>
    </row>
    <row r="3845" spans="3:3" x14ac:dyDescent="0.25">
      <c r="C3845" s="42"/>
    </row>
    <row r="3846" spans="3:3" x14ac:dyDescent="0.25">
      <c r="C3846" s="42"/>
    </row>
    <row r="3847" spans="3:3" x14ac:dyDescent="0.25">
      <c r="C3847" s="42"/>
    </row>
    <row r="3848" spans="3:3" x14ac:dyDescent="0.25">
      <c r="C3848" s="42"/>
    </row>
    <row r="3849" spans="3:3" x14ac:dyDescent="0.25">
      <c r="C3849" s="42"/>
    </row>
    <row r="3850" spans="3:3" x14ac:dyDescent="0.25">
      <c r="C3850" s="42"/>
    </row>
    <row r="3851" spans="3:3" x14ac:dyDescent="0.25">
      <c r="C3851" s="42"/>
    </row>
    <row r="3852" spans="3:3" x14ac:dyDescent="0.25">
      <c r="C3852" s="42"/>
    </row>
    <row r="3853" spans="3:3" x14ac:dyDescent="0.25">
      <c r="C3853" s="42"/>
    </row>
    <row r="3854" spans="3:3" x14ac:dyDescent="0.25">
      <c r="C3854" s="42"/>
    </row>
    <row r="3855" spans="3:3" x14ac:dyDescent="0.25">
      <c r="C3855" s="42"/>
    </row>
    <row r="3856" spans="3:3" x14ac:dyDescent="0.25">
      <c r="C3856" s="42"/>
    </row>
    <row r="3857" spans="3:3" x14ac:dyDescent="0.25">
      <c r="C3857" s="42"/>
    </row>
    <row r="3858" spans="3:3" x14ac:dyDescent="0.25">
      <c r="C3858" s="42"/>
    </row>
    <row r="3859" spans="3:3" x14ac:dyDescent="0.25">
      <c r="C3859" s="42"/>
    </row>
    <row r="3860" spans="3:3" x14ac:dyDescent="0.25">
      <c r="C3860" s="42"/>
    </row>
    <row r="3861" spans="3:3" x14ac:dyDescent="0.25">
      <c r="C3861" s="42"/>
    </row>
    <row r="3862" spans="3:3" x14ac:dyDescent="0.25">
      <c r="C3862" s="42"/>
    </row>
    <row r="3863" spans="3:3" x14ac:dyDescent="0.25">
      <c r="C3863" s="42"/>
    </row>
    <row r="3864" spans="3:3" x14ac:dyDescent="0.25">
      <c r="C3864" s="42"/>
    </row>
    <row r="3865" spans="3:3" x14ac:dyDescent="0.25">
      <c r="C3865" s="42"/>
    </row>
    <row r="3866" spans="3:3" x14ac:dyDescent="0.25">
      <c r="C3866" s="42"/>
    </row>
    <row r="3867" spans="3:3" x14ac:dyDescent="0.25">
      <c r="C3867" s="42"/>
    </row>
    <row r="3868" spans="3:3" x14ac:dyDescent="0.25">
      <c r="C3868" s="42"/>
    </row>
    <row r="3869" spans="3:3" x14ac:dyDescent="0.25">
      <c r="C3869" s="42"/>
    </row>
    <row r="3870" spans="3:3" x14ac:dyDescent="0.25">
      <c r="C3870" s="42"/>
    </row>
    <row r="3871" spans="3:3" x14ac:dyDescent="0.25">
      <c r="C3871" s="42"/>
    </row>
    <row r="3872" spans="3:3" x14ac:dyDescent="0.25">
      <c r="C3872" s="42"/>
    </row>
    <row r="3873" spans="3:3" x14ac:dyDescent="0.25">
      <c r="C3873" s="42"/>
    </row>
    <row r="3874" spans="3:3" x14ac:dyDescent="0.25">
      <c r="C3874" s="42"/>
    </row>
    <row r="3875" spans="3:3" x14ac:dyDescent="0.25">
      <c r="C3875" s="42"/>
    </row>
    <row r="3876" spans="3:3" x14ac:dyDescent="0.25">
      <c r="C3876" s="42"/>
    </row>
    <row r="3877" spans="3:3" x14ac:dyDescent="0.25">
      <c r="C3877" s="42"/>
    </row>
    <row r="3878" spans="3:3" x14ac:dyDescent="0.25">
      <c r="C3878" s="42"/>
    </row>
    <row r="3879" spans="3:3" x14ac:dyDescent="0.25">
      <c r="C3879" s="42"/>
    </row>
    <row r="3880" spans="3:3" x14ac:dyDescent="0.25">
      <c r="C3880" s="42"/>
    </row>
    <row r="3881" spans="3:3" x14ac:dyDescent="0.25">
      <c r="C3881" s="42"/>
    </row>
    <row r="3882" spans="3:3" x14ac:dyDescent="0.25">
      <c r="C3882" s="42"/>
    </row>
    <row r="3883" spans="3:3" x14ac:dyDescent="0.25">
      <c r="C3883" s="42"/>
    </row>
    <row r="3884" spans="3:3" x14ac:dyDescent="0.25">
      <c r="C3884" s="42"/>
    </row>
    <row r="3885" spans="3:3" x14ac:dyDescent="0.25">
      <c r="C3885" s="42"/>
    </row>
    <row r="3886" spans="3:3" x14ac:dyDescent="0.25">
      <c r="C3886" s="42"/>
    </row>
    <row r="3887" spans="3:3" x14ac:dyDescent="0.25">
      <c r="C3887" s="42"/>
    </row>
    <row r="3888" spans="3:3" x14ac:dyDescent="0.25">
      <c r="C3888" s="42"/>
    </row>
    <row r="3889" spans="3:3" x14ac:dyDescent="0.25">
      <c r="C3889" s="42"/>
    </row>
    <row r="3890" spans="3:3" x14ac:dyDescent="0.25">
      <c r="C3890" s="42"/>
    </row>
    <row r="3891" spans="3:3" x14ac:dyDescent="0.25">
      <c r="C3891" s="42"/>
    </row>
    <row r="3892" spans="3:3" x14ac:dyDescent="0.25">
      <c r="C3892" s="42"/>
    </row>
    <row r="3893" spans="3:3" x14ac:dyDescent="0.25">
      <c r="C3893" s="42"/>
    </row>
    <row r="3894" spans="3:3" x14ac:dyDescent="0.25">
      <c r="C3894" s="42"/>
    </row>
    <row r="3895" spans="3:3" x14ac:dyDescent="0.25">
      <c r="C3895" s="42"/>
    </row>
    <row r="3896" spans="3:3" x14ac:dyDescent="0.25">
      <c r="C3896" s="42"/>
    </row>
    <row r="3897" spans="3:3" x14ac:dyDescent="0.25">
      <c r="C3897" s="42"/>
    </row>
    <row r="3898" spans="3:3" x14ac:dyDescent="0.25">
      <c r="C3898" s="42"/>
    </row>
    <row r="3899" spans="3:3" x14ac:dyDescent="0.25">
      <c r="C3899" s="42"/>
    </row>
    <row r="3900" spans="3:3" x14ac:dyDescent="0.25">
      <c r="C3900" s="42"/>
    </row>
    <row r="3901" spans="3:3" x14ac:dyDescent="0.25">
      <c r="C3901" s="42"/>
    </row>
    <row r="3902" spans="3:3" x14ac:dyDescent="0.25">
      <c r="C3902" s="42"/>
    </row>
    <row r="3903" spans="3:3" x14ac:dyDescent="0.25">
      <c r="C3903" s="42"/>
    </row>
    <row r="3904" spans="3:3" x14ac:dyDescent="0.25">
      <c r="C3904" s="42"/>
    </row>
    <row r="3905" spans="3:3" x14ac:dyDescent="0.25">
      <c r="C3905" s="42"/>
    </row>
    <row r="3906" spans="3:3" x14ac:dyDescent="0.25">
      <c r="C3906" s="42"/>
    </row>
    <row r="3907" spans="3:3" x14ac:dyDescent="0.25">
      <c r="C3907" s="42"/>
    </row>
    <row r="3908" spans="3:3" x14ac:dyDescent="0.25">
      <c r="C3908" s="42"/>
    </row>
    <row r="3909" spans="3:3" x14ac:dyDescent="0.25">
      <c r="C3909" s="42"/>
    </row>
    <row r="3910" spans="3:3" x14ac:dyDescent="0.25">
      <c r="C3910" s="42"/>
    </row>
    <row r="3911" spans="3:3" x14ac:dyDescent="0.25">
      <c r="C3911" s="42"/>
    </row>
    <row r="3912" spans="3:3" x14ac:dyDescent="0.25">
      <c r="C3912" s="42"/>
    </row>
    <row r="3913" spans="3:3" x14ac:dyDescent="0.25">
      <c r="C3913" s="42"/>
    </row>
    <row r="3914" spans="3:3" x14ac:dyDescent="0.25">
      <c r="C3914" s="42"/>
    </row>
    <row r="3915" spans="3:3" x14ac:dyDescent="0.25">
      <c r="C3915" s="42"/>
    </row>
    <row r="3916" spans="3:3" x14ac:dyDescent="0.25">
      <c r="C3916" s="42"/>
    </row>
    <row r="3917" spans="3:3" x14ac:dyDescent="0.25">
      <c r="C3917" s="42"/>
    </row>
    <row r="3918" spans="3:3" x14ac:dyDescent="0.25">
      <c r="C3918" s="42"/>
    </row>
    <row r="3919" spans="3:3" x14ac:dyDescent="0.25">
      <c r="C3919" s="42"/>
    </row>
    <row r="3920" spans="3:3" x14ac:dyDescent="0.25">
      <c r="C3920" s="42"/>
    </row>
    <row r="3921" spans="3:3" x14ac:dyDescent="0.25">
      <c r="C3921" s="42"/>
    </row>
    <row r="3922" spans="3:3" x14ac:dyDescent="0.25">
      <c r="C3922" s="42"/>
    </row>
    <row r="3923" spans="3:3" x14ac:dyDescent="0.25">
      <c r="C3923" s="42"/>
    </row>
    <row r="3924" spans="3:3" x14ac:dyDescent="0.25">
      <c r="C3924" s="42"/>
    </row>
    <row r="3925" spans="3:3" x14ac:dyDescent="0.25">
      <c r="C3925" s="42"/>
    </row>
    <row r="3926" spans="3:3" x14ac:dyDescent="0.25">
      <c r="C3926" s="42"/>
    </row>
    <row r="3927" spans="3:3" x14ac:dyDescent="0.25">
      <c r="C3927" s="42"/>
    </row>
    <row r="3928" spans="3:3" x14ac:dyDescent="0.25">
      <c r="C3928" s="42"/>
    </row>
    <row r="3929" spans="3:3" x14ac:dyDescent="0.25">
      <c r="C3929" s="42"/>
    </row>
    <row r="3930" spans="3:3" x14ac:dyDescent="0.25">
      <c r="C3930" s="42"/>
    </row>
    <row r="3931" spans="3:3" x14ac:dyDescent="0.25">
      <c r="C3931" s="42"/>
    </row>
    <row r="3932" spans="3:3" x14ac:dyDescent="0.25">
      <c r="C3932" s="42"/>
    </row>
    <row r="3933" spans="3:3" x14ac:dyDescent="0.25">
      <c r="C3933" s="42"/>
    </row>
    <row r="3934" spans="3:3" x14ac:dyDescent="0.25">
      <c r="C3934" s="42"/>
    </row>
    <row r="3935" spans="3:3" x14ac:dyDescent="0.25">
      <c r="C3935" s="42"/>
    </row>
    <row r="3936" spans="3:3" x14ac:dyDescent="0.25">
      <c r="C3936" s="42"/>
    </row>
    <row r="3937" spans="3:3" x14ac:dyDescent="0.25">
      <c r="C3937" s="42"/>
    </row>
    <row r="3938" spans="3:3" x14ac:dyDescent="0.25">
      <c r="C3938" s="42"/>
    </row>
    <row r="3939" spans="3:3" x14ac:dyDescent="0.25">
      <c r="C3939" s="42"/>
    </row>
    <row r="3940" spans="3:3" x14ac:dyDescent="0.25">
      <c r="C3940" s="42"/>
    </row>
    <row r="3941" spans="3:3" x14ac:dyDescent="0.25">
      <c r="C3941" s="42"/>
    </row>
    <row r="3942" spans="3:3" x14ac:dyDescent="0.25">
      <c r="C3942" s="42"/>
    </row>
    <row r="3943" spans="3:3" x14ac:dyDescent="0.25">
      <c r="C3943" s="42"/>
    </row>
    <row r="3944" spans="3:3" x14ac:dyDescent="0.25">
      <c r="C3944" s="42"/>
    </row>
    <row r="3945" spans="3:3" x14ac:dyDescent="0.25">
      <c r="C3945" s="42"/>
    </row>
    <row r="3946" spans="3:3" x14ac:dyDescent="0.25">
      <c r="C3946" s="42"/>
    </row>
    <row r="3947" spans="3:3" x14ac:dyDescent="0.25">
      <c r="C3947" s="42"/>
    </row>
    <row r="3948" spans="3:3" x14ac:dyDescent="0.25">
      <c r="C3948" s="42"/>
    </row>
    <row r="3949" spans="3:3" x14ac:dyDescent="0.25">
      <c r="C3949" s="42"/>
    </row>
    <row r="3950" spans="3:3" x14ac:dyDescent="0.25">
      <c r="C3950" s="42"/>
    </row>
    <row r="3951" spans="3:3" x14ac:dyDescent="0.25">
      <c r="C3951" s="42"/>
    </row>
    <row r="3952" spans="3:3" x14ac:dyDescent="0.25">
      <c r="C3952" s="42"/>
    </row>
    <row r="3953" spans="3:3" x14ac:dyDescent="0.25">
      <c r="C3953" s="42"/>
    </row>
    <row r="3954" spans="3:3" x14ac:dyDescent="0.25">
      <c r="C3954" s="42"/>
    </row>
    <row r="3955" spans="3:3" x14ac:dyDescent="0.25">
      <c r="C3955" s="42"/>
    </row>
    <row r="3956" spans="3:3" x14ac:dyDescent="0.25">
      <c r="C3956" s="42"/>
    </row>
    <row r="3957" spans="3:3" x14ac:dyDescent="0.25">
      <c r="C3957" s="42"/>
    </row>
    <row r="3958" spans="3:3" x14ac:dyDescent="0.25">
      <c r="C3958" s="42"/>
    </row>
    <row r="3959" spans="3:3" x14ac:dyDescent="0.25">
      <c r="C3959" s="42"/>
    </row>
    <row r="3960" spans="3:3" x14ac:dyDescent="0.25">
      <c r="C3960" s="42"/>
    </row>
    <row r="3961" spans="3:3" x14ac:dyDescent="0.25">
      <c r="C3961" s="42"/>
    </row>
    <row r="3962" spans="3:3" x14ac:dyDescent="0.25">
      <c r="C3962" s="42"/>
    </row>
    <row r="3963" spans="3:3" x14ac:dyDescent="0.25">
      <c r="C3963" s="42"/>
    </row>
    <row r="3964" spans="3:3" x14ac:dyDescent="0.25">
      <c r="C3964" s="42"/>
    </row>
    <row r="3965" spans="3:3" x14ac:dyDescent="0.25">
      <c r="C3965" s="42"/>
    </row>
    <row r="3966" spans="3:3" x14ac:dyDescent="0.25">
      <c r="C3966" s="42"/>
    </row>
    <row r="3967" spans="3:3" x14ac:dyDescent="0.25">
      <c r="C3967" s="42"/>
    </row>
    <row r="3968" spans="3:3" x14ac:dyDescent="0.25">
      <c r="C3968" s="42"/>
    </row>
    <row r="3969" spans="3:3" x14ac:dyDescent="0.25">
      <c r="C3969" s="42"/>
    </row>
    <row r="3970" spans="3:3" x14ac:dyDescent="0.25">
      <c r="C3970" s="42"/>
    </row>
    <row r="3971" spans="3:3" x14ac:dyDescent="0.25">
      <c r="C3971" s="42"/>
    </row>
    <row r="3972" spans="3:3" x14ac:dyDescent="0.25">
      <c r="C3972" s="42"/>
    </row>
    <row r="3973" spans="3:3" x14ac:dyDescent="0.25">
      <c r="C3973" s="42"/>
    </row>
    <row r="3974" spans="3:3" x14ac:dyDescent="0.25">
      <c r="C3974" s="42"/>
    </row>
    <row r="3975" spans="3:3" x14ac:dyDescent="0.25">
      <c r="C3975" s="42"/>
    </row>
    <row r="3976" spans="3:3" x14ac:dyDescent="0.25">
      <c r="C3976" s="42"/>
    </row>
    <row r="3977" spans="3:3" x14ac:dyDescent="0.25">
      <c r="C3977" s="42"/>
    </row>
    <row r="3978" spans="3:3" x14ac:dyDescent="0.25">
      <c r="C3978" s="42"/>
    </row>
    <row r="3979" spans="3:3" x14ac:dyDescent="0.25">
      <c r="C3979" s="42"/>
    </row>
    <row r="3980" spans="3:3" x14ac:dyDescent="0.25">
      <c r="C3980" s="42"/>
    </row>
    <row r="3981" spans="3:3" x14ac:dyDescent="0.25">
      <c r="C3981" s="42"/>
    </row>
    <row r="3982" spans="3:3" x14ac:dyDescent="0.25">
      <c r="C3982" s="42"/>
    </row>
    <row r="3983" spans="3:3" x14ac:dyDescent="0.25">
      <c r="C3983" s="42"/>
    </row>
    <row r="3984" spans="3:3" x14ac:dyDescent="0.25">
      <c r="C3984" s="42"/>
    </row>
    <row r="3985" spans="3:3" x14ac:dyDescent="0.25">
      <c r="C3985" s="42"/>
    </row>
    <row r="3986" spans="3:3" x14ac:dyDescent="0.25">
      <c r="C3986" s="42"/>
    </row>
    <row r="3987" spans="3:3" x14ac:dyDescent="0.25">
      <c r="C3987" s="42"/>
    </row>
    <row r="3988" spans="3:3" x14ac:dyDescent="0.25">
      <c r="C3988" s="42"/>
    </row>
    <row r="3989" spans="3:3" x14ac:dyDescent="0.25">
      <c r="C3989" s="42"/>
    </row>
    <row r="3990" spans="3:3" x14ac:dyDescent="0.25">
      <c r="C3990" s="42"/>
    </row>
    <row r="3991" spans="3:3" x14ac:dyDescent="0.25">
      <c r="C3991" s="42"/>
    </row>
    <row r="3992" spans="3:3" x14ac:dyDescent="0.25">
      <c r="C3992" s="42"/>
    </row>
    <row r="3993" spans="3:3" x14ac:dyDescent="0.25">
      <c r="C3993" s="42"/>
    </row>
    <row r="3994" spans="3:3" x14ac:dyDescent="0.25">
      <c r="C3994" s="42"/>
    </row>
    <row r="3995" spans="3:3" x14ac:dyDescent="0.25">
      <c r="C3995" s="42"/>
    </row>
    <row r="3996" spans="3:3" x14ac:dyDescent="0.25">
      <c r="C3996" s="42"/>
    </row>
    <row r="3997" spans="3:3" x14ac:dyDescent="0.25">
      <c r="C3997" s="42"/>
    </row>
    <row r="3998" spans="3:3" x14ac:dyDescent="0.25">
      <c r="C3998" s="42"/>
    </row>
    <row r="3999" spans="3:3" x14ac:dyDescent="0.25">
      <c r="C3999" s="42"/>
    </row>
    <row r="4000" spans="3:3" x14ac:dyDescent="0.25">
      <c r="C4000" s="42"/>
    </row>
    <row r="4001" spans="3:3" x14ac:dyDescent="0.25">
      <c r="C4001" s="42"/>
    </row>
    <row r="4002" spans="3:3" x14ac:dyDescent="0.25">
      <c r="C4002" s="42"/>
    </row>
    <row r="4003" spans="3:3" x14ac:dyDescent="0.25">
      <c r="C4003" s="42"/>
    </row>
    <row r="4004" spans="3:3" x14ac:dyDescent="0.25">
      <c r="C4004" s="42"/>
    </row>
    <row r="4005" spans="3:3" x14ac:dyDescent="0.25">
      <c r="C4005" s="42"/>
    </row>
    <row r="4006" spans="3:3" x14ac:dyDescent="0.25">
      <c r="C4006" s="42"/>
    </row>
    <row r="4007" spans="3:3" x14ac:dyDescent="0.25">
      <c r="C4007" s="42"/>
    </row>
    <row r="4008" spans="3:3" x14ac:dyDescent="0.25">
      <c r="C4008" s="42"/>
    </row>
    <row r="4009" spans="3:3" x14ac:dyDescent="0.25">
      <c r="C4009" s="42"/>
    </row>
    <row r="4010" spans="3:3" x14ac:dyDescent="0.25">
      <c r="C4010" s="42"/>
    </row>
    <row r="4011" spans="3:3" x14ac:dyDescent="0.25">
      <c r="C4011" s="42"/>
    </row>
    <row r="4012" spans="3:3" x14ac:dyDescent="0.25">
      <c r="C4012" s="42"/>
    </row>
    <row r="4013" spans="3:3" x14ac:dyDescent="0.25">
      <c r="C4013" s="42"/>
    </row>
    <row r="4014" spans="3:3" x14ac:dyDescent="0.25">
      <c r="C4014" s="42"/>
    </row>
    <row r="4015" spans="3:3" x14ac:dyDescent="0.25">
      <c r="C4015" s="42"/>
    </row>
    <row r="4016" spans="3:3" x14ac:dyDescent="0.25">
      <c r="C4016" s="42"/>
    </row>
    <row r="4017" spans="3:3" x14ac:dyDescent="0.25">
      <c r="C4017" s="42"/>
    </row>
    <row r="4018" spans="3:3" x14ac:dyDescent="0.25">
      <c r="C4018" s="42"/>
    </row>
    <row r="4019" spans="3:3" x14ac:dyDescent="0.25">
      <c r="C4019" s="42"/>
    </row>
    <row r="4020" spans="3:3" x14ac:dyDescent="0.25">
      <c r="C4020" s="42"/>
    </row>
    <row r="4021" spans="3:3" x14ac:dyDescent="0.25">
      <c r="C4021" s="42"/>
    </row>
    <row r="4022" spans="3:3" x14ac:dyDescent="0.25">
      <c r="C4022" s="42"/>
    </row>
    <row r="4023" spans="3:3" x14ac:dyDescent="0.25">
      <c r="C4023" s="42"/>
    </row>
    <row r="4024" spans="3:3" x14ac:dyDescent="0.25">
      <c r="C4024" s="42"/>
    </row>
    <row r="4025" spans="3:3" x14ac:dyDescent="0.25">
      <c r="C4025" s="42"/>
    </row>
    <row r="4026" spans="3:3" x14ac:dyDescent="0.25">
      <c r="C4026" s="42"/>
    </row>
    <row r="4027" spans="3:3" x14ac:dyDescent="0.25">
      <c r="C4027" s="42"/>
    </row>
    <row r="4028" spans="3:3" x14ac:dyDescent="0.25">
      <c r="C4028" s="42"/>
    </row>
    <row r="4029" spans="3:3" x14ac:dyDescent="0.25">
      <c r="C4029" s="42"/>
    </row>
    <row r="4030" spans="3:3" x14ac:dyDescent="0.25">
      <c r="C4030" s="42"/>
    </row>
    <row r="4031" spans="3:3" x14ac:dyDescent="0.25">
      <c r="C4031" s="42"/>
    </row>
    <row r="4032" spans="3:3" x14ac:dyDescent="0.25">
      <c r="C4032" s="42"/>
    </row>
    <row r="4033" spans="3:3" x14ac:dyDescent="0.25">
      <c r="C4033" s="42"/>
    </row>
    <row r="4034" spans="3:3" x14ac:dyDescent="0.25">
      <c r="C4034" s="42"/>
    </row>
    <row r="4035" spans="3:3" x14ac:dyDescent="0.25">
      <c r="C4035" s="42"/>
    </row>
    <row r="4036" spans="3:3" x14ac:dyDescent="0.25">
      <c r="C4036" s="42"/>
    </row>
    <row r="4037" spans="3:3" x14ac:dyDescent="0.25">
      <c r="C4037" s="42"/>
    </row>
    <row r="4038" spans="3:3" x14ac:dyDescent="0.25">
      <c r="C4038" s="42"/>
    </row>
    <row r="4039" spans="3:3" x14ac:dyDescent="0.25">
      <c r="C4039" s="42"/>
    </row>
    <row r="4040" spans="3:3" x14ac:dyDescent="0.25">
      <c r="C4040" s="42"/>
    </row>
    <row r="4041" spans="3:3" x14ac:dyDescent="0.25">
      <c r="C4041" s="42"/>
    </row>
    <row r="4042" spans="3:3" x14ac:dyDescent="0.25">
      <c r="C4042" s="42"/>
    </row>
    <row r="4043" spans="3:3" x14ac:dyDescent="0.25">
      <c r="C4043" s="42"/>
    </row>
    <row r="4044" spans="3:3" x14ac:dyDescent="0.25">
      <c r="C4044" s="42"/>
    </row>
    <row r="4045" spans="3:3" x14ac:dyDescent="0.25">
      <c r="C4045" s="42"/>
    </row>
    <row r="4046" spans="3:3" x14ac:dyDescent="0.25">
      <c r="C4046" s="42"/>
    </row>
    <row r="4047" spans="3:3" x14ac:dyDescent="0.25">
      <c r="C4047" s="42"/>
    </row>
    <row r="4048" spans="3:3" x14ac:dyDescent="0.25">
      <c r="C4048" s="42"/>
    </row>
    <row r="4049" spans="3:3" x14ac:dyDescent="0.25">
      <c r="C4049" s="42"/>
    </row>
    <row r="4050" spans="3:3" x14ac:dyDescent="0.25">
      <c r="C4050" s="42"/>
    </row>
    <row r="4051" spans="3:3" x14ac:dyDescent="0.25">
      <c r="C4051" s="42"/>
    </row>
    <row r="4052" spans="3:3" x14ac:dyDescent="0.25">
      <c r="C4052" s="42"/>
    </row>
    <row r="4053" spans="3:3" x14ac:dyDescent="0.25">
      <c r="C4053" s="42"/>
    </row>
    <row r="4054" spans="3:3" x14ac:dyDescent="0.25">
      <c r="C4054" s="42"/>
    </row>
    <row r="4055" spans="3:3" x14ac:dyDescent="0.25">
      <c r="C4055" s="42"/>
    </row>
    <row r="4056" spans="3:3" x14ac:dyDescent="0.25">
      <c r="C4056" s="42"/>
    </row>
    <row r="4057" spans="3:3" x14ac:dyDescent="0.25">
      <c r="C4057" s="42"/>
    </row>
    <row r="4058" spans="3:3" x14ac:dyDescent="0.25">
      <c r="C4058" s="42"/>
    </row>
    <row r="4059" spans="3:3" x14ac:dyDescent="0.25">
      <c r="C4059" s="42"/>
    </row>
    <row r="4060" spans="3:3" x14ac:dyDescent="0.25">
      <c r="C4060" s="42"/>
    </row>
    <row r="4061" spans="3:3" x14ac:dyDescent="0.25">
      <c r="C4061" s="42"/>
    </row>
    <row r="4062" spans="3:3" x14ac:dyDescent="0.25">
      <c r="C4062" s="42"/>
    </row>
    <row r="4063" spans="3:3" x14ac:dyDescent="0.25">
      <c r="C4063" s="42"/>
    </row>
    <row r="4064" spans="3:3" x14ac:dyDescent="0.25">
      <c r="C4064" s="42"/>
    </row>
    <row r="4065" spans="3:3" x14ac:dyDescent="0.25">
      <c r="C4065" s="42"/>
    </row>
    <row r="4066" spans="3:3" x14ac:dyDescent="0.25">
      <c r="C4066" s="42"/>
    </row>
    <row r="4067" spans="3:3" x14ac:dyDescent="0.25">
      <c r="C4067" s="42"/>
    </row>
    <row r="4068" spans="3:3" x14ac:dyDescent="0.25">
      <c r="C4068" s="42"/>
    </row>
    <row r="4069" spans="3:3" x14ac:dyDescent="0.25">
      <c r="C4069" s="42"/>
    </row>
    <row r="4070" spans="3:3" x14ac:dyDescent="0.25">
      <c r="C4070" s="42"/>
    </row>
    <row r="4071" spans="3:3" x14ac:dyDescent="0.25">
      <c r="C4071" s="42"/>
    </row>
    <row r="4072" spans="3:3" x14ac:dyDescent="0.25">
      <c r="C4072" s="42"/>
    </row>
    <row r="4073" spans="3:3" x14ac:dyDescent="0.25">
      <c r="C4073" s="42"/>
    </row>
    <row r="4074" spans="3:3" x14ac:dyDescent="0.25">
      <c r="C4074" s="42"/>
    </row>
    <row r="4075" spans="3:3" x14ac:dyDescent="0.25">
      <c r="C4075" s="42"/>
    </row>
    <row r="4076" spans="3:3" x14ac:dyDescent="0.25">
      <c r="C4076" s="42"/>
    </row>
    <row r="4077" spans="3:3" x14ac:dyDescent="0.25">
      <c r="C4077" s="42"/>
    </row>
    <row r="4078" spans="3:3" x14ac:dyDescent="0.25">
      <c r="C4078" s="42"/>
    </row>
    <row r="4079" spans="3:3" x14ac:dyDescent="0.25">
      <c r="C4079" s="42"/>
    </row>
    <row r="4080" spans="3:3" x14ac:dyDescent="0.25">
      <c r="C4080" s="42"/>
    </row>
    <row r="4081" spans="3:3" x14ac:dyDescent="0.25">
      <c r="C4081" s="42"/>
    </row>
    <row r="4082" spans="3:3" x14ac:dyDescent="0.25">
      <c r="C4082" s="42"/>
    </row>
    <row r="4083" spans="3:3" x14ac:dyDescent="0.25">
      <c r="C4083" s="42"/>
    </row>
    <row r="4084" spans="3:3" x14ac:dyDescent="0.25">
      <c r="C4084" s="42"/>
    </row>
    <row r="4085" spans="3:3" x14ac:dyDescent="0.25">
      <c r="C4085" s="42"/>
    </row>
    <row r="4086" spans="3:3" x14ac:dyDescent="0.25">
      <c r="C4086" s="42"/>
    </row>
    <row r="4087" spans="3:3" x14ac:dyDescent="0.25">
      <c r="C4087" s="42"/>
    </row>
    <row r="4088" spans="3:3" x14ac:dyDescent="0.25">
      <c r="C4088" s="42"/>
    </row>
    <row r="4089" spans="3:3" x14ac:dyDescent="0.25">
      <c r="C4089" s="42"/>
    </row>
    <row r="4090" spans="3:3" x14ac:dyDescent="0.25">
      <c r="C4090" s="42"/>
    </row>
    <row r="4091" spans="3:3" x14ac:dyDescent="0.25">
      <c r="C4091" s="42"/>
    </row>
    <row r="4092" spans="3:3" x14ac:dyDescent="0.25">
      <c r="C4092" s="42"/>
    </row>
    <row r="4093" spans="3:3" x14ac:dyDescent="0.25">
      <c r="C4093" s="42"/>
    </row>
    <row r="4094" spans="3:3" x14ac:dyDescent="0.25">
      <c r="C4094" s="42"/>
    </row>
    <row r="4095" spans="3:3" x14ac:dyDescent="0.25">
      <c r="C4095" s="42"/>
    </row>
    <row r="4096" spans="3:3" x14ac:dyDescent="0.25">
      <c r="C4096" s="42"/>
    </row>
    <row r="4097" spans="3:3" x14ac:dyDescent="0.25">
      <c r="C4097" s="42"/>
    </row>
    <row r="4098" spans="3:3" x14ac:dyDescent="0.25">
      <c r="C4098" s="42"/>
    </row>
    <row r="4099" spans="3:3" x14ac:dyDescent="0.25">
      <c r="C4099" s="42"/>
    </row>
    <row r="4100" spans="3:3" x14ac:dyDescent="0.25">
      <c r="C4100" s="42"/>
    </row>
    <row r="4101" spans="3:3" x14ac:dyDescent="0.25">
      <c r="C4101" s="42"/>
    </row>
    <row r="4102" spans="3:3" x14ac:dyDescent="0.25">
      <c r="C4102" s="42"/>
    </row>
    <row r="4103" spans="3:3" x14ac:dyDescent="0.25">
      <c r="C4103" s="42"/>
    </row>
    <row r="4104" spans="3:3" x14ac:dyDescent="0.25">
      <c r="C4104" s="42"/>
    </row>
    <row r="4105" spans="3:3" x14ac:dyDescent="0.25">
      <c r="C4105" s="42"/>
    </row>
    <row r="4106" spans="3:3" x14ac:dyDescent="0.25">
      <c r="C4106" s="42"/>
    </row>
    <row r="4107" spans="3:3" x14ac:dyDescent="0.25">
      <c r="C4107" s="42"/>
    </row>
    <row r="4108" spans="3:3" x14ac:dyDescent="0.25">
      <c r="C4108" s="42"/>
    </row>
    <row r="4109" spans="3:3" x14ac:dyDescent="0.25">
      <c r="C4109" s="42"/>
    </row>
    <row r="4110" spans="3:3" x14ac:dyDescent="0.25">
      <c r="C4110" s="42"/>
    </row>
    <row r="4111" spans="3:3" x14ac:dyDescent="0.25">
      <c r="C4111" s="42"/>
    </row>
    <row r="4112" spans="3:3" x14ac:dyDescent="0.25">
      <c r="C4112" s="42"/>
    </row>
    <row r="4113" spans="3:3" x14ac:dyDescent="0.25">
      <c r="C4113" s="42"/>
    </row>
    <row r="4114" spans="3:3" x14ac:dyDescent="0.25">
      <c r="C4114" s="42"/>
    </row>
    <row r="4115" spans="3:3" x14ac:dyDescent="0.25">
      <c r="C4115" s="42"/>
    </row>
    <row r="4116" spans="3:3" x14ac:dyDescent="0.25">
      <c r="C4116" s="42"/>
    </row>
    <row r="4117" spans="3:3" x14ac:dyDescent="0.25">
      <c r="C4117" s="42"/>
    </row>
    <row r="4118" spans="3:3" x14ac:dyDescent="0.25">
      <c r="C4118" s="42"/>
    </row>
    <row r="4119" spans="3:3" x14ac:dyDescent="0.25">
      <c r="C4119" s="42"/>
    </row>
    <row r="4120" spans="3:3" x14ac:dyDescent="0.25">
      <c r="C4120" s="42"/>
    </row>
    <row r="4121" spans="3:3" x14ac:dyDescent="0.25">
      <c r="C4121" s="42"/>
    </row>
    <row r="4122" spans="3:3" x14ac:dyDescent="0.25">
      <c r="C4122" s="42"/>
    </row>
    <row r="4123" spans="3:3" x14ac:dyDescent="0.25">
      <c r="C4123" s="42"/>
    </row>
    <row r="4124" spans="3:3" x14ac:dyDescent="0.25">
      <c r="C4124" s="42"/>
    </row>
    <row r="4125" spans="3:3" x14ac:dyDescent="0.25">
      <c r="C4125" s="42"/>
    </row>
    <row r="4126" spans="3:3" x14ac:dyDescent="0.25">
      <c r="C4126" s="42"/>
    </row>
    <row r="4127" spans="3:3" x14ac:dyDescent="0.25">
      <c r="C4127" s="42"/>
    </row>
    <row r="4128" spans="3:3" x14ac:dyDescent="0.25">
      <c r="C4128" s="42"/>
    </row>
    <row r="4129" spans="3:3" x14ac:dyDescent="0.25">
      <c r="C4129" s="42"/>
    </row>
    <row r="4130" spans="3:3" x14ac:dyDescent="0.25">
      <c r="C4130" s="42"/>
    </row>
    <row r="4131" spans="3:3" x14ac:dyDescent="0.25">
      <c r="C4131" s="42"/>
    </row>
    <row r="4132" spans="3:3" x14ac:dyDescent="0.25">
      <c r="C4132" s="42"/>
    </row>
    <row r="4133" spans="3:3" x14ac:dyDescent="0.25">
      <c r="C4133" s="42"/>
    </row>
    <row r="4134" spans="3:3" x14ac:dyDescent="0.25">
      <c r="C4134" s="42"/>
    </row>
    <row r="4135" spans="3:3" x14ac:dyDescent="0.25">
      <c r="C4135" s="42"/>
    </row>
    <row r="4136" spans="3:3" x14ac:dyDescent="0.25">
      <c r="C4136" s="42"/>
    </row>
    <row r="4137" spans="3:3" x14ac:dyDescent="0.25">
      <c r="C4137" s="42"/>
    </row>
    <row r="4138" spans="3:3" x14ac:dyDescent="0.25">
      <c r="C4138" s="42"/>
    </row>
    <row r="4139" spans="3:3" x14ac:dyDescent="0.25">
      <c r="C4139" s="42"/>
    </row>
    <row r="4140" spans="3:3" x14ac:dyDescent="0.25">
      <c r="C4140" s="42"/>
    </row>
    <row r="4141" spans="3:3" x14ac:dyDescent="0.25">
      <c r="C4141" s="42"/>
    </row>
    <row r="4142" spans="3:3" x14ac:dyDescent="0.25">
      <c r="C4142" s="42"/>
    </row>
    <row r="4143" spans="3:3" x14ac:dyDescent="0.25">
      <c r="C4143" s="42"/>
    </row>
    <row r="4144" spans="3:3" x14ac:dyDescent="0.25">
      <c r="C4144" s="42"/>
    </row>
    <row r="4145" spans="3:3" x14ac:dyDescent="0.25">
      <c r="C4145" s="42"/>
    </row>
    <row r="4146" spans="3:3" x14ac:dyDescent="0.25">
      <c r="C4146" s="42"/>
    </row>
    <row r="4147" spans="3:3" x14ac:dyDescent="0.25">
      <c r="C4147" s="42"/>
    </row>
    <row r="4148" spans="3:3" x14ac:dyDescent="0.25">
      <c r="C4148" s="42"/>
    </row>
    <row r="4149" spans="3:3" x14ac:dyDescent="0.25">
      <c r="C4149" s="42"/>
    </row>
    <row r="4150" spans="3:3" x14ac:dyDescent="0.25">
      <c r="C4150" s="42"/>
    </row>
    <row r="4151" spans="3:3" x14ac:dyDescent="0.25">
      <c r="C4151" s="42"/>
    </row>
    <row r="4152" spans="3:3" x14ac:dyDescent="0.25">
      <c r="C4152" s="42"/>
    </row>
    <row r="4153" spans="3:3" x14ac:dyDescent="0.25">
      <c r="C4153" s="42"/>
    </row>
    <row r="4154" spans="3:3" x14ac:dyDescent="0.25">
      <c r="C4154" s="42"/>
    </row>
    <row r="4155" spans="3:3" x14ac:dyDescent="0.25">
      <c r="C4155" s="42"/>
    </row>
    <row r="4156" spans="3:3" x14ac:dyDescent="0.25">
      <c r="C4156" s="42"/>
    </row>
    <row r="4157" spans="3:3" x14ac:dyDescent="0.25">
      <c r="C4157" s="42"/>
    </row>
    <row r="4158" spans="3:3" x14ac:dyDescent="0.25">
      <c r="C4158" s="42"/>
    </row>
    <row r="4159" spans="3:3" x14ac:dyDescent="0.25">
      <c r="C4159" s="42"/>
    </row>
    <row r="4160" spans="3:3" x14ac:dyDescent="0.25">
      <c r="C4160" s="42"/>
    </row>
    <row r="4161" spans="3:3" x14ac:dyDescent="0.25">
      <c r="C4161" s="42"/>
    </row>
    <row r="4162" spans="3:3" x14ac:dyDescent="0.25">
      <c r="C4162" s="42"/>
    </row>
    <row r="4163" spans="3:3" x14ac:dyDescent="0.25">
      <c r="C4163" s="42"/>
    </row>
    <row r="4164" spans="3:3" x14ac:dyDescent="0.25">
      <c r="C4164" s="42"/>
    </row>
    <row r="4165" spans="3:3" x14ac:dyDescent="0.25">
      <c r="C4165" s="42"/>
    </row>
    <row r="4166" spans="3:3" x14ac:dyDescent="0.25">
      <c r="C4166" s="42"/>
    </row>
    <row r="4167" spans="3:3" x14ac:dyDescent="0.25">
      <c r="C4167" s="42"/>
    </row>
    <row r="4168" spans="3:3" x14ac:dyDescent="0.25">
      <c r="C4168" s="42"/>
    </row>
    <row r="4169" spans="3:3" x14ac:dyDescent="0.25">
      <c r="C4169" s="42"/>
    </row>
    <row r="4170" spans="3:3" x14ac:dyDescent="0.25">
      <c r="C4170" s="42"/>
    </row>
    <row r="4171" spans="3:3" x14ac:dyDescent="0.25">
      <c r="C4171" s="42"/>
    </row>
    <row r="4172" spans="3:3" x14ac:dyDescent="0.25">
      <c r="C4172" s="42"/>
    </row>
    <row r="4173" spans="3:3" x14ac:dyDescent="0.25">
      <c r="C4173" s="42"/>
    </row>
    <row r="4174" spans="3:3" x14ac:dyDescent="0.25">
      <c r="C4174" s="42"/>
    </row>
    <row r="4175" spans="3:3" x14ac:dyDescent="0.25">
      <c r="C4175" s="42"/>
    </row>
    <row r="4176" spans="3:3" x14ac:dyDescent="0.25">
      <c r="C4176" s="42"/>
    </row>
    <row r="4177" spans="3:3" x14ac:dyDescent="0.25">
      <c r="C4177" s="42"/>
    </row>
    <row r="4178" spans="3:3" x14ac:dyDescent="0.25">
      <c r="C4178" s="42"/>
    </row>
    <row r="4179" spans="3:3" x14ac:dyDescent="0.25">
      <c r="C4179" s="42"/>
    </row>
    <row r="4180" spans="3:3" x14ac:dyDescent="0.25">
      <c r="C4180" s="42"/>
    </row>
    <row r="4181" spans="3:3" x14ac:dyDescent="0.25">
      <c r="C4181" s="42"/>
    </row>
    <row r="4182" spans="3:3" x14ac:dyDescent="0.25">
      <c r="C4182" s="42"/>
    </row>
    <row r="4183" spans="3:3" x14ac:dyDescent="0.25">
      <c r="C4183" s="42"/>
    </row>
    <row r="4184" spans="3:3" x14ac:dyDescent="0.25">
      <c r="C4184" s="42"/>
    </row>
    <row r="4185" spans="3:3" x14ac:dyDescent="0.25">
      <c r="C4185" s="42"/>
    </row>
    <row r="4186" spans="3:3" x14ac:dyDescent="0.25">
      <c r="C4186" s="42"/>
    </row>
    <row r="4187" spans="3:3" x14ac:dyDescent="0.25">
      <c r="C4187" s="42"/>
    </row>
    <row r="4188" spans="3:3" x14ac:dyDescent="0.25">
      <c r="C4188" s="42"/>
    </row>
    <row r="4189" spans="3:3" x14ac:dyDescent="0.25">
      <c r="C4189" s="42"/>
    </row>
    <row r="4190" spans="3:3" x14ac:dyDescent="0.25">
      <c r="C4190" s="42"/>
    </row>
    <row r="4191" spans="3:3" x14ac:dyDescent="0.25">
      <c r="C4191" s="42"/>
    </row>
    <row r="4192" spans="3:3" x14ac:dyDescent="0.25">
      <c r="C4192" s="42"/>
    </row>
    <row r="4193" spans="3:3" x14ac:dyDescent="0.25">
      <c r="C4193" s="42"/>
    </row>
    <row r="4194" spans="3:3" x14ac:dyDescent="0.25">
      <c r="C4194" s="42"/>
    </row>
    <row r="4195" spans="3:3" x14ac:dyDescent="0.25">
      <c r="C4195" s="42"/>
    </row>
    <row r="4196" spans="3:3" x14ac:dyDescent="0.25">
      <c r="C4196" s="42"/>
    </row>
    <row r="4197" spans="3:3" x14ac:dyDescent="0.25">
      <c r="C4197" s="42"/>
    </row>
    <row r="4198" spans="3:3" x14ac:dyDescent="0.25">
      <c r="C4198" s="42"/>
    </row>
    <row r="4199" spans="3:3" x14ac:dyDescent="0.25">
      <c r="C4199" s="42"/>
    </row>
    <row r="4200" spans="3:3" x14ac:dyDescent="0.25">
      <c r="C4200" s="42"/>
    </row>
    <row r="4201" spans="3:3" x14ac:dyDescent="0.25">
      <c r="C4201" s="42"/>
    </row>
    <row r="4202" spans="3:3" x14ac:dyDescent="0.25">
      <c r="C4202" s="42"/>
    </row>
    <row r="4203" spans="3:3" x14ac:dyDescent="0.25">
      <c r="C4203" s="42"/>
    </row>
    <row r="4204" spans="3:3" x14ac:dyDescent="0.25">
      <c r="C4204" s="42"/>
    </row>
    <row r="4205" spans="3:3" x14ac:dyDescent="0.25">
      <c r="C4205" s="42"/>
    </row>
    <row r="4206" spans="3:3" x14ac:dyDescent="0.25">
      <c r="C4206" s="42"/>
    </row>
    <row r="4207" spans="3:3" x14ac:dyDescent="0.25">
      <c r="C4207" s="42"/>
    </row>
    <row r="4208" spans="3:3" x14ac:dyDescent="0.25">
      <c r="C4208" s="42"/>
    </row>
    <row r="4209" spans="3:3" x14ac:dyDescent="0.25">
      <c r="C4209" s="42"/>
    </row>
    <row r="4210" spans="3:3" x14ac:dyDescent="0.25">
      <c r="C4210" s="42"/>
    </row>
    <row r="4211" spans="3:3" x14ac:dyDescent="0.25">
      <c r="C4211" s="42"/>
    </row>
    <row r="4212" spans="3:3" x14ac:dyDescent="0.25">
      <c r="C4212" s="42"/>
    </row>
    <row r="4213" spans="3:3" x14ac:dyDescent="0.25">
      <c r="C4213" s="42"/>
    </row>
    <row r="4214" spans="3:3" x14ac:dyDescent="0.25">
      <c r="C4214" s="42"/>
    </row>
    <row r="4215" spans="3:3" x14ac:dyDescent="0.25">
      <c r="C4215" s="42"/>
    </row>
    <row r="4216" spans="3:3" x14ac:dyDescent="0.25">
      <c r="C4216" s="42"/>
    </row>
    <row r="4217" spans="3:3" x14ac:dyDescent="0.25">
      <c r="C4217" s="42"/>
    </row>
    <row r="4218" spans="3:3" x14ac:dyDescent="0.25">
      <c r="C4218" s="42"/>
    </row>
    <row r="4219" spans="3:3" x14ac:dyDescent="0.25">
      <c r="C4219" s="42"/>
    </row>
    <row r="4220" spans="3:3" x14ac:dyDescent="0.25">
      <c r="C4220" s="42"/>
    </row>
    <row r="4221" spans="3:3" x14ac:dyDescent="0.25">
      <c r="C4221" s="42"/>
    </row>
    <row r="4222" spans="3:3" x14ac:dyDescent="0.25">
      <c r="C4222" s="42"/>
    </row>
    <row r="4223" spans="3:3" x14ac:dyDescent="0.25">
      <c r="C4223" s="42"/>
    </row>
    <row r="4224" spans="3:3" x14ac:dyDescent="0.25">
      <c r="C4224" s="42"/>
    </row>
    <row r="4225" spans="3:3" x14ac:dyDescent="0.25">
      <c r="C4225" s="42"/>
    </row>
    <row r="4226" spans="3:3" x14ac:dyDescent="0.25">
      <c r="C4226" s="42"/>
    </row>
    <row r="4227" spans="3:3" x14ac:dyDescent="0.25">
      <c r="C4227" s="42"/>
    </row>
    <row r="4228" spans="3:3" x14ac:dyDescent="0.25">
      <c r="C4228" s="42"/>
    </row>
    <row r="4229" spans="3:3" x14ac:dyDescent="0.25">
      <c r="C4229" s="42"/>
    </row>
    <row r="4230" spans="3:3" x14ac:dyDescent="0.25">
      <c r="C4230" s="42"/>
    </row>
    <row r="4231" spans="3:3" x14ac:dyDescent="0.25">
      <c r="C4231" s="42"/>
    </row>
    <row r="4232" spans="3:3" x14ac:dyDescent="0.25">
      <c r="C4232" s="42"/>
    </row>
    <row r="4233" spans="3:3" x14ac:dyDescent="0.25">
      <c r="C4233" s="42"/>
    </row>
    <row r="4234" spans="3:3" x14ac:dyDescent="0.25">
      <c r="C4234" s="42"/>
    </row>
    <row r="4235" spans="3:3" x14ac:dyDescent="0.25">
      <c r="C4235" s="42"/>
    </row>
    <row r="4236" spans="3:3" x14ac:dyDescent="0.25">
      <c r="C4236" s="42"/>
    </row>
    <row r="4237" spans="3:3" x14ac:dyDescent="0.25">
      <c r="C4237" s="42"/>
    </row>
    <row r="4238" spans="3:3" x14ac:dyDescent="0.25">
      <c r="C4238" s="42"/>
    </row>
    <row r="4239" spans="3:3" x14ac:dyDescent="0.25">
      <c r="C4239" s="42"/>
    </row>
    <row r="4240" spans="3:3" x14ac:dyDescent="0.25">
      <c r="C4240" s="42"/>
    </row>
    <row r="4241" spans="3:3" x14ac:dyDescent="0.25">
      <c r="C4241" s="42"/>
    </row>
    <row r="4242" spans="3:3" x14ac:dyDescent="0.25">
      <c r="C4242" s="42"/>
    </row>
    <row r="4243" spans="3:3" x14ac:dyDescent="0.25">
      <c r="C4243" s="42"/>
    </row>
    <row r="4244" spans="3:3" x14ac:dyDescent="0.25">
      <c r="C4244" s="42"/>
    </row>
    <row r="4245" spans="3:3" x14ac:dyDescent="0.25">
      <c r="C4245" s="42"/>
    </row>
    <row r="4246" spans="3:3" x14ac:dyDescent="0.25">
      <c r="C4246" s="42"/>
    </row>
    <row r="4247" spans="3:3" x14ac:dyDescent="0.25">
      <c r="C4247" s="42"/>
    </row>
    <row r="4248" spans="3:3" x14ac:dyDescent="0.25">
      <c r="C4248" s="42"/>
    </row>
    <row r="4249" spans="3:3" x14ac:dyDescent="0.25">
      <c r="C4249" s="42"/>
    </row>
    <row r="4250" spans="3:3" x14ac:dyDescent="0.25">
      <c r="C4250" s="42"/>
    </row>
    <row r="4251" spans="3:3" x14ac:dyDescent="0.25">
      <c r="C4251" s="42"/>
    </row>
    <row r="4252" spans="3:3" x14ac:dyDescent="0.25">
      <c r="C4252" s="42"/>
    </row>
    <row r="4253" spans="3:3" x14ac:dyDescent="0.25">
      <c r="C4253" s="42"/>
    </row>
    <row r="4254" spans="3:3" x14ac:dyDescent="0.25">
      <c r="C4254" s="42"/>
    </row>
    <row r="4255" spans="3:3" x14ac:dyDescent="0.25">
      <c r="C4255" s="42"/>
    </row>
    <row r="4256" spans="3:3" x14ac:dyDescent="0.25">
      <c r="C4256" s="42"/>
    </row>
    <row r="4257" spans="3:3" x14ac:dyDescent="0.25">
      <c r="C4257" s="42"/>
    </row>
    <row r="4258" spans="3:3" x14ac:dyDescent="0.25">
      <c r="C4258" s="42"/>
    </row>
    <row r="4259" spans="3:3" x14ac:dyDescent="0.25">
      <c r="C4259" s="42"/>
    </row>
    <row r="4260" spans="3:3" x14ac:dyDescent="0.25">
      <c r="C4260" s="42"/>
    </row>
    <row r="4261" spans="3:3" x14ac:dyDescent="0.25">
      <c r="C4261" s="42"/>
    </row>
    <row r="4262" spans="3:3" x14ac:dyDescent="0.25">
      <c r="C4262" s="42"/>
    </row>
    <row r="4263" spans="3:3" x14ac:dyDescent="0.25">
      <c r="C4263" s="42"/>
    </row>
    <row r="4264" spans="3:3" x14ac:dyDescent="0.25">
      <c r="C4264" s="42"/>
    </row>
    <row r="4265" spans="3:3" x14ac:dyDescent="0.25">
      <c r="C4265" s="42"/>
    </row>
    <row r="4266" spans="3:3" x14ac:dyDescent="0.25">
      <c r="C4266" s="42"/>
    </row>
    <row r="4267" spans="3:3" x14ac:dyDescent="0.25">
      <c r="C4267" s="42"/>
    </row>
    <row r="4268" spans="3:3" x14ac:dyDescent="0.25">
      <c r="C4268" s="42"/>
    </row>
    <row r="4269" spans="3:3" x14ac:dyDescent="0.25">
      <c r="C4269" s="42"/>
    </row>
    <row r="4270" spans="3:3" x14ac:dyDescent="0.25">
      <c r="C4270" s="42"/>
    </row>
    <row r="4271" spans="3:3" x14ac:dyDescent="0.25">
      <c r="C4271" s="42"/>
    </row>
    <row r="4272" spans="3:3" x14ac:dyDescent="0.25">
      <c r="C4272" s="42"/>
    </row>
    <row r="4273" spans="3:3" x14ac:dyDescent="0.25">
      <c r="C4273" s="42"/>
    </row>
    <row r="4274" spans="3:3" x14ac:dyDescent="0.25">
      <c r="C4274" s="42"/>
    </row>
    <row r="4275" spans="3:3" x14ac:dyDescent="0.25">
      <c r="C4275" s="42"/>
    </row>
    <row r="4276" spans="3:3" x14ac:dyDescent="0.25">
      <c r="C4276" s="42"/>
    </row>
    <row r="4277" spans="3:3" x14ac:dyDescent="0.25">
      <c r="C4277" s="42"/>
    </row>
    <row r="4278" spans="3:3" x14ac:dyDescent="0.25">
      <c r="C4278" s="42"/>
    </row>
    <row r="4279" spans="3:3" x14ac:dyDescent="0.25">
      <c r="C4279" s="42"/>
    </row>
    <row r="4280" spans="3:3" x14ac:dyDescent="0.25">
      <c r="C4280" s="42"/>
    </row>
    <row r="4281" spans="3:3" x14ac:dyDescent="0.25">
      <c r="C4281" s="42"/>
    </row>
    <row r="4282" spans="3:3" x14ac:dyDescent="0.25">
      <c r="C4282" s="42"/>
    </row>
    <row r="4283" spans="3:3" x14ac:dyDescent="0.25">
      <c r="C4283" s="42"/>
    </row>
    <row r="4284" spans="3:3" x14ac:dyDescent="0.25">
      <c r="C4284" s="42"/>
    </row>
    <row r="4285" spans="3:3" x14ac:dyDescent="0.25">
      <c r="C4285" s="42"/>
    </row>
    <row r="4286" spans="3:3" x14ac:dyDescent="0.25">
      <c r="C4286" s="42"/>
    </row>
    <row r="4287" spans="3:3" x14ac:dyDescent="0.25">
      <c r="C4287" s="42"/>
    </row>
    <row r="4288" spans="3:3" x14ac:dyDescent="0.25">
      <c r="C4288" s="42"/>
    </row>
    <row r="4289" spans="3:3" x14ac:dyDescent="0.25">
      <c r="C4289" s="42"/>
    </row>
    <row r="4290" spans="3:3" x14ac:dyDescent="0.25">
      <c r="C4290" s="42"/>
    </row>
    <row r="4291" spans="3:3" x14ac:dyDescent="0.25">
      <c r="C4291" s="42"/>
    </row>
    <row r="4292" spans="3:3" x14ac:dyDescent="0.25">
      <c r="C4292" s="42"/>
    </row>
    <row r="4293" spans="3:3" x14ac:dyDescent="0.25">
      <c r="C4293" s="42"/>
    </row>
    <row r="4294" spans="3:3" x14ac:dyDescent="0.25">
      <c r="C4294" s="42"/>
    </row>
    <row r="4295" spans="3:3" x14ac:dyDescent="0.25">
      <c r="C4295" s="42"/>
    </row>
    <row r="4296" spans="3:3" x14ac:dyDescent="0.25">
      <c r="C4296" s="42"/>
    </row>
    <row r="4297" spans="3:3" x14ac:dyDescent="0.25">
      <c r="C4297" s="42"/>
    </row>
    <row r="4298" spans="3:3" x14ac:dyDescent="0.25">
      <c r="C4298" s="42"/>
    </row>
    <row r="4299" spans="3:3" x14ac:dyDescent="0.25">
      <c r="C4299" s="42"/>
    </row>
    <row r="4300" spans="3:3" x14ac:dyDescent="0.25">
      <c r="C4300" s="42"/>
    </row>
    <row r="4301" spans="3:3" x14ac:dyDescent="0.25">
      <c r="C4301" s="42"/>
    </row>
    <row r="4302" spans="3:3" x14ac:dyDescent="0.25">
      <c r="C4302" s="42"/>
    </row>
    <row r="4303" spans="3:3" x14ac:dyDescent="0.25">
      <c r="C4303" s="42"/>
    </row>
    <row r="4304" spans="3:3" x14ac:dyDescent="0.25">
      <c r="C4304" s="42"/>
    </row>
    <row r="4305" spans="3:3" x14ac:dyDescent="0.25">
      <c r="C4305" s="42"/>
    </row>
    <row r="4306" spans="3:3" x14ac:dyDescent="0.25">
      <c r="C4306" s="42"/>
    </row>
    <row r="4307" spans="3:3" x14ac:dyDescent="0.25">
      <c r="C4307" s="42"/>
    </row>
    <row r="4308" spans="3:3" x14ac:dyDescent="0.25">
      <c r="C4308" s="42"/>
    </row>
    <row r="4309" spans="3:3" x14ac:dyDescent="0.25">
      <c r="C4309" s="42"/>
    </row>
    <row r="4310" spans="3:3" x14ac:dyDescent="0.25">
      <c r="C4310" s="42"/>
    </row>
    <row r="4311" spans="3:3" x14ac:dyDescent="0.25">
      <c r="C4311" s="42"/>
    </row>
    <row r="4312" spans="3:3" x14ac:dyDescent="0.25">
      <c r="C4312" s="42"/>
    </row>
    <row r="4313" spans="3:3" x14ac:dyDescent="0.25">
      <c r="C4313" s="42"/>
    </row>
    <row r="4314" spans="3:3" x14ac:dyDescent="0.25">
      <c r="C4314" s="42"/>
    </row>
    <row r="4315" spans="3:3" x14ac:dyDescent="0.25">
      <c r="C4315" s="42"/>
    </row>
    <row r="4316" spans="3:3" x14ac:dyDescent="0.25">
      <c r="C4316" s="42"/>
    </row>
    <row r="4317" spans="3:3" x14ac:dyDescent="0.25">
      <c r="C4317" s="42"/>
    </row>
    <row r="4318" spans="3:3" x14ac:dyDescent="0.25">
      <c r="C4318" s="42"/>
    </row>
    <row r="4319" spans="3:3" x14ac:dyDescent="0.25">
      <c r="C4319" s="42"/>
    </row>
    <row r="4320" spans="3:3" x14ac:dyDescent="0.25">
      <c r="C4320" s="42"/>
    </row>
    <row r="4321" spans="3:3" x14ac:dyDescent="0.25">
      <c r="C4321" s="42"/>
    </row>
    <row r="4322" spans="3:3" x14ac:dyDescent="0.25">
      <c r="C4322" s="42"/>
    </row>
    <row r="4323" spans="3:3" x14ac:dyDescent="0.25">
      <c r="C4323" s="42"/>
    </row>
    <row r="4324" spans="3:3" x14ac:dyDescent="0.25">
      <c r="C4324" s="42"/>
    </row>
    <row r="4325" spans="3:3" x14ac:dyDescent="0.25">
      <c r="C4325" s="42"/>
    </row>
    <row r="4326" spans="3:3" x14ac:dyDescent="0.25">
      <c r="C4326" s="42"/>
    </row>
    <row r="4327" spans="3:3" x14ac:dyDescent="0.25">
      <c r="C4327" s="42"/>
    </row>
    <row r="4328" spans="3:3" x14ac:dyDescent="0.25">
      <c r="C4328" s="42"/>
    </row>
    <row r="4329" spans="3:3" x14ac:dyDescent="0.25">
      <c r="C4329" s="42"/>
    </row>
    <row r="4330" spans="3:3" x14ac:dyDescent="0.25">
      <c r="C4330" s="42"/>
    </row>
    <row r="4331" spans="3:3" x14ac:dyDescent="0.25">
      <c r="C4331" s="42"/>
    </row>
    <row r="4332" spans="3:3" x14ac:dyDescent="0.25">
      <c r="C4332" s="42"/>
    </row>
    <row r="4333" spans="3:3" x14ac:dyDescent="0.25">
      <c r="C4333" s="42"/>
    </row>
    <row r="4334" spans="3:3" x14ac:dyDescent="0.25">
      <c r="C4334" s="42"/>
    </row>
    <row r="4335" spans="3:3" x14ac:dyDescent="0.25">
      <c r="C4335" s="42"/>
    </row>
    <row r="4336" spans="3:3" x14ac:dyDescent="0.25">
      <c r="C4336" s="42"/>
    </row>
    <row r="4337" spans="3:3" x14ac:dyDescent="0.25">
      <c r="C4337" s="42"/>
    </row>
    <row r="4338" spans="3:3" x14ac:dyDescent="0.25">
      <c r="C4338" s="42"/>
    </row>
    <row r="4339" spans="3:3" x14ac:dyDescent="0.25">
      <c r="C4339" s="42"/>
    </row>
    <row r="4340" spans="3:3" x14ac:dyDescent="0.25">
      <c r="C4340" s="42"/>
    </row>
    <row r="4341" spans="3:3" x14ac:dyDescent="0.25">
      <c r="C4341" s="42"/>
    </row>
    <row r="4342" spans="3:3" x14ac:dyDescent="0.25">
      <c r="C4342" s="42"/>
    </row>
    <row r="4343" spans="3:3" x14ac:dyDescent="0.25">
      <c r="C4343" s="42"/>
    </row>
    <row r="4344" spans="3:3" x14ac:dyDescent="0.25">
      <c r="C4344" s="42"/>
    </row>
    <row r="4345" spans="3:3" x14ac:dyDescent="0.25">
      <c r="C4345" s="42"/>
    </row>
    <row r="4346" spans="3:3" x14ac:dyDescent="0.25">
      <c r="C4346" s="42"/>
    </row>
    <row r="4347" spans="3:3" x14ac:dyDescent="0.25">
      <c r="C4347" s="42"/>
    </row>
    <row r="4348" spans="3:3" x14ac:dyDescent="0.25">
      <c r="C4348" s="42"/>
    </row>
    <row r="4349" spans="3:3" x14ac:dyDescent="0.25">
      <c r="C4349" s="42"/>
    </row>
    <row r="4350" spans="3:3" x14ac:dyDescent="0.25">
      <c r="C4350" s="42"/>
    </row>
    <row r="4351" spans="3:3" x14ac:dyDescent="0.25">
      <c r="C4351" s="42"/>
    </row>
    <row r="4352" spans="3:3" x14ac:dyDescent="0.25">
      <c r="C4352" s="42"/>
    </row>
    <row r="4353" spans="3:3" x14ac:dyDescent="0.25">
      <c r="C4353" s="42"/>
    </row>
    <row r="4354" spans="3:3" x14ac:dyDescent="0.25">
      <c r="C4354" s="42"/>
    </row>
    <row r="4355" spans="3:3" x14ac:dyDescent="0.25">
      <c r="C4355" s="42"/>
    </row>
    <row r="4356" spans="3:3" x14ac:dyDescent="0.25">
      <c r="C4356" s="42"/>
    </row>
    <row r="4357" spans="3:3" x14ac:dyDescent="0.25">
      <c r="C4357" s="42"/>
    </row>
    <row r="4358" spans="3:3" x14ac:dyDescent="0.25">
      <c r="C4358" s="42"/>
    </row>
    <row r="4359" spans="3:3" x14ac:dyDescent="0.25">
      <c r="C4359" s="42"/>
    </row>
    <row r="4360" spans="3:3" x14ac:dyDescent="0.25">
      <c r="C4360" s="42"/>
    </row>
    <row r="4361" spans="3:3" x14ac:dyDescent="0.25">
      <c r="C4361" s="42"/>
    </row>
    <row r="4362" spans="3:3" x14ac:dyDescent="0.25">
      <c r="C4362" s="42"/>
    </row>
    <row r="4363" spans="3:3" x14ac:dyDescent="0.25">
      <c r="C4363" s="42"/>
    </row>
    <row r="4364" spans="3:3" x14ac:dyDescent="0.25">
      <c r="C4364" s="42"/>
    </row>
    <row r="4365" spans="3:3" x14ac:dyDescent="0.25">
      <c r="C4365" s="42"/>
    </row>
    <row r="4366" spans="3:3" x14ac:dyDescent="0.25">
      <c r="C4366" s="42"/>
    </row>
    <row r="4367" spans="3:3" x14ac:dyDescent="0.25">
      <c r="C4367" s="42"/>
    </row>
    <row r="4368" spans="3:3" x14ac:dyDescent="0.25">
      <c r="C4368" s="42"/>
    </row>
    <row r="4369" spans="3:3" x14ac:dyDescent="0.25">
      <c r="C4369" s="42"/>
    </row>
    <row r="4370" spans="3:3" x14ac:dyDescent="0.25">
      <c r="C4370" s="42"/>
    </row>
    <row r="4371" spans="3:3" x14ac:dyDescent="0.25">
      <c r="C4371" s="42"/>
    </row>
    <row r="4372" spans="3:3" x14ac:dyDescent="0.25">
      <c r="C4372" s="42"/>
    </row>
    <row r="4373" spans="3:3" x14ac:dyDescent="0.25">
      <c r="C4373" s="42"/>
    </row>
    <row r="4374" spans="3:3" x14ac:dyDescent="0.25">
      <c r="C4374" s="42"/>
    </row>
    <row r="4375" spans="3:3" x14ac:dyDescent="0.25">
      <c r="C4375" s="42"/>
    </row>
    <row r="4376" spans="3:3" x14ac:dyDescent="0.25">
      <c r="C4376" s="42"/>
    </row>
    <row r="4377" spans="3:3" x14ac:dyDescent="0.25">
      <c r="C4377" s="42"/>
    </row>
    <row r="4378" spans="3:3" x14ac:dyDescent="0.25">
      <c r="C4378" s="42"/>
    </row>
    <row r="4379" spans="3:3" x14ac:dyDescent="0.25">
      <c r="C4379" s="42"/>
    </row>
    <row r="4380" spans="3:3" x14ac:dyDescent="0.25">
      <c r="C4380" s="42"/>
    </row>
    <row r="4381" spans="3:3" x14ac:dyDescent="0.25">
      <c r="C4381" s="42"/>
    </row>
    <row r="4382" spans="3:3" x14ac:dyDescent="0.25">
      <c r="C4382" s="42"/>
    </row>
    <row r="4383" spans="3:3" x14ac:dyDescent="0.25">
      <c r="C4383" s="42"/>
    </row>
    <row r="4384" spans="3:3" x14ac:dyDescent="0.25">
      <c r="C4384" s="42"/>
    </row>
    <row r="4385" spans="3:3" x14ac:dyDescent="0.25">
      <c r="C4385" s="42"/>
    </row>
    <row r="4386" spans="3:3" x14ac:dyDescent="0.25">
      <c r="C4386" s="42"/>
    </row>
    <row r="4387" spans="3:3" x14ac:dyDescent="0.25">
      <c r="C4387" s="42"/>
    </row>
    <row r="4388" spans="3:3" x14ac:dyDescent="0.25">
      <c r="C4388" s="42"/>
    </row>
    <row r="4389" spans="3:3" x14ac:dyDescent="0.25">
      <c r="C4389" s="42"/>
    </row>
    <row r="4390" spans="3:3" x14ac:dyDescent="0.25">
      <c r="C4390" s="42"/>
    </row>
    <row r="4391" spans="3:3" x14ac:dyDescent="0.25">
      <c r="C4391" s="42"/>
    </row>
    <row r="4392" spans="3:3" x14ac:dyDescent="0.25">
      <c r="C4392" s="42"/>
    </row>
    <row r="4393" spans="3:3" x14ac:dyDescent="0.25">
      <c r="C4393" s="42"/>
    </row>
    <row r="4394" spans="3:3" x14ac:dyDescent="0.25">
      <c r="C4394" s="42"/>
    </row>
    <row r="4395" spans="3:3" x14ac:dyDescent="0.25">
      <c r="C4395" s="42"/>
    </row>
    <row r="4396" spans="3:3" x14ac:dyDescent="0.25">
      <c r="C4396" s="42"/>
    </row>
    <row r="4397" spans="3:3" x14ac:dyDescent="0.25">
      <c r="C4397" s="42"/>
    </row>
    <row r="4398" spans="3:3" x14ac:dyDescent="0.25">
      <c r="C4398" s="42"/>
    </row>
    <row r="4399" spans="3:3" x14ac:dyDescent="0.25">
      <c r="C4399" s="42"/>
    </row>
    <row r="4400" spans="3:3" x14ac:dyDescent="0.25">
      <c r="C4400" s="42"/>
    </row>
    <row r="4401" spans="3:3" x14ac:dyDescent="0.25">
      <c r="C4401" s="42"/>
    </row>
    <row r="4402" spans="3:3" x14ac:dyDescent="0.25">
      <c r="C4402" s="42"/>
    </row>
    <row r="4403" spans="3:3" x14ac:dyDescent="0.25">
      <c r="C4403" s="42"/>
    </row>
    <row r="4404" spans="3:3" x14ac:dyDescent="0.25">
      <c r="C4404" s="42"/>
    </row>
    <row r="4405" spans="3:3" x14ac:dyDescent="0.25">
      <c r="C4405" s="42"/>
    </row>
    <row r="4406" spans="3:3" x14ac:dyDescent="0.25">
      <c r="C4406" s="42"/>
    </row>
    <row r="4407" spans="3:3" x14ac:dyDescent="0.25">
      <c r="C4407" s="42"/>
    </row>
    <row r="4408" spans="3:3" x14ac:dyDescent="0.25">
      <c r="C4408" s="42"/>
    </row>
    <row r="4409" spans="3:3" x14ac:dyDescent="0.25">
      <c r="C4409" s="42"/>
    </row>
    <row r="4410" spans="3:3" x14ac:dyDescent="0.25">
      <c r="C4410" s="42"/>
    </row>
    <row r="4411" spans="3:3" x14ac:dyDescent="0.25">
      <c r="C4411" s="42"/>
    </row>
    <row r="4412" spans="3:3" x14ac:dyDescent="0.25">
      <c r="C4412" s="42"/>
    </row>
    <row r="4413" spans="3:3" x14ac:dyDescent="0.25">
      <c r="C4413" s="42"/>
    </row>
    <row r="4414" spans="3:3" x14ac:dyDescent="0.25">
      <c r="C4414" s="42"/>
    </row>
    <row r="4415" spans="3:3" x14ac:dyDescent="0.25">
      <c r="C4415" s="42"/>
    </row>
    <row r="4416" spans="3:3" x14ac:dyDescent="0.25">
      <c r="C4416" s="42"/>
    </row>
    <row r="4417" spans="3:3" x14ac:dyDescent="0.25">
      <c r="C4417" s="42"/>
    </row>
    <row r="4418" spans="3:3" x14ac:dyDescent="0.25">
      <c r="C4418" s="42"/>
    </row>
    <row r="4419" spans="3:3" x14ac:dyDescent="0.25">
      <c r="C4419" s="42"/>
    </row>
    <row r="4420" spans="3:3" x14ac:dyDescent="0.25">
      <c r="C4420" s="42"/>
    </row>
    <row r="4421" spans="3:3" x14ac:dyDescent="0.25">
      <c r="C4421" s="42"/>
    </row>
    <row r="4422" spans="3:3" x14ac:dyDescent="0.25">
      <c r="C4422" s="42"/>
    </row>
    <row r="4423" spans="3:3" x14ac:dyDescent="0.25">
      <c r="C4423" s="42"/>
    </row>
    <row r="4424" spans="3:3" x14ac:dyDescent="0.25">
      <c r="C4424" s="42"/>
    </row>
    <row r="4425" spans="3:3" x14ac:dyDescent="0.25">
      <c r="C4425" s="42"/>
    </row>
    <row r="4426" spans="3:3" x14ac:dyDescent="0.25">
      <c r="C4426" s="42"/>
    </row>
    <row r="4427" spans="3:3" x14ac:dyDescent="0.25">
      <c r="C4427" s="42"/>
    </row>
    <row r="4428" spans="3:3" x14ac:dyDescent="0.25">
      <c r="C4428" s="42"/>
    </row>
    <row r="4429" spans="3:3" x14ac:dyDescent="0.25">
      <c r="C4429" s="42"/>
    </row>
    <row r="4430" spans="3:3" x14ac:dyDescent="0.25">
      <c r="C4430" s="42"/>
    </row>
    <row r="4431" spans="3:3" x14ac:dyDescent="0.25">
      <c r="C4431" s="42"/>
    </row>
    <row r="4432" spans="3:3" x14ac:dyDescent="0.25">
      <c r="C4432" s="42"/>
    </row>
    <row r="4433" spans="3:3" x14ac:dyDescent="0.25">
      <c r="C4433" s="42"/>
    </row>
    <row r="4434" spans="3:3" x14ac:dyDescent="0.25">
      <c r="C4434" s="42"/>
    </row>
    <row r="4435" spans="3:3" x14ac:dyDescent="0.25">
      <c r="C4435" s="42"/>
    </row>
    <row r="4436" spans="3:3" x14ac:dyDescent="0.25">
      <c r="C4436" s="42"/>
    </row>
    <row r="4437" spans="3:3" x14ac:dyDescent="0.25">
      <c r="C4437" s="42"/>
    </row>
    <row r="4438" spans="3:3" x14ac:dyDescent="0.25">
      <c r="C4438" s="42"/>
    </row>
    <row r="4439" spans="3:3" x14ac:dyDescent="0.25">
      <c r="C4439" s="42"/>
    </row>
    <row r="4440" spans="3:3" x14ac:dyDescent="0.25">
      <c r="C4440" s="42"/>
    </row>
    <row r="4441" spans="3:3" x14ac:dyDescent="0.25">
      <c r="C4441" s="42"/>
    </row>
    <row r="4442" spans="3:3" x14ac:dyDescent="0.25">
      <c r="C4442" s="42"/>
    </row>
    <row r="4443" spans="3:3" x14ac:dyDescent="0.25">
      <c r="C4443" s="42"/>
    </row>
    <row r="4444" spans="3:3" x14ac:dyDescent="0.25">
      <c r="C4444" s="42"/>
    </row>
    <row r="4445" spans="3:3" x14ac:dyDescent="0.25">
      <c r="C4445" s="42"/>
    </row>
    <row r="4446" spans="3:3" x14ac:dyDescent="0.25">
      <c r="C4446" s="42"/>
    </row>
    <row r="4447" spans="3:3" x14ac:dyDescent="0.25">
      <c r="C4447" s="42"/>
    </row>
    <row r="4448" spans="3:3" x14ac:dyDescent="0.25">
      <c r="C4448" s="42"/>
    </row>
    <row r="4449" spans="3:3" x14ac:dyDescent="0.25">
      <c r="C4449" s="42"/>
    </row>
    <row r="4450" spans="3:3" x14ac:dyDescent="0.25">
      <c r="C4450" s="42"/>
    </row>
    <row r="4451" spans="3:3" x14ac:dyDescent="0.25">
      <c r="C4451" s="42"/>
    </row>
    <row r="4452" spans="3:3" x14ac:dyDescent="0.25">
      <c r="C4452" s="42"/>
    </row>
    <row r="4453" spans="3:3" x14ac:dyDescent="0.25">
      <c r="C4453" s="42"/>
    </row>
    <row r="4454" spans="3:3" x14ac:dyDescent="0.25">
      <c r="C4454" s="42"/>
    </row>
    <row r="4455" spans="3:3" x14ac:dyDescent="0.25">
      <c r="C4455" s="42"/>
    </row>
    <row r="4456" spans="3:3" x14ac:dyDescent="0.25">
      <c r="C4456" s="42"/>
    </row>
    <row r="4457" spans="3:3" x14ac:dyDescent="0.25">
      <c r="C4457" s="42"/>
    </row>
    <row r="4458" spans="3:3" x14ac:dyDescent="0.25">
      <c r="C4458" s="42"/>
    </row>
    <row r="4459" spans="3:3" x14ac:dyDescent="0.25">
      <c r="C4459" s="42"/>
    </row>
    <row r="4460" spans="3:3" x14ac:dyDescent="0.25">
      <c r="C4460" s="42"/>
    </row>
    <row r="4461" spans="3:3" x14ac:dyDescent="0.25">
      <c r="C4461" s="42"/>
    </row>
    <row r="4462" spans="3:3" x14ac:dyDescent="0.25">
      <c r="C4462" s="42"/>
    </row>
    <row r="4463" spans="3:3" x14ac:dyDescent="0.25">
      <c r="C4463" s="42"/>
    </row>
    <row r="4464" spans="3:3" x14ac:dyDescent="0.25">
      <c r="C4464" s="42"/>
    </row>
    <row r="4465" spans="3:3" x14ac:dyDescent="0.25">
      <c r="C4465" s="42"/>
    </row>
    <row r="4466" spans="3:3" x14ac:dyDescent="0.25">
      <c r="C4466" s="42"/>
    </row>
    <row r="4467" spans="3:3" x14ac:dyDescent="0.25">
      <c r="C4467" s="42"/>
    </row>
    <row r="4468" spans="3:3" x14ac:dyDescent="0.25">
      <c r="C4468" s="42"/>
    </row>
    <row r="4469" spans="3:3" x14ac:dyDescent="0.25">
      <c r="C4469" s="42"/>
    </row>
    <row r="4470" spans="3:3" x14ac:dyDescent="0.25">
      <c r="C4470" s="42"/>
    </row>
    <row r="4471" spans="3:3" x14ac:dyDescent="0.25">
      <c r="C4471" s="42"/>
    </row>
    <row r="4472" spans="3:3" x14ac:dyDescent="0.25">
      <c r="C4472" s="42"/>
    </row>
    <row r="4473" spans="3:3" x14ac:dyDescent="0.25">
      <c r="C4473" s="42"/>
    </row>
    <row r="4474" spans="3:3" x14ac:dyDescent="0.25">
      <c r="C4474" s="42"/>
    </row>
    <row r="4475" spans="3:3" x14ac:dyDescent="0.25">
      <c r="C4475" s="42"/>
    </row>
    <row r="4476" spans="3:3" x14ac:dyDescent="0.25">
      <c r="C4476" s="42"/>
    </row>
    <row r="4477" spans="3:3" x14ac:dyDescent="0.25">
      <c r="C4477" s="42"/>
    </row>
    <row r="4478" spans="3:3" x14ac:dyDescent="0.25">
      <c r="C4478" s="42"/>
    </row>
    <row r="4479" spans="3:3" x14ac:dyDescent="0.25">
      <c r="C4479" s="42"/>
    </row>
    <row r="4480" spans="3:3" x14ac:dyDescent="0.25">
      <c r="C4480" s="42"/>
    </row>
    <row r="4481" spans="3:3" x14ac:dyDescent="0.25">
      <c r="C4481" s="42"/>
    </row>
    <row r="4482" spans="3:3" x14ac:dyDescent="0.25">
      <c r="C4482" s="42"/>
    </row>
    <row r="4483" spans="3:3" x14ac:dyDescent="0.25">
      <c r="C4483" s="42"/>
    </row>
    <row r="4484" spans="3:3" x14ac:dyDescent="0.25">
      <c r="C4484" s="42"/>
    </row>
    <row r="4485" spans="3:3" x14ac:dyDescent="0.25">
      <c r="C4485" s="42"/>
    </row>
    <row r="4486" spans="3:3" x14ac:dyDescent="0.25">
      <c r="C4486" s="42"/>
    </row>
    <row r="4487" spans="3:3" x14ac:dyDescent="0.25">
      <c r="C4487" s="42"/>
    </row>
    <row r="4488" spans="3:3" x14ac:dyDescent="0.25">
      <c r="C4488" s="42"/>
    </row>
    <row r="4489" spans="3:3" x14ac:dyDescent="0.25">
      <c r="C4489" s="42"/>
    </row>
    <row r="4490" spans="3:3" x14ac:dyDescent="0.25">
      <c r="C4490" s="42"/>
    </row>
    <row r="4491" spans="3:3" x14ac:dyDescent="0.25">
      <c r="C4491" s="42"/>
    </row>
    <row r="4492" spans="3:3" x14ac:dyDescent="0.25">
      <c r="C4492" s="42"/>
    </row>
    <row r="4493" spans="3:3" x14ac:dyDescent="0.25">
      <c r="C4493" s="42"/>
    </row>
    <row r="4494" spans="3:3" x14ac:dyDescent="0.25">
      <c r="C4494" s="42"/>
    </row>
    <row r="4495" spans="3:3" x14ac:dyDescent="0.25">
      <c r="C4495" s="42"/>
    </row>
    <row r="4496" spans="3:3" x14ac:dyDescent="0.25">
      <c r="C4496" s="42"/>
    </row>
    <row r="4497" spans="3:3" x14ac:dyDescent="0.25">
      <c r="C4497" s="42"/>
    </row>
    <row r="4498" spans="3:3" x14ac:dyDescent="0.25">
      <c r="C4498" s="42"/>
    </row>
    <row r="4499" spans="3:3" x14ac:dyDescent="0.25">
      <c r="C4499" s="42"/>
    </row>
    <row r="4500" spans="3:3" x14ac:dyDescent="0.25">
      <c r="C4500" s="42"/>
    </row>
    <row r="4501" spans="3:3" x14ac:dyDescent="0.25">
      <c r="C4501" s="42"/>
    </row>
    <row r="4502" spans="3:3" x14ac:dyDescent="0.25">
      <c r="C4502" s="42"/>
    </row>
    <row r="4503" spans="3:3" x14ac:dyDescent="0.25">
      <c r="C4503" s="42"/>
    </row>
    <row r="4504" spans="3:3" x14ac:dyDescent="0.25">
      <c r="C4504" s="42"/>
    </row>
    <row r="4505" spans="3:3" x14ac:dyDescent="0.25">
      <c r="C4505" s="42"/>
    </row>
    <row r="4506" spans="3:3" x14ac:dyDescent="0.25">
      <c r="C4506" s="42"/>
    </row>
    <row r="4507" spans="3:3" x14ac:dyDescent="0.25">
      <c r="C4507" s="42"/>
    </row>
    <row r="4508" spans="3:3" x14ac:dyDescent="0.25">
      <c r="C4508" s="42"/>
    </row>
    <row r="4509" spans="3:3" x14ac:dyDescent="0.25">
      <c r="C4509" s="42"/>
    </row>
    <row r="4510" spans="3:3" x14ac:dyDescent="0.25">
      <c r="C4510" s="42"/>
    </row>
    <row r="4511" spans="3:3" x14ac:dyDescent="0.25">
      <c r="C4511" s="42"/>
    </row>
    <row r="4512" spans="3:3" x14ac:dyDescent="0.25">
      <c r="C4512" s="42"/>
    </row>
    <row r="4513" spans="3:3" x14ac:dyDescent="0.25">
      <c r="C4513" s="42"/>
    </row>
    <row r="4514" spans="3:3" x14ac:dyDescent="0.25">
      <c r="C4514" s="42"/>
    </row>
    <row r="4515" spans="3:3" x14ac:dyDescent="0.25">
      <c r="C4515" s="42"/>
    </row>
    <row r="4516" spans="3:3" x14ac:dyDescent="0.25">
      <c r="C4516" s="42"/>
    </row>
    <row r="4517" spans="3:3" x14ac:dyDescent="0.25">
      <c r="C4517" s="42"/>
    </row>
    <row r="4518" spans="3:3" x14ac:dyDescent="0.25">
      <c r="C4518" s="42"/>
    </row>
    <row r="4519" spans="3:3" x14ac:dyDescent="0.25">
      <c r="C4519" s="42"/>
    </row>
    <row r="4520" spans="3:3" x14ac:dyDescent="0.25">
      <c r="C4520" s="42"/>
    </row>
    <row r="4521" spans="3:3" x14ac:dyDescent="0.25">
      <c r="C4521" s="42"/>
    </row>
    <row r="4522" spans="3:3" x14ac:dyDescent="0.25">
      <c r="C4522" s="42"/>
    </row>
    <row r="4523" spans="3:3" x14ac:dyDescent="0.25">
      <c r="C4523" s="42"/>
    </row>
    <row r="4524" spans="3:3" x14ac:dyDescent="0.25">
      <c r="C4524" s="42"/>
    </row>
    <row r="4525" spans="3:3" x14ac:dyDescent="0.25">
      <c r="C4525" s="42"/>
    </row>
    <row r="4526" spans="3:3" x14ac:dyDescent="0.25">
      <c r="C4526" s="42"/>
    </row>
    <row r="4527" spans="3:3" x14ac:dyDescent="0.25">
      <c r="C4527" s="42"/>
    </row>
    <row r="4528" spans="3:3" x14ac:dyDescent="0.25">
      <c r="C4528" s="42"/>
    </row>
    <row r="4529" spans="3:3" x14ac:dyDescent="0.25">
      <c r="C4529" s="42"/>
    </row>
    <row r="4530" spans="3:3" x14ac:dyDescent="0.25">
      <c r="C4530" s="42"/>
    </row>
    <row r="4531" spans="3:3" x14ac:dyDescent="0.25">
      <c r="C4531" s="42"/>
    </row>
    <row r="4532" spans="3:3" x14ac:dyDescent="0.25">
      <c r="C4532" s="42"/>
    </row>
    <row r="4533" spans="3:3" x14ac:dyDescent="0.25">
      <c r="C4533" s="42"/>
    </row>
    <row r="4534" spans="3:3" x14ac:dyDescent="0.25">
      <c r="C4534" s="42"/>
    </row>
    <row r="4535" spans="3:3" x14ac:dyDescent="0.25">
      <c r="C4535" s="42"/>
    </row>
    <row r="4536" spans="3:3" x14ac:dyDescent="0.25">
      <c r="C4536" s="42"/>
    </row>
    <row r="4537" spans="3:3" x14ac:dyDescent="0.25">
      <c r="C4537" s="42"/>
    </row>
    <row r="4538" spans="3:3" x14ac:dyDescent="0.25">
      <c r="C4538" s="42"/>
    </row>
    <row r="4539" spans="3:3" x14ac:dyDescent="0.25">
      <c r="C4539" s="42"/>
    </row>
    <row r="4540" spans="3:3" x14ac:dyDescent="0.25">
      <c r="C4540" s="42"/>
    </row>
    <row r="4541" spans="3:3" x14ac:dyDescent="0.25">
      <c r="C4541" s="42"/>
    </row>
    <row r="4542" spans="3:3" x14ac:dyDescent="0.25">
      <c r="C4542" s="42"/>
    </row>
    <row r="4543" spans="3:3" x14ac:dyDescent="0.25">
      <c r="C4543" s="42"/>
    </row>
    <row r="4544" spans="3:3" x14ac:dyDescent="0.25">
      <c r="C4544" s="42"/>
    </row>
    <row r="4545" spans="3:3" x14ac:dyDescent="0.25">
      <c r="C4545" s="42"/>
    </row>
    <row r="4546" spans="3:3" x14ac:dyDescent="0.25">
      <c r="C4546" s="42"/>
    </row>
    <row r="4547" spans="3:3" x14ac:dyDescent="0.25">
      <c r="C4547" s="42"/>
    </row>
    <row r="4548" spans="3:3" x14ac:dyDescent="0.25">
      <c r="C4548" s="42"/>
    </row>
    <row r="4549" spans="3:3" x14ac:dyDescent="0.25">
      <c r="C4549" s="42"/>
    </row>
    <row r="4550" spans="3:3" x14ac:dyDescent="0.25">
      <c r="C4550" s="42"/>
    </row>
    <row r="4551" spans="3:3" x14ac:dyDescent="0.25">
      <c r="C4551" s="42"/>
    </row>
    <row r="4552" spans="3:3" x14ac:dyDescent="0.25">
      <c r="C4552" s="42"/>
    </row>
    <row r="4553" spans="3:3" x14ac:dyDescent="0.25">
      <c r="C4553" s="42"/>
    </row>
    <row r="4554" spans="3:3" x14ac:dyDescent="0.25">
      <c r="C4554" s="42"/>
    </row>
    <row r="4555" spans="3:3" x14ac:dyDescent="0.25">
      <c r="C4555" s="42"/>
    </row>
    <row r="4556" spans="3:3" x14ac:dyDescent="0.25">
      <c r="C4556" s="42"/>
    </row>
    <row r="4557" spans="3:3" x14ac:dyDescent="0.25">
      <c r="C4557" s="42"/>
    </row>
    <row r="4558" spans="3:3" x14ac:dyDescent="0.25">
      <c r="C4558" s="42"/>
    </row>
    <row r="4559" spans="3:3" x14ac:dyDescent="0.25">
      <c r="C4559" s="42"/>
    </row>
    <row r="4560" spans="3:3" x14ac:dyDescent="0.25">
      <c r="C4560" s="42"/>
    </row>
    <row r="4561" spans="3:3" x14ac:dyDescent="0.25">
      <c r="C4561" s="42"/>
    </row>
    <row r="4562" spans="3:3" x14ac:dyDescent="0.25">
      <c r="C4562" s="42"/>
    </row>
    <row r="4563" spans="3:3" x14ac:dyDescent="0.25">
      <c r="C4563" s="42"/>
    </row>
    <row r="4564" spans="3:3" x14ac:dyDescent="0.25">
      <c r="C4564" s="42"/>
    </row>
    <row r="4565" spans="3:3" x14ac:dyDescent="0.25">
      <c r="C4565" s="42"/>
    </row>
    <row r="4566" spans="3:3" x14ac:dyDescent="0.25">
      <c r="C4566" s="42"/>
    </row>
    <row r="4567" spans="3:3" x14ac:dyDescent="0.25">
      <c r="C4567" s="42"/>
    </row>
    <row r="4568" spans="3:3" x14ac:dyDescent="0.25">
      <c r="C4568" s="42"/>
    </row>
    <row r="4569" spans="3:3" x14ac:dyDescent="0.25">
      <c r="C4569" s="42"/>
    </row>
    <row r="4570" spans="3:3" x14ac:dyDescent="0.25">
      <c r="C4570" s="42"/>
    </row>
    <row r="4571" spans="3:3" x14ac:dyDescent="0.25">
      <c r="C4571" s="42"/>
    </row>
    <row r="4572" spans="3:3" x14ac:dyDescent="0.25">
      <c r="C4572" s="42"/>
    </row>
    <row r="4573" spans="3:3" x14ac:dyDescent="0.25">
      <c r="C4573" s="42"/>
    </row>
    <row r="4574" spans="3:3" x14ac:dyDescent="0.25">
      <c r="C4574" s="42"/>
    </row>
    <row r="4575" spans="3:3" x14ac:dyDescent="0.25">
      <c r="C4575" s="42"/>
    </row>
    <row r="4576" spans="3:3" x14ac:dyDescent="0.25">
      <c r="C4576" s="42"/>
    </row>
    <row r="4577" spans="3:3" x14ac:dyDescent="0.25">
      <c r="C4577" s="42"/>
    </row>
    <row r="4578" spans="3:3" x14ac:dyDescent="0.25">
      <c r="C4578" s="42"/>
    </row>
    <row r="4579" spans="3:3" x14ac:dyDescent="0.25">
      <c r="C4579" s="42"/>
    </row>
    <row r="4580" spans="3:3" x14ac:dyDescent="0.25">
      <c r="C4580" s="42"/>
    </row>
    <row r="4581" spans="3:3" x14ac:dyDescent="0.25">
      <c r="C4581" s="42"/>
    </row>
    <row r="4582" spans="3:3" x14ac:dyDescent="0.25">
      <c r="C4582" s="42"/>
    </row>
    <row r="4583" spans="3:3" x14ac:dyDescent="0.25">
      <c r="C4583" s="42"/>
    </row>
    <row r="4584" spans="3:3" x14ac:dyDescent="0.25">
      <c r="C4584" s="42"/>
    </row>
    <row r="4585" spans="3:3" x14ac:dyDescent="0.25">
      <c r="C4585" s="42"/>
    </row>
    <row r="4586" spans="3:3" x14ac:dyDescent="0.25">
      <c r="C4586" s="42"/>
    </row>
    <row r="4587" spans="3:3" x14ac:dyDescent="0.25">
      <c r="C4587" s="42"/>
    </row>
    <row r="4588" spans="3:3" x14ac:dyDescent="0.25">
      <c r="C4588" s="42"/>
    </row>
    <row r="4589" spans="3:3" x14ac:dyDescent="0.25">
      <c r="C4589" s="42"/>
    </row>
    <row r="4590" spans="3:3" x14ac:dyDescent="0.25">
      <c r="C4590" s="42"/>
    </row>
    <row r="4591" spans="3:3" x14ac:dyDescent="0.25">
      <c r="C4591" s="42"/>
    </row>
    <row r="4592" spans="3:3" x14ac:dyDescent="0.25">
      <c r="C4592" s="42"/>
    </row>
    <row r="4593" spans="3:3" x14ac:dyDescent="0.25">
      <c r="C4593" s="42"/>
    </row>
    <row r="4594" spans="3:3" x14ac:dyDescent="0.25">
      <c r="C4594" s="42"/>
    </row>
    <row r="4595" spans="3:3" x14ac:dyDescent="0.25">
      <c r="C4595" s="42"/>
    </row>
    <row r="4596" spans="3:3" x14ac:dyDescent="0.25">
      <c r="C4596" s="42"/>
    </row>
    <row r="4597" spans="3:3" x14ac:dyDescent="0.25">
      <c r="C4597" s="42"/>
    </row>
    <row r="4598" spans="3:3" x14ac:dyDescent="0.25">
      <c r="C4598" s="42"/>
    </row>
    <row r="4599" spans="3:3" x14ac:dyDescent="0.25">
      <c r="C4599" s="42"/>
    </row>
    <row r="4600" spans="3:3" x14ac:dyDescent="0.25">
      <c r="C4600" s="42"/>
    </row>
    <row r="4601" spans="3:3" x14ac:dyDescent="0.25">
      <c r="C4601" s="42"/>
    </row>
    <row r="4602" spans="3:3" x14ac:dyDescent="0.25">
      <c r="C4602" s="42"/>
    </row>
    <row r="4603" spans="3:3" x14ac:dyDescent="0.25">
      <c r="C4603" s="42"/>
    </row>
    <row r="4604" spans="3:3" x14ac:dyDescent="0.25">
      <c r="C4604" s="42"/>
    </row>
    <row r="4605" spans="3:3" x14ac:dyDescent="0.25">
      <c r="C4605" s="42"/>
    </row>
    <row r="4606" spans="3:3" x14ac:dyDescent="0.25">
      <c r="C4606" s="42"/>
    </row>
    <row r="4607" spans="3:3" x14ac:dyDescent="0.25">
      <c r="C4607" s="42"/>
    </row>
    <row r="4608" spans="3:3" x14ac:dyDescent="0.25">
      <c r="C4608" s="42"/>
    </row>
    <row r="4609" spans="3:3" x14ac:dyDescent="0.25">
      <c r="C4609" s="42"/>
    </row>
    <row r="4610" spans="3:3" x14ac:dyDescent="0.25">
      <c r="C4610" s="42"/>
    </row>
    <row r="4611" spans="3:3" x14ac:dyDescent="0.25">
      <c r="C4611" s="42"/>
    </row>
    <row r="4612" spans="3:3" x14ac:dyDescent="0.25">
      <c r="C4612" s="42"/>
    </row>
    <row r="4613" spans="3:3" x14ac:dyDescent="0.25">
      <c r="C4613" s="42"/>
    </row>
    <row r="4614" spans="3:3" x14ac:dyDescent="0.25">
      <c r="C4614" s="42"/>
    </row>
    <row r="4615" spans="3:3" x14ac:dyDescent="0.25">
      <c r="C4615" s="42"/>
    </row>
    <row r="4616" spans="3:3" x14ac:dyDescent="0.25">
      <c r="C4616" s="42"/>
    </row>
    <row r="4617" spans="3:3" x14ac:dyDescent="0.25">
      <c r="C4617" s="42"/>
    </row>
    <row r="4618" spans="3:3" x14ac:dyDescent="0.25">
      <c r="C4618" s="42"/>
    </row>
    <row r="4619" spans="3:3" x14ac:dyDescent="0.25">
      <c r="C4619" s="42"/>
    </row>
    <row r="4620" spans="3:3" x14ac:dyDescent="0.25">
      <c r="C4620" s="42"/>
    </row>
    <row r="4621" spans="3:3" x14ac:dyDescent="0.25">
      <c r="C4621" s="42"/>
    </row>
    <row r="4622" spans="3:3" x14ac:dyDescent="0.25">
      <c r="C4622" s="42"/>
    </row>
    <row r="4623" spans="3:3" x14ac:dyDescent="0.25">
      <c r="C4623" s="42"/>
    </row>
    <row r="4624" spans="3:3" x14ac:dyDescent="0.25">
      <c r="C4624" s="42"/>
    </row>
    <row r="4625" spans="3:3" x14ac:dyDescent="0.25">
      <c r="C4625" s="42"/>
    </row>
    <row r="4626" spans="3:3" x14ac:dyDescent="0.25">
      <c r="C4626" s="42"/>
    </row>
    <row r="4627" spans="3:3" x14ac:dyDescent="0.25">
      <c r="C4627" s="42"/>
    </row>
    <row r="4628" spans="3:3" x14ac:dyDescent="0.25">
      <c r="C4628" s="42"/>
    </row>
    <row r="4629" spans="3:3" x14ac:dyDescent="0.25">
      <c r="C4629" s="42"/>
    </row>
    <row r="4630" spans="3:3" x14ac:dyDescent="0.25">
      <c r="C4630" s="42"/>
    </row>
    <row r="4631" spans="3:3" x14ac:dyDescent="0.25">
      <c r="C4631" s="42"/>
    </row>
    <row r="4632" spans="3:3" x14ac:dyDescent="0.25">
      <c r="C4632" s="42"/>
    </row>
    <row r="4633" spans="3:3" x14ac:dyDescent="0.25">
      <c r="C4633" s="42"/>
    </row>
    <row r="4634" spans="3:3" x14ac:dyDescent="0.25">
      <c r="C4634" s="42"/>
    </row>
    <row r="4635" spans="3:3" x14ac:dyDescent="0.25">
      <c r="C4635" s="42"/>
    </row>
    <row r="4636" spans="3:3" x14ac:dyDescent="0.25">
      <c r="C4636" s="42"/>
    </row>
    <row r="4637" spans="3:3" x14ac:dyDescent="0.25">
      <c r="C4637" s="42"/>
    </row>
    <row r="4638" spans="3:3" x14ac:dyDescent="0.25">
      <c r="C4638" s="42"/>
    </row>
    <row r="4639" spans="3:3" x14ac:dyDescent="0.25">
      <c r="C4639" s="42"/>
    </row>
    <row r="4640" spans="3:3" x14ac:dyDescent="0.25">
      <c r="C4640" s="42"/>
    </row>
    <row r="4641" spans="3:3" x14ac:dyDescent="0.25">
      <c r="C4641" s="42"/>
    </row>
    <row r="4642" spans="3:3" x14ac:dyDescent="0.25">
      <c r="C4642" s="42"/>
    </row>
    <row r="4643" spans="3:3" x14ac:dyDescent="0.25">
      <c r="C4643" s="42"/>
    </row>
    <row r="4644" spans="3:3" x14ac:dyDescent="0.25">
      <c r="C4644" s="42"/>
    </row>
    <row r="4645" spans="3:3" x14ac:dyDescent="0.25">
      <c r="C4645" s="42"/>
    </row>
    <row r="4646" spans="3:3" x14ac:dyDescent="0.25">
      <c r="C4646" s="42"/>
    </row>
    <row r="4647" spans="3:3" x14ac:dyDescent="0.25">
      <c r="C4647" s="42"/>
    </row>
    <row r="4648" spans="3:3" x14ac:dyDescent="0.25">
      <c r="C4648" s="42"/>
    </row>
    <row r="4649" spans="3:3" x14ac:dyDescent="0.25">
      <c r="C4649" s="42"/>
    </row>
    <row r="4650" spans="3:3" x14ac:dyDescent="0.25">
      <c r="C4650" s="42"/>
    </row>
    <row r="4651" spans="3:3" x14ac:dyDescent="0.25">
      <c r="C4651" s="42"/>
    </row>
    <row r="4652" spans="3:3" x14ac:dyDescent="0.25">
      <c r="C4652" s="42"/>
    </row>
    <row r="4653" spans="3:3" x14ac:dyDescent="0.25">
      <c r="C4653" s="42"/>
    </row>
    <row r="4654" spans="3:3" x14ac:dyDescent="0.25">
      <c r="C4654" s="42"/>
    </row>
    <row r="4655" spans="3:3" x14ac:dyDescent="0.25">
      <c r="C4655" s="42"/>
    </row>
    <row r="4656" spans="3:3" x14ac:dyDescent="0.25">
      <c r="C4656" s="42"/>
    </row>
    <row r="4657" spans="3:3" x14ac:dyDescent="0.25">
      <c r="C4657" s="42"/>
    </row>
    <row r="4658" spans="3:3" x14ac:dyDescent="0.25">
      <c r="C4658" s="42"/>
    </row>
    <row r="4659" spans="3:3" x14ac:dyDescent="0.25">
      <c r="C4659" s="42"/>
    </row>
    <row r="4660" spans="3:3" x14ac:dyDescent="0.25">
      <c r="C4660" s="42"/>
    </row>
    <row r="4661" spans="3:3" x14ac:dyDescent="0.25">
      <c r="C4661" s="42"/>
    </row>
    <row r="4662" spans="3:3" x14ac:dyDescent="0.25">
      <c r="C4662" s="42"/>
    </row>
    <row r="4663" spans="3:3" x14ac:dyDescent="0.25">
      <c r="C4663" s="42"/>
    </row>
    <row r="4664" spans="3:3" x14ac:dyDescent="0.25">
      <c r="C4664" s="42"/>
    </row>
    <row r="4665" spans="3:3" x14ac:dyDescent="0.25">
      <c r="C4665" s="42"/>
    </row>
    <row r="4666" spans="3:3" x14ac:dyDescent="0.25">
      <c r="C4666" s="42"/>
    </row>
    <row r="4667" spans="3:3" x14ac:dyDescent="0.25">
      <c r="C4667" s="42"/>
    </row>
    <row r="4668" spans="3:3" x14ac:dyDescent="0.25">
      <c r="C4668" s="42"/>
    </row>
    <row r="4669" spans="3:3" x14ac:dyDescent="0.25">
      <c r="C4669" s="42"/>
    </row>
    <row r="4670" spans="3:3" x14ac:dyDescent="0.25">
      <c r="C4670" s="42"/>
    </row>
    <row r="4671" spans="3:3" x14ac:dyDescent="0.25">
      <c r="C4671" s="42"/>
    </row>
    <row r="4672" spans="3:3" x14ac:dyDescent="0.25">
      <c r="C4672" s="42"/>
    </row>
    <row r="4673" spans="3:3" x14ac:dyDescent="0.25">
      <c r="C4673" s="42"/>
    </row>
    <row r="4674" spans="3:3" x14ac:dyDescent="0.25">
      <c r="C4674" s="42"/>
    </row>
    <row r="4675" spans="3:3" x14ac:dyDescent="0.25">
      <c r="C4675" s="42"/>
    </row>
    <row r="4676" spans="3:3" x14ac:dyDescent="0.25">
      <c r="C4676" s="42"/>
    </row>
    <row r="4677" spans="3:3" x14ac:dyDescent="0.25">
      <c r="C4677" s="42"/>
    </row>
    <row r="4678" spans="3:3" x14ac:dyDescent="0.25">
      <c r="C4678" s="42"/>
    </row>
    <row r="4679" spans="3:3" x14ac:dyDescent="0.25">
      <c r="C4679" s="42"/>
    </row>
    <row r="4680" spans="3:3" x14ac:dyDescent="0.25">
      <c r="C4680" s="42"/>
    </row>
    <row r="4681" spans="3:3" x14ac:dyDescent="0.25">
      <c r="C4681" s="42"/>
    </row>
    <row r="4682" spans="3:3" x14ac:dyDescent="0.25">
      <c r="C4682" s="42"/>
    </row>
    <row r="4683" spans="3:3" x14ac:dyDescent="0.25">
      <c r="C4683" s="42"/>
    </row>
    <row r="4684" spans="3:3" x14ac:dyDescent="0.25">
      <c r="C4684" s="42"/>
    </row>
    <row r="4685" spans="3:3" x14ac:dyDescent="0.25">
      <c r="C4685" s="42"/>
    </row>
    <row r="4686" spans="3:3" x14ac:dyDescent="0.25">
      <c r="C4686" s="42"/>
    </row>
    <row r="4687" spans="3:3" x14ac:dyDescent="0.25">
      <c r="C4687" s="42"/>
    </row>
    <row r="4688" spans="3:3" x14ac:dyDescent="0.25">
      <c r="C4688" s="42"/>
    </row>
    <row r="4689" spans="3:3" x14ac:dyDescent="0.25">
      <c r="C4689" s="42"/>
    </row>
    <row r="4690" spans="3:3" x14ac:dyDescent="0.25">
      <c r="C4690" s="42"/>
    </row>
    <row r="4691" spans="3:3" x14ac:dyDescent="0.25">
      <c r="C4691" s="42"/>
    </row>
    <row r="4692" spans="3:3" x14ac:dyDescent="0.25">
      <c r="C4692" s="42"/>
    </row>
    <row r="4693" spans="3:3" x14ac:dyDescent="0.25">
      <c r="C4693" s="42"/>
    </row>
    <row r="4694" spans="3:3" x14ac:dyDescent="0.25">
      <c r="C4694" s="42"/>
    </row>
    <row r="4695" spans="3:3" x14ac:dyDescent="0.25">
      <c r="C4695" s="42"/>
    </row>
    <row r="4696" spans="3:3" x14ac:dyDescent="0.25">
      <c r="C4696" s="42"/>
    </row>
    <row r="4697" spans="3:3" x14ac:dyDescent="0.25">
      <c r="C4697" s="42"/>
    </row>
    <row r="4698" spans="3:3" x14ac:dyDescent="0.25">
      <c r="C4698" s="42"/>
    </row>
    <row r="4699" spans="3:3" x14ac:dyDescent="0.25">
      <c r="C4699" s="42"/>
    </row>
    <row r="4700" spans="3:3" x14ac:dyDescent="0.25">
      <c r="C4700" s="42"/>
    </row>
    <row r="4701" spans="3:3" x14ac:dyDescent="0.25">
      <c r="C4701" s="42"/>
    </row>
    <row r="4702" spans="3:3" x14ac:dyDescent="0.25">
      <c r="C4702" s="42"/>
    </row>
    <row r="4703" spans="3:3" x14ac:dyDescent="0.25">
      <c r="C4703" s="42"/>
    </row>
    <row r="4704" spans="3:3" x14ac:dyDescent="0.25">
      <c r="C4704" s="42"/>
    </row>
    <row r="4705" spans="3:3" x14ac:dyDescent="0.25">
      <c r="C4705" s="42"/>
    </row>
    <row r="4706" spans="3:3" x14ac:dyDescent="0.25">
      <c r="C4706" s="42"/>
    </row>
    <row r="4707" spans="3:3" x14ac:dyDescent="0.25">
      <c r="C4707" s="42"/>
    </row>
    <row r="4708" spans="3:3" x14ac:dyDescent="0.25">
      <c r="C4708" s="42"/>
    </row>
    <row r="4709" spans="3:3" x14ac:dyDescent="0.25">
      <c r="C4709" s="42"/>
    </row>
    <row r="4710" spans="3:3" x14ac:dyDescent="0.25">
      <c r="C4710" s="42"/>
    </row>
    <row r="4711" spans="3:3" x14ac:dyDescent="0.25">
      <c r="C4711" s="42"/>
    </row>
    <row r="4712" spans="3:3" x14ac:dyDescent="0.25">
      <c r="C4712" s="42"/>
    </row>
    <row r="4713" spans="3:3" x14ac:dyDescent="0.25">
      <c r="C4713" s="42"/>
    </row>
    <row r="4714" spans="3:3" x14ac:dyDescent="0.25">
      <c r="C4714" s="42"/>
    </row>
    <row r="4715" spans="3:3" x14ac:dyDescent="0.25">
      <c r="C4715" s="42"/>
    </row>
    <row r="4716" spans="3:3" x14ac:dyDescent="0.25">
      <c r="C4716" s="42"/>
    </row>
    <row r="4717" spans="3:3" x14ac:dyDescent="0.25">
      <c r="C4717" s="42"/>
    </row>
    <row r="4718" spans="3:3" x14ac:dyDescent="0.25">
      <c r="C4718" s="42"/>
    </row>
    <row r="4719" spans="3:3" x14ac:dyDescent="0.25">
      <c r="C4719" s="42"/>
    </row>
    <row r="4720" spans="3:3" x14ac:dyDescent="0.25">
      <c r="C4720" s="42"/>
    </row>
    <row r="4721" spans="3:3" x14ac:dyDescent="0.25">
      <c r="C4721" s="42"/>
    </row>
    <row r="4722" spans="3:3" x14ac:dyDescent="0.25">
      <c r="C4722" s="42"/>
    </row>
    <row r="4723" spans="3:3" x14ac:dyDescent="0.25">
      <c r="C4723" s="42"/>
    </row>
    <row r="4724" spans="3:3" x14ac:dyDescent="0.25">
      <c r="C4724" s="42"/>
    </row>
    <row r="4725" spans="3:3" x14ac:dyDescent="0.25">
      <c r="C4725" s="42"/>
    </row>
    <row r="4726" spans="3:3" x14ac:dyDescent="0.25">
      <c r="C4726" s="42"/>
    </row>
    <row r="4727" spans="3:3" x14ac:dyDescent="0.25">
      <c r="C4727" s="42"/>
    </row>
    <row r="4728" spans="3:3" x14ac:dyDescent="0.25">
      <c r="C4728" s="42"/>
    </row>
    <row r="4729" spans="3:3" x14ac:dyDescent="0.25">
      <c r="C4729" s="42"/>
    </row>
    <row r="4730" spans="3:3" x14ac:dyDescent="0.25">
      <c r="C4730" s="42"/>
    </row>
    <row r="4731" spans="3:3" x14ac:dyDescent="0.25">
      <c r="C4731" s="42"/>
    </row>
    <row r="4732" spans="3:3" x14ac:dyDescent="0.25">
      <c r="C4732" s="42"/>
    </row>
    <row r="4733" spans="3:3" x14ac:dyDescent="0.25">
      <c r="C4733" s="42"/>
    </row>
    <row r="4734" spans="3:3" x14ac:dyDescent="0.25">
      <c r="C4734" s="42"/>
    </row>
    <row r="4735" spans="3:3" x14ac:dyDescent="0.25">
      <c r="C4735" s="42"/>
    </row>
    <row r="4736" spans="3:3" x14ac:dyDescent="0.25">
      <c r="C4736" s="42"/>
    </row>
    <row r="4737" spans="3:3" x14ac:dyDescent="0.25">
      <c r="C4737" s="42"/>
    </row>
    <row r="4738" spans="3:3" x14ac:dyDescent="0.25">
      <c r="C4738" s="42"/>
    </row>
    <row r="4739" spans="3:3" x14ac:dyDescent="0.25">
      <c r="C4739" s="42"/>
    </row>
    <row r="4740" spans="3:3" x14ac:dyDescent="0.25">
      <c r="C4740" s="42"/>
    </row>
    <row r="4741" spans="3:3" x14ac:dyDescent="0.25">
      <c r="C4741" s="42"/>
    </row>
    <row r="4742" spans="3:3" x14ac:dyDescent="0.25">
      <c r="C4742" s="42"/>
    </row>
    <row r="4743" spans="3:3" x14ac:dyDescent="0.25">
      <c r="C4743" s="42"/>
    </row>
    <row r="4744" spans="3:3" x14ac:dyDescent="0.25">
      <c r="C4744" s="42"/>
    </row>
    <row r="4745" spans="3:3" x14ac:dyDescent="0.25">
      <c r="C4745" s="42"/>
    </row>
    <row r="4746" spans="3:3" x14ac:dyDescent="0.25">
      <c r="C4746" s="42"/>
    </row>
    <row r="4747" spans="3:3" x14ac:dyDescent="0.25">
      <c r="C4747" s="42"/>
    </row>
    <row r="4748" spans="3:3" x14ac:dyDescent="0.25">
      <c r="C4748" s="42"/>
    </row>
    <row r="4749" spans="3:3" x14ac:dyDescent="0.25">
      <c r="C4749" s="42"/>
    </row>
    <row r="4750" spans="3:3" x14ac:dyDescent="0.25">
      <c r="C4750" s="42"/>
    </row>
    <row r="4751" spans="3:3" x14ac:dyDescent="0.25">
      <c r="C4751" s="42"/>
    </row>
    <row r="4752" spans="3:3" x14ac:dyDescent="0.25">
      <c r="C4752" s="42"/>
    </row>
    <row r="4753" spans="3:3" x14ac:dyDescent="0.25">
      <c r="C4753" s="42"/>
    </row>
    <row r="4754" spans="3:3" x14ac:dyDescent="0.25">
      <c r="C4754" s="42"/>
    </row>
    <row r="4755" spans="3:3" x14ac:dyDescent="0.25">
      <c r="C4755" s="42"/>
    </row>
    <row r="4756" spans="3:3" x14ac:dyDescent="0.25">
      <c r="C4756" s="42"/>
    </row>
    <row r="4757" spans="3:3" x14ac:dyDescent="0.25">
      <c r="C4757" s="42"/>
    </row>
    <row r="4758" spans="3:3" x14ac:dyDescent="0.25">
      <c r="C4758" s="42"/>
    </row>
    <row r="4759" spans="3:3" x14ac:dyDescent="0.25">
      <c r="C4759" s="42"/>
    </row>
    <row r="4760" spans="3:3" x14ac:dyDescent="0.25">
      <c r="C4760" s="42"/>
    </row>
    <row r="4761" spans="3:3" x14ac:dyDescent="0.25">
      <c r="C4761" s="42"/>
    </row>
    <row r="4762" spans="3:3" x14ac:dyDescent="0.25">
      <c r="C4762" s="42"/>
    </row>
    <row r="4763" spans="3:3" x14ac:dyDescent="0.25">
      <c r="C4763" s="42"/>
    </row>
    <row r="4764" spans="3:3" x14ac:dyDescent="0.25">
      <c r="C4764" s="42"/>
    </row>
    <row r="4765" spans="3:3" x14ac:dyDescent="0.25">
      <c r="C4765" s="42"/>
    </row>
    <row r="4766" spans="3:3" x14ac:dyDescent="0.25">
      <c r="C4766" s="42"/>
    </row>
    <row r="4767" spans="3:3" x14ac:dyDescent="0.25">
      <c r="C4767" s="42"/>
    </row>
    <row r="4768" spans="3:3" x14ac:dyDescent="0.25">
      <c r="C4768" s="42"/>
    </row>
    <row r="4769" spans="3:3" x14ac:dyDescent="0.25">
      <c r="C4769" s="42"/>
    </row>
    <row r="4770" spans="3:3" x14ac:dyDescent="0.25">
      <c r="C4770" s="42"/>
    </row>
    <row r="4771" spans="3:3" x14ac:dyDescent="0.25">
      <c r="C4771" s="42"/>
    </row>
    <row r="4772" spans="3:3" x14ac:dyDescent="0.25">
      <c r="C4772" s="42"/>
    </row>
    <row r="4773" spans="3:3" x14ac:dyDescent="0.25">
      <c r="C4773" s="42"/>
    </row>
    <row r="4774" spans="3:3" x14ac:dyDescent="0.25">
      <c r="C4774" s="42"/>
    </row>
    <row r="4775" spans="3:3" x14ac:dyDescent="0.25">
      <c r="C4775" s="42"/>
    </row>
    <row r="4776" spans="3:3" x14ac:dyDescent="0.25">
      <c r="C4776" s="42"/>
    </row>
    <row r="4777" spans="3:3" x14ac:dyDescent="0.25">
      <c r="C4777" s="42"/>
    </row>
    <row r="4778" spans="3:3" x14ac:dyDescent="0.25">
      <c r="C4778" s="42"/>
    </row>
    <row r="4779" spans="3:3" x14ac:dyDescent="0.25">
      <c r="C4779" s="42"/>
    </row>
    <row r="4780" spans="3:3" x14ac:dyDescent="0.25">
      <c r="C4780" s="42"/>
    </row>
    <row r="4781" spans="3:3" x14ac:dyDescent="0.25">
      <c r="C4781" s="42"/>
    </row>
    <row r="4782" spans="3:3" x14ac:dyDescent="0.25">
      <c r="C4782" s="42"/>
    </row>
    <row r="4783" spans="3:3" x14ac:dyDescent="0.25">
      <c r="C4783" s="42"/>
    </row>
    <row r="4784" spans="3:3" x14ac:dyDescent="0.25">
      <c r="C4784" s="42"/>
    </row>
    <row r="4785" spans="3:3" x14ac:dyDescent="0.25">
      <c r="C4785" s="42"/>
    </row>
    <row r="4786" spans="3:3" x14ac:dyDescent="0.25">
      <c r="C4786" s="42"/>
    </row>
    <row r="4787" spans="3:3" x14ac:dyDescent="0.25">
      <c r="C4787" s="42"/>
    </row>
    <row r="4788" spans="3:3" x14ac:dyDescent="0.25">
      <c r="C4788" s="42"/>
    </row>
    <row r="4789" spans="3:3" x14ac:dyDescent="0.25">
      <c r="C4789" s="42"/>
    </row>
    <row r="4790" spans="3:3" x14ac:dyDescent="0.25">
      <c r="C4790" s="42"/>
    </row>
    <row r="4791" spans="3:3" x14ac:dyDescent="0.25">
      <c r="C4791" s="42"/>
    </row>
    <row r="4792" spans="3:3" x14ac:dyDescent="0.25">
      <c r="C4792" s="42"/>
    </row>
    <row r="4793" spans="3:3" x14ac:dyDescent="0.25">
      <c r="C4793" s="42"/>
    </row>
    <row r="4794" spans="3:3" x14ac:dyDescent="0.25">
      <c r="C4794" s="42"/>
    </row>
    <row r="4795" spans="3:3" x14ac:dyDescent="0.25">
      <c r="C4795" s="42"/>
    </row>
    <row r="4796" spans="3:3" x14ac:dyDescent="0.25">
      <c r="C4796" s="42"/>
    </row>
    <row r="4797" spans="3:3" x14ac:dyDescent="0.25">
      <c r="C4797" s="42"/>
    </row>
    <row r="4798" spans="3:3" x14ac:dyDescent="0.25">
      <c r="C4798" s="42"/>
    </row>
    <row r="4799" spans="3:3" x14ac:dyDescent="0.25">
      <c r="C4799" s="42"/>
    </row>
    <row r="4800" spans="3:3" x14ac:dyDescent="0.25">
      <c r="C4800" s="42"/>
    </row>
    <row r="4801" spans="3:3" x14ac:dyDescent="0.25">
      <c r="C4801" s="42"/>
    </row>
    <row r="4802" spans="3:3" x14ac:dyDescent="0.25">
      <c r="C4802" s="42"/>
    </row>
    <row r="4803" spans="3:3" x14ac:dyDescent="0.25">
      <c r="C4803" s="42"/>
    </row>
    <row r="4804" spans="3:3" x14ac:dyDescent="0.25">
      <c r="C4804" s="42"/>
    </row>
    <row r="4805" spans="3:3" x14ac:dyDescent="0.25">
      <c r="C4805" s="42"/>
    </row>
    <row r="4806" spans="3:3" x14ac:dyDescent="0.25">
      <c r="C4806" s="42"/>
    </row>
    <row r="4807" spans="3:3" x14ac:dyDescent="0.25">
      <c r="C4807" s="42"/>
    </row>
    <row r="4808" spans="3:3" x14ac:dyDescent="0.25">
      <c r="C4808" s="42"/>
    </row>
    <row r="4809" spans="3:3" x14ac:dyDescent="0.25">
      <c r="C4809" s="42"/>
    </row>
    <row r="4810" spans="3:3" x14ac:dyDescent="0.25">
      <c r="C4810" s="42"/>
    </row>
    <row r="4811" spans="3:3" x14ac:dyDescent="0.25">
      <c r="C4811" s="42"/>
    </row>
    <row r="4812" spans="3:3" x14ac:dyDescent="0.25">
      <c r="C4812" s="42"/>
    </row>
    <row r="4813" spans="3:3" x14ac:dyDescent="0.25">
      <c r="C4813" s="42"/>
    </row>
    <row r="4814" spans="3:3" x14ac:dyDescent="0.25">
      <c r="C4814" s="42"/>
    </row>
    <row r="4815" spans="3:3" x14ac:dyDescent="0.25">
      <c r="C4815" s="42"/>
    </row>
    <row r="4816" spans="3:3" x14ac:dyDescent="0.25">
      <c r="C4816" s="42"/>
    </row>
    <row r="4817" spans="3:3" x14ac:dyDescent="0.25">
      <c r="C4817" s="42"/>
    </row>
    <row r="4818" spans="3:3" x14ac:dyDescent="0.25">
      <c r="C4818" s="42"/>
    </row>
    <row r="4819" spans="3:3" x14ac:dyDescent="0.25">
      <c r="C4819" s="42"/>
    </row>
    <row r="4820" spans="3:3" x14ac:dyDescent="0.25">
      <c r="C4820" s="42"/>
    </row>
    <row r="4821" spans="3:3" x14ac:dyDescent="0.25">
      <c r="C4821" s="42"/>
    </row>
    <row r="4822" spans="3:3" x14ac:dyDescent="0.25">
      <c r="C4822" s="42"/>
    </row>
    <row r="4823" spans="3:3" x14ac:dyDescent="0.25">
      <c r="C4823" s="42"/>
    </row>
    <row r="4824" spans="3:3" x14ac:dyDescent="0.25">
      <c r="C4824" s="42"/>
    </row>
    <row r="4825" spans="3:3" x14ac:dyDescent="0.25">
      <c r="C4825" s="42"/>
    </row>
    <row r="4826" spans="3:3" x14ac:dyDescent="0.25">
      <c r="C4826" s="42"/>
    </row>
    <row r="4827" spans="3:3" x14ac:dyDescent="0.25">
      <c r="C4827" s="42"/>
    </row>
    <row r="4828" spans="3:3" x14ac:dyDescent="0.25">
      <c r="C4828" s="42"/>
    </row>
    <row r="4829" spans="3:3" x14ac:dyDescent="0.25">
      <c r="C4829" s="42"/>
    </row>
    <row r="4830" spans="3:3" x14ac:dyDescent="0.25">
      <c r="C4830" s="42"/>
    </row>
    <row r="4831" spans="3:3" x14ac:dyDescent="0.25">
      <c r="C4831" s="42"/>
    </row>
    <row r="4832" spans="3:3" x14ac:dyDescent="0.25">
      <c r="C4832" s="42"/>
    </row>
    <row r="4833" spans="3:3" x14ac:dyDescent="0.25">
      <c r="C4833" s="42"/>
    </row>
    <row r="4834" spans="3:3" x14ac:dyDescent="0.25">
      <c r="C4834" s="42"/>
    </row>
    <row r="4835" spans="3:3" x14ac:dyDescent="0.25">
      <c r="C4835" s="42"/>
    </row>
    <row r="4836" spans="3:3" x14ac:dyDescent="0.25">
      <c r="C4836" s="42"/>
    </row>
    <row r="4837" spans="3:3" x14ac:dyDescent="0.25">
      <c r="C4837" s="42"/>
    </row>
    <row r="4838" spans="3:3" x14ac:dyDescent="0.25">
      <c r="C4838" s="42"/>
    </row>
    <row r="4839" spans="3:3" x14ac:dyDescent="0.25">
      <c r="C4839" s="42"/>
    </row>
    <row r="4840" spans="3:3" x14ac:dyDescent="0.25">
      <c r="C4840" s="42"/>
    </row>
    <row r="4841" spans="3:3" x14ac:dyDescent="0.25">
      <c r="C4841" s="42"/>
    </row>
    <row r="4842" spans="3:3" x14ac:dyDescent="0.25">
      <c r="C4842" s="42"/>
    </row>
    <row r="4843" spans="3:3" x14ac:dyDescent="0.25">
      <c r="C4843" s="42"/>
    </row>
    <row r="4844" spans="3:3" x14ac:dyDescent="0.25">
      <c r="C4844" s="42"/>
    </row>
    <row r="4845" spans="3:3" x14ac:dyDescent="0.25">
      <c r="C4845" s="42"/>
    </row>
    <row r="4846" spans="3:3" x14ac:dyDescent="0.25">
      <c r="C4846" s="42"/>
    </row>
    <row r="4847" spans="3:3" x14ac:dyDescent="0.25">
      <c r="C4847" s="42"/>
    </row>
    <row r="4848" spans="3:3" x14ac:dyDescent="0.25">
      <c r="C4848" s="42"/>
    </row>
    <row r="4849" spans="3:3" x14ac:dyDescent="0.25">
      <c r="C4849" s="42"/>
    </row>
    <row r="4850" spans="3:3" x14ac:dyDescent="0.25">
      <c r="C4850" s="42"/>
    </row>
    <row r="4851" spans="3:3" x14ac:dyDescent="0.25">
      <c r="C4851" s="42"/>
    </row>
    <row r="4852" spans="3:3" x14ac:dyDescent="0.25">
      <c r="C4852" s="42"/>
    </row>
    <row r="4853" spans="3:3" x14ac:dyDescent="0.25">
      <c r="C4853" s="42"/>
    </row>
    <row r="4854" spans="3:3" x14ac:dyDescent="0.25">
      <c r="C4854" s="42"/>
    </row>
    <row r="4855" spans="3:3" x14ac:dyDescent="0.25">
      <c r="C4855" s="42"/>
    </row>
    <row r="4856" spans="3:3" x14ac:dyDescent="0.25">
      <c r="C4856" s="42"/>
    </row>
    <row r="4857" spans="3:3" x14ac:dyDescent="0.25">
      <c r="C4857" s="42"/>
    </row>
    <row r="4858" spans="3:3" x14ac:dyDescent="0.25">
      <c r="C4858" s="42"/>
    </row>
    <row r="4859" spans="3:3" x14ac:dyDescent="0.25">
      <c r="C4859" s="42"/>
    </row>
    <row r="4860" spans="3:3" x14ac:dyDescent="0.25">
      <c r="C4860" s="42"/>
    </row>
    <row r="4861" spans="3:3" x14ac:dyDescent="0.25">
      <c r="C4861" s="42"/>
    </row>
    <row r="4862" spans="3:3" x14ac:dyDescent="0.25">
      <c r="C4862" s="42"/>
    </row>
    <row r="4863" spans="3:3" x14ac:dyDescent="0.25">
      <c r="C4863" s="42"/>
    </row>
    <row r="4864" spans="3:3" x14ac:dyDescent="0.25">
      <c r="C4864" s="42"/>
    </row>
    <row r="4865" spans="3:3" x14ac:dyDescent="0.25">
      <c r="C4865" s="42"/>
    </row>
    <row r="4866" spans="3:3" x14ac:dyDescent="0.25">
      <c r="C4866" s="42"/>
    </row>
    <row r="4867" spans="3:3" x14ac:dyDescent="0.25">
      <c r="C4867" s="42"/>
    </row>
    <row r="4868" spans="3:3" x14ac:dyDescent="0.25">
      <c r="C4868" s="42"/>
    </row>
    <row r="4869" spans="3:3" x14ac:dyDescent="0.25">
      <c r="C4869" s="42"/>
    </row>
    <row r="4870" spans="3:3" x14ac:dyDescent="0.25">
      <c r="C4870" s="42"/>
    </row>
    <row r="4871" spans="3:3" x14ac:dyDescent="0.25">
      <c r="C4871" s="42"/>
    </row>
    <row r="4872" spans="3:3" x14ac:dyDescent="0.25">
      <c r="C4872" s="42"/>
    </row>
    <row r="4873" spans="3:3" x14ac:dyDescent="0.25">
      <c r="C4873" s="42"/>
    </row>
    <row r="4874" spans="3:3" x14ac:dyDescent="0.25">
      <c r="C4874" s="42"/>
    </row>
    <row r="4875" spans="3:3" x14ac:dyDescent="0.25">
      <c r="C4875" s="42"/>
    </row>
    <row r="4876" spans="3:3" x14ac:dyDescent="0.25">
      <c r="C4876" s="42"/>
    </row>
    <row r="4877" spans="3:3" x14ac:dyDescent="0.25">
      <c r="C4877" s="42"/>
    </row>
    <row r="4878" spans="3:3" x14ac:dyDescent="0.25">
      <c r="C4878" s="42"/>
    </row>
    <row r="4879" spans="3:3" x14ac:dyDescent="0.25">
      <c r="C4879" s="42"/>
    </row>
    <row r="4880" spans="3:3" x14ac:dyDescent="0.25">
      <c r="C4880" s="42"/>
    </row>
    <row r="4881" spans="3:3" x14ac:dyDescent="0.25">
      <c r="C4881" s="42"/>
    </row>
    <row r="4882" spans="3:3" x14ac:dyDescent="0.25">
      <c r="C4882" s="42"/>
    </row>
    <row r="4883" spans="3:3" x14ac:dyDescent="0.25">
      <c r="C4883" s="42"/>
    </row>
    <row r="4884" spans="3:3" x14ac:dyDescent="0.25">
      <c r="C4884" s="42"/>
    </row>
    <row r="4885" spans="3:3" x14ac:dyDescent="0.25">
      <c r="C4885" s="42"/>
    </row>
    <row r="4886" spans="3:3" x14ac:dyDescent="0.25">
      <c r="C4886" s="42"/>
    </row>
    <row r="4887" spans="3:3" x14ac:dyDescent="0.25">
      <c r="C4887" s="42"/>
    </row>
    <row r="4888" spans="3:3" x14ac:dyDescent="0.25">
      <c r="C4888" s="42"/>
    </row>
    <row r="4889" spans="3:3" x14ac:dyDescent="0.25">
      <c r="C4889" s="42"/>
    </row>
    <row r="4890" spans="3:3" x14ac:dyDescent="0.25">
      <c r="C4890" s="42"/>
    </row>
    <row r="4891" spans="3:3" x14ac:dyDescent="0.25">
      <c r="C4891" s="42"/>
    </row>
    <row r="4892" spans="3:3" x14ac:dyDescent="0.25">
      <c r="C4892" s="42"/>
    </row>
    <row r="4893" spans="3:3" x14ac:dyDescent="0.25">
      <c r="C4893" s="42"/>
    </row>
    <row r="4894" spans="3:3" x14ac:dyDescent="0.25">
      <c r="C4894" s="42"/>
    </row>
    <row r="4895" spans="3:3" x14ac:dyDescent="0.25">
      <c r="C4895" s="42"/>
    </row>
    <row r="4896" spans="3:3" x14ac:dyDescent="0.25">
      <c r="C4896" s="42"/>
    </row>
    <row r="4897" spans="3:3" x14ac:dyDescent="0.25">
      <c r="C4897" s="42"/>
    </row>
    <row r="4898" spans="3:3" x14ac:dyDescent="0.25">
      <c r="C4898" s="42"/>
    </row>
    <row r="4899" spans="3:3" x14ac:dyDescent="0.25">
      <c r="C4899" s="42"/>
    </row>
    <row r="4900" spans="3:3" x14ac:dyDescent="0.25">
      <c r="C4900" s="42"/>
    </row>
    <row r="4901" spans="3:3" x14ac:dyDescent="0.25">
      <c r="C4901" s="42"/>
    </row>
    <row r="4902" spans="3:3" x14ac:dyDescent="0.25">
      <c r="C4902" s="42"/>
    </row>
    <row r="4903" spans="3:3" x14ac:dyDescent="0.25">
      <c r="C4903" s="42"/>
    </row>
    <row r="4904" spans="3:3" x14ac:dyDescent="0.25">
      <c r="C4904" s="42"/>
    </row>
    <row r="4905" spans="3:3" x14ac:dyDescent="0.25">
      <c r="C4905" s="42"/>
    </row>
    <row r="4906" spans="3:3" x14ac:dyDescent="0.25">
      <c r="C4906" s="42"/>
    </row>
    <row r="4907" spans="3:3" x14ac:dyDescent="0.25">
      <c r="C4907" s="42"/>
    </row>
    <row r="4908" spans="3:3" x14ac:dyDescent="0.25">
      <c r="C4908" s="42"/>
    </row>
    <row r="4909" spans="3:3" x14ac:dyDescent="0.25">
      <c r="C4909" s="42"/>
    </row>
    <row r="4910" spans="3:3" x14ac:dyDescent="0.25">
      <c r="C4910" s="42"/>
    </row>
    <row r="4911" spans="3:3" x14ac:dyDescent="0.25">
      <c r="C4911" s="42"/>
    </row>
    <row r="4912" spans="3:3" x14ac:dyDescent="0.25">
      <c r="C4912" s="42"/>
    </row>
    <row r="4913" spans="3:3" x14ac:dyDescent="0.25">
      <c r="C4913" s="42"/>
    </row>
    <row r="4914" spans="3:3" x14ac:dyDescent="0.25">
      <c r="C4914" s="42"/>
    </row>
    <row r="4915" spans="3:3" x14ac:dyDescent="0.25">
      <c r="C4915" s="42"/>
    </row>
    <row r="4916" spans="3:3" x14ac:dyDescent="0.25">
      <c r="C4916" s="42"/>
    </row>
    <row r="4917" spans="3:3" x14ac:dyDescent="0.25">
      <c r="C4917" s="42"/>
    </row>
    <row r="4918" spans="3:3" x14ac:dyDescent="0.25">
      <c r="C4918" s="42"/>
    </row>
    <row r="4919" spans="3:3" x14ac:dyDescent="0.25">
      <c r="C4919" s="42"/>
    </row>
    <row r="4920" spans="3:3" x14ac:dyDescent="0.25">
      <c r="C4920" s="42"/>
    </row>
    <row r="4921" spans="3:3" x14ac:dyDescent="0.25">
      <c r="C4921" s="42"/>
    </row>
    <row r="4922" spans="3:3" x14ac:dyDescent="0.25">
      <c r="C4922" s="42"/>
    </row>
    <row r="4923" spans="3:3" x14ac:dyDescent="0.25">
      <c r="C4923" s="42"/>
    </row>
    <row r="4924" spans="3:3" x14ac:dyDescent="0.25">
      <c r="C4924" s="42"/>
    </row>
    <row r="4925" spans="3:3" x14ac:dyDescent="0.25">
      <c r="C4925" s="42"/>
    </row>
    <row r="4926" spans="3:3" x14ac:dyDescent="0.25">
      <c r="C4926" s="42"/>
    </row>
    <row r="4927" spans="3:3" x14ac:dyDescent="0.25">
      <c r="C4927" s="42"/>
    </row>
    <row r="4928" spans="3:3" x14ac:dyDescent="0.25">
      <c r="C4928" s="42"/>
    </row>
    <row r="4929" spans="3:3" x14ac:dyDescent="0.25">
      <c r="C4929" s="42"/>
    </row>
    <row r="4930" spans="3:3" x14ac:dyDescent="0.25">
      <c r="C4930" s="42"/>
    </row>
    <row r="4931" spans="3:3" x14ac:dyDescent="0.25">
      <c r="C4931" s="42"/>
    </row>
    <row r="4932" spans="3:3" x14ac:dyDescent="0.25">
      <c r="C4932" s="42"/>
    </row>
    <row r="4933" spans="3:3" x14ac:dyDescent="0.25">
      <c r="C4933" s="42"/>
    </row>
    <row r="4934" spans="3:3" x14ac:dyDescent="0.25">
      <c r="C4934" s="42"/>
    </row>
    <row r="4935" spans="3:3" x14ac:dyDescent="0.25">
      <c r="C4935" s="42"/>
    </row>
    <row r="4936" spans="3:3" x14ac:dyDescent="0.25">
      <c r="C4936" s="42"/>
    </row>
    <row r="4937" spans="3:3" x14ac:dyDescent="0.25">
      <c r="C4937" s="42"/>
    </row>
    <row r="4938" spans="3:3" x14ac:dyDescent="0.25">
      <c r="C4938" s="42"/>
    </row>
    <row r="4939" spans="3:3" x14ac:dyDescent="0.25">
      <c r="C4939" s="42"/>
    </row>
    <row r="4940" spans="3:3" x14ac:dyDescent="0.25">
      <c r="C4940" s="42"/>
    </row>
    <row r="4941" spans="3:3" x14ac:dyDescent="0.25">
      <c r="C4941" s="42"/>
    </row>
    <row r="4942" spans="3:3" x14ac:dyDescent="0.25">
      <c r="C4942" s="42"/>
    </row>
    <row r="4943" spans="3:3" x14ac:dyDescent="0.25">
      <c r="C4943" s="42"/>
    </row>
    <row r="4944" spans="3:3" x14ac:dyDescent="0.25">
      <c r="C4944" s="42"/>
    </row>
    <row r="4945" spans="3:3" x14ac:dyDescent="0.25">
      <c r="C4945" s="42"/>
    </row>
    <row r="4946" spans="3:3" x14ac:dyDescent="0.25">
      <c r="C4946" s="42"/>
    </row>
    <row r="4947" spans="3:3" x14ac:dyDescent="0.25">
      <c r="C4947" s="42"/>
    </row>
    <row r="4948" spans="3:3" x14ac:dyDescent="0.25">
      <c r="C4948" s="42"/>
    </row>
    <row r="4949" spans="3:3" x14ac:dyDescent="0.25">
      <c r="C4949" s="42"/>
    </row>
    <row r="4950" spans="3:3" x14ac:dyDescent="0.25">
      <c r="C4950" s="42"/>
    </row>
    <row r="4951" spans="3:3" x14ac:dyDescent="0.25">
      <c r="C4951" s="42"/>
    </row>
    <row r="4952" spans="3:3" x14ac:dyDescent="0.25">
      <c r="C4952" s="42"/>
    </row>
    <row r="4953" spans="3:3" x14ac:dyDescent="0.25">
      <c r="C4953" s="42"/>
    </row>
    <row r="4954" spans="3:3" x14ac:dyDescent="0.25">
      <c r="C4954" s="42"/>
    </row>
    <row r="4955" spans="3:3" x14ac:dyDescent="0.25">
      <c r="C4955" s="42"/>
    </row>
    <row r="4956" spans="3:3" x14ac:dyDescent="0.25">
      <c r="C4956" s="42"/>
    </row>
    <row r="4957" spans="3:3" x14ac:dyDescent="0.25">
      <c r="C4957" s="42"/>
    </row>
    <row r="4958" spans="3:3" x14ac:dyDescent="0.25">
      <c r="C4958" s="42"/>
    </row>
    <row r="4959" spans="3:3" x14ac:dyDescent="0.25">
      <c r="C4959" s="42"/>
    </row>
    <row r="4960" spans="3:3" x14ac:dyDescent="0.25">
      <c r="C4960" s="42"/>
    </row>
    <row r="4961" spans="3:3" x14ac:dyDescent="0.25">
      <c r="C4961" s="42"/>
    </row>
    <row r="4962" spans="3:3" x14ac:dyDescent="0.25">
      <c r="C4962" s="42"/>
    </row>
    <row r="4963" spans="3:3" x14ac:dyDescent="0.25">
      <c r="C4963" s="42"/>
    </row>
    <row r="4964" spans="3:3" x14ac:dyDescent="0.25">
      <c r="C4964" s="42"/>
    </row>
    <row r="4965" spans="3:3" x14ac:dyDescent="0.25">
      <c r="C4965" s="42"/>
    </row>
    <row r="4966" spans="3:3" x14ac:dyDescent="0.25">
      <c r="C4966" s="42"/>
    </row>
    <row r="4967" spans="3:3" x14ac:dyDescent="0.25">
      <c r="C4967" s="42"/>
    </row>
    <row r="4968" spans="3:3" x14ac:dyDescent="0.25">
      <c r="C4968" s="42"/>
    </row>
    <row r="4969" spans="3:3" x14ac:dyDescent="0.25">
      <c r="C4969" s="42"/>
    </row>
    <row r="4970" spans="3:3" x14ac:dyDescent="0.25">
      <c r="C4970" s="42"/>
    </row>
    <row r="4971" spans="3:3" x14ac:dyDescent="0.25">
      <c r="C4971" s="42"/>
    </row>
    <row r="4972" spans="3:3" x14ac:dyDescent="0.25">
      <c r="C4972" s="42"/>
    </row>
    <row r="4973" spans="3:3" x14ac:dyDescent="0.25">
      <c r="C4973" s="42"/>
    </row>
    <row r="4974" spans="3:3" x14ac:dyDescent="0.25">
      <c r="C4974" s="42"/>
    </row>
    <row r="4975" spans="3:3" x14ac:dyDescent="0.25">
      <c r="C4975" s="42"/>
    </row>
    <row r="4976" spans="3:3" x14ac:dyDescent="0.25">
      <c r="C4976" s="42"/>
    </row>
    <row r="4977" spans="3:3" x14ac:dyDescent="0.25">
      <c r="C4977" s="42"/>
    </row>
    <row r="4978" spans="3:3" x14ac:dyDescent="0.25">
      <c r="C4978" s="42"/>
    </row>
    <row r="4979" spans="3:3" x14ac:dyDescent="0.25">
      <c r="C4979" s="42"/>
    </row>
    <row r="4980" spans="3:3" x14ac:dyDescent="0.25">
      <c r="C4980" s="42"/>
    </row>
    <row r="4981" spans="3:3" x14ac:dyDescent="0.25">
      <c r="C4981" s="42"/>
    </row>
    <row r="4982" spans="3:3" x14ac:dyDescent="0.25">
      <c r="C4982" s="42"/>
    </row>
    <row r="4983" spans="3:3" x14ac:dyDescent="0.25">
      <c r="C4983" s="42"/>
    </row>
    <row r="4984" spans="3:3" x14ac:dyDescent="0.25">
      <c r="C4984" s="42"/>
    </row>
    <row r="4985" spans="3:3" x14ac:dyDescent="0.25">
      <c r="C4985" s="42"/>
    </row>
    <row r="4986" spans="3:3" x14ac:dyDescent="0.25">
      <c r="C4986" s="42"/>
    </row>
    <row r="4987" spans="3:3" x14ac:dyDescent="0.25">
      <c r="C4987" s="42"/>
    </row>
    <row r="4988" spans="3:3" x14ac:dyDescent="0.25">
      <c r="C4988" s="42"/>
    </row>
    <row r="4989" spans="3:3" x14ac:dyDescent="0.25">
      <c r="C4989" s="42"/>
    </row>
    <row r="4990" spans="3:3" x14ac:dyDescent="0.25">
      <c r="C4990" s="42"/>
    </row>
    <row r="4991" spans="3:3" x14ac:dyDescent="0.25">
      <c r="C4991" s="42"/>
    </row>
    <row r="4992" spans="3:3" x14ac:dyDescent="0.25">
      <c r="C4992" s="42"/>
    </row>
    <row r="4993" spans="3:3" x14ac:dyDescent="0.25">
      <c r="C4993" s="42"/>
    </row>
    <row r="4994" spans="3:3" x14ac:dyDescent="0.25">
      <c r="C4994" s="42"/>
    </row>
    <row r="4995" spans="3:3" x14ac:dyDescent="0.25">
      <c r="C4995" s="42"/>
    </row>
    <row r="4996" spans="3:3" x14ac:dyDescent="0.25">
      <c r="C4996" s="42"/>
    </row>
    <row r="4997" spans="3:3" x14ac:dyDescent="0.25">
      <c r="C4997" s="42"/>
    </row>
    <row r="4998" spans="3:3" x14ac:dyDescent="0.25">
      <c r="C4998" s="42"/>
    </row>
    <row r="4999" spans="3:3" x14ac:dyDescent="0.25">
      <c r="C4999" s="42"/>
    </row>
    <row r="5000" spans="3:3" x14ac:dyDescent="0.25">
      <c r="C5000" s="42"/>
    </row>
    <row r="5001" spans="3:3" x14ac:dyDescent="0.25">
      <c r="C5001" s="42"/>
    </row>
    <row r="5002" spans="3:3" x14ac:dyDescent="0.25">
      <c r="C5002" s="42"/>
    </row>
    <row r="5003" spans="3:3" x14ac:dyDescent="0.25">
      <c r="C5003" s="42"/>
    </row>
    <row r="5004" spans="3:3" x14ac:dyDescent="0.25">
      <c r="C5004" s="42"/>
    </row>
    <row r="5005" spans="3:3" x14ac:dyDescent="0.25">
      <c r="C5005" s="42"/>
    </row>
    <row r="5006" spans="3:3" x14ac:dyDescent="0.25">
      <c r="C5006" s="42"/>
    </row>
    <row r="5007" spans="3:3" x14ac:dyDescent="0.25">
      <c r="C5007" s="42"/>
    </row>
    <row r="5008" spans="3:3" x14ac:dyDescent="0.25">
      <c r="C5008" s="42"/>
    </row>
    <row r="5009" spans="3:3" x14ac:dyDescent="0.25">
      <c r="C5009" s="42"/>
    </row>
    <row r="5010" spans="3:3" x14ac:dyDescent="0.25">
      <c r="C5010" s="42"/>
    </row>
    <row r="5011" spans="3:3" x14ac:dyDescent="0.25">
      <c r="C5011" s="42"/>
    </row>
    <row r="5012" spans="3:3" x14ac:dyDescent="0.25">
      <c r="C5012" s="42"/>
    </row>
    <row r="5013" spans="3:3" x14ac:dyDescent="0.25">
      <c r="C5013" s="42"/>
    </row>
    <row r="5014" spans="3:3" x14ac:dyDescent="0.25">
      <c r="C5014" s="42"/>
    </row>
    <row r="5015" spans="3:3" x14ac:dyDescent="0.25">
      <c r="C5015" s="42"/>
    </row>
    <row r="5016" spans="3:3" x14ac:dyDescent="0.25">
      <c r="C5016" s="42"/>
    </row>
    <row r="5017" spans="3:3" x14ac:dyDescent="0.25">
      <c r="C5017" s="42"/>
    </row>
    <row r="5018" spans="3:3" x14ac:dyDescent="0.25">
      <c r="C5018" s="42"/>
    </row>
    <row r="5019" spans="3:3" x14ac:dyDescent="0.25">
      <c r="C5019" s="42"/>
    </row>
    <row r="5020" spans="3:3" x14ac:dyDescent="0.25">
      <c r="C5020" s="42"/>
    </row>
    <row r="5021" spans="3:3" x14ac:dyDescent="0.25">
      <c r="C5021" s="42"/>
    </row>
    <row r="5022" spans="3:3" x14ac:dyDescent="0.25">
      <c r="C5022" s="42"/>
    </row>
    <row r="5023" spans="3:3" x14ac:dyDescent="0.25">
      <c r="C5023" s="42"/>
    </row>
    <row r="5024" spans="3:3" x14ac:dyDescent="0.25">
      <c r="C5024" s="42"/>
    </row>
    <row r="5025" spans="3:3" x14ac:dyDescent="0.25">
      <c r="C5025" s="42"/>
    </row>
    <row r="5026" spans="3:3" x14ac:dyDescent="0.25">
      <c r="C5026" s="42"/>
    </row>
    <row r="5027" spans="3:3" x14ac:dyDescent="0.25">
      <c r="C5027" s="42"/>
    </row>
    <row r="5028" spans="3:3" x14ac:dyDescent="0.25">
      <c r="C5028" s="42"/>
    </row>
    <row r="5029" spans="3:3" x14ac:dyDescent="0.25">
      <c r="C5029" s="42"/>
    </row>
    <row r="5030" spans="3:3" x14ac:dyDescent="0.25">
      <c r="C5030" s="42"/>
    </row>
    <row r="5031" spans="3:3" x14ac:dyDescent="0.25">
      <c r="C5031" s="42"/>
    </row>
    <row r="5032" spans="3:3" x14ac:dyDescent="0.25">
      <c r="C5032" s="42"/>
    </row>
    <row r="5033" spans="3:3" x14ac:dyDescent="0.25">
      <c r="C5033" s="42"/>
    </row>
    <row r="5034" spans="3:3" x14ac:dyDescent="0.25">
      <c r="C5034" s="42"/>
    </row>
    <row r="5035" spans="3:3" x14ac:dyDescent="0.25">
      <c r="C5035" s="42"/>
    </row>
    <row r="5036" spans="3:3" x14ac:dyDescent="0.25">
      <c r="C5036" s="42"/>
    </row>
    <row r="5037" spans="3:3" x14ac:dyDescent="0.25">
      <c r="C5037" s="42"/>
    </row>
    <row r="5038" spans="3:3" x14ac:dyDescent="0.25">
      <c r="C5038" s="42"/>
    </row>
    <row r="5039" spans="3:3" x14ac:dyDescent="0.25">
      <c r="C5039" s="42"/>
    </row>
    <row r="5040" spans="3:3" x14ac:dyDescent="0.25">
      <c r="C5040" s="42"/>
    </row>
    <row r="5041" spans="3:3" x14ac:dyDescent="0.25">
      <c r="C5041" s="42"/>
    </row>
    <row r="5042" spans="3:3" x14ac:dyDescent="0.25">
      <c r="C5042" s="42"/>
    </row>
    <row r="5043" spans="3:3" x14ac:dyDescent="0.25">
      <c r="C5043" s="42"/>
    </row>
    <row r="5044" spans="3:3" x14ac:dyDescent="0.25">
      <c r="C5044" s="42"/>
    </row>
    <row r="5045" spans="3:3" x14ac:dyDescent="0.25">
      <c r="C5045" s="42"/>
    </row>
    <row r="5046" spans="3:3" x14ac:dyDescent="0.25">
      <c r="C5046" s="42"/>
    </row>
    <row r="5047" spans="3:3" x14ac:dyDescent="0.25">
      <c r="C5047" s="42"/>
    </row>
    <row r="5048" spans="3:3" x14ac:dyDescent="0.25">
      <c r="C5048" s="42"/>
    </row>
    <row r="5049" spans="3:3" x14ac:dyDescent="0.25">
      <c r="C5049" s="42"/>
    </row>
    <row r="5050" spans="3:3" x14ac:dyDescent="0.25">
      <c r="C5050" s="42"/>
    </row>
    <row r="5051" spans="3:3" x14ac:dyDescent="0.25">
      <c r="C5051" s="42"/>
    </row>
    <row r="5052" spans="3:3" x14ac:dyDescent="0.25">
      <c r="C5052" s="42"/>
    </row>
    <row r="5053" spans="3:3" x14ac:dyDescent="0.25">
      <c r="C5053" s="42"/>
    </row>
    <row r="5054" spans="3:3" x14ac:dyDescent="0.25">
      <c r="C5054" s="42"/>
    </row>
    <row r="5055" spans="3:3" x14ac:dyDescent="0.25">
      <c r="C5055" s="42"/>
    </row>
    <row r="5056" spans="3:3" x14ac:dyDescent="0.25">
      <c r="C5056" s="42"/>
    </row>
    <row r="5057" spans="3:3" x14ac:dyDescent="0.25">
      <c r="C5057" s="42"/>
    </row>
    <row r="5058" spans="3:3" x14ac:dyDescent="0.25">
      <c r="C5058" s="42"/>
    </row>
    <row r="5059" spans="3:3" x14ac:dyDescent="0.25">
      <c r="C5059" s="42"/>
    </row>
    <row r="5060" spans="3:3" x14ac:dyDescent="0.25">
      <c r="C5060" s="42"/>
    </row>
    <row r="5061" spans="3:3" x14ac:dyDescent="0.25">
      <c r="C5061" s="42"/>
    </row>
    <row r="5062" spans="3:3" x14ac:dyDescent="0.25">
      <c r="C5062" s="42"/>
    </row>
    <row r="5063" spans="3:3" x14ac:dyDescent="0.25">
      <c r="C5063" s="42"/>
    </row>
    <row r="5064" spans="3:3" x14ac:dyDescent="0.25">
      <c r="C5064" s="42"/>
    </row>
    <row r="5065" spans="3:3" x14ac:dyDescent="0.25">
      <c r="C5065" s="42"/>
    </row>
    <row r="5066" spans="3:3" x14ac:dyDescent="0.25">
      <c r="C5066" s="42"/>
    </row>
    <row r="5067" spans="3:3" x14ac:dyDescent="0.25">
      <c r="C5067" s="42"/>
    </row>
    <row r="5068" spans="3:3" x14ac:dyDescent="0.25">
      <c r="C5068" s="42"/>
    </row>
    <row r="5069" spans="3:3" x14ac:dyDescent="0.25">
      <c r="C5069" s="42"/>
    </row>
    <row r="5070" spans="3:3" x14ac:dyDescent="0.25">
      <c r="C5070" s="42"/>
    </row>
    <row r="5071" spans="3:3" x14ac:dyDescent="0.25">
      <c r="C5071" s="42"/>
    </row>
    <row r="5072" spans="3:3" x14ac:dyDescent="0.25">
      <c r="C5072" s="42"/>
    </row>
    <row r="5073" spans="3:3" x14ac:dyDescent="0.25">
      <c r="C5073" s="42"/>
    </row>
    <row r="5074" spans="3:3" x14ac:dyDescent="0.25">
      <c r="C5074" s="42"/>
    </row>
    <row r="5075" spans="3:3" x14ac:dyDescent="0.25">
      <c r="C5075" s="42"/>
    </row>
    <row r="5076" spans="3:3" x14ac:dyDescent="0.25">
      <c r="C5076" s="42"/>
    </row>
    <row r="5077" spans="3:3" x14ac:dyDescent="0.25">
      <c r="C5077" s="42"/>
    </row>
    <row r="5078" spans="3:3" x14ac:dyDescent="0.25">
      <c r="C5078" s="42"/>
    </row>
    <row r="5079" spans="3:3" x14ac:dyDescent="0.25">
      <c r="C5079" s="42"/>
    </row>
    <row r="5080" spans="3:3" x14ac:dyDescent="0.25">
      <c r="C5080" s="42"/>
    </row>
    <row r="5081" spans="3:3" x14ac:dyDescent="0.25">
      <c r="C5081" s="42"/>
    </row>
    <row r="5082" spans="3:3" x14ac:dyDescent="0.25">
      <c r="C5082" s="42"/>
    </row>
    <row r="5083" spans="3:3" x14ac:dyDescent="0.25">
      <c r="C5083" s="42"/>
    </row>
    <row r="5084" spans="3:3" x14ac:dyDescent="0.25">
      <c r="C5084" s="42"/>
    </row>
    <row r="5085" spans="3:3" x14ac:dyDescent="0.25">
      <c r="C5085" s="42"/>
    </row>
    <row r="5086" spans="3:3" x14ac:dyDescent="0.25">
      <c r="C5086" s="42"/>
    </row>
    <row r="5087" spans="3:3" x14ac:dyDescent="0.25">
      <c r="C5087" s="42"/>
    </row>
    <row r="5088" spans="3:3" x14ac:dyDescent="0.25">
      <c r="C5088" s="42"/>
    </row>
    <row r="5089" spans="3:3" x14ac:dyDescent="0.25">
      <c r="C5089" s="42"/>
    </row>
    <row r="5090" spans="3:3" x14ac:dyDescent="0.25">
      <c r="C5090" s="42"/>
    </row>
    <row r="5091" spans="3:3" x14ac:dyDescent="0.25">
      <c r="C5091" s="42"/>
    </row>
    <row r="5092" spans="3:3" x14ac:dyDescent="0.25">
      <c r="C5092" s="42"/>
    </row>
    <row r="5093" spans="3:3" x14ac:dyDescent="0.25">
      <c r="C5093" s="42"/>
    </row>
    <row r="5094" spans="3:3" x14ac:dyDescent="0.25">
      <c r="C5094" s="42"/>
    </row>
    <row r="5095" spans="3:3" x14ac:dyDescent="0.25">
      <c r="C5095" s="42"/>
    </row>
    <row r="5096" spans="3:3" x14ac:dyDescent="0.25">
      <c r="C5096" s="42"/>
    </row>
    <row r="5097" spans="3:3" x14ac:dyDescent="0.25">
      <c r="C5097" s="42"/>
    </row>
    <row r="5098" spans="3:3" x14ac:dyDescent="0.25">
      <c r="C5098" s="42"/>
    </row>
    <row r="5099" spans="3:3" x14ac:dyDescent="0.25">
      <c r="C5099" s="42"/>
    </row>
    <row r="5100" spans="3:3" x14ac:dyDescent="0.25">
      <c r="C5100" s="42"/>
    </row>
    <row r="5101" spans="3:3" x14ac:dyDescent="0.25">
      <c r="C5101" s="42"/>
    </row>
    <row r="5102" spans="3:3" x14ac:dyDescent="0.25">
      <c r="C5102" s="42"/>
    </row>
    <row r="5103" spans="3:3" x14ac:dyDescent="0.25">
      <c r="C5103" s="42"/>
    </row>
    <row r="5104" spans="3:3" x14ac:dyDescent="0.25">
      <c r="C5104" s="42"/>
    </row>
    <row r="5105" spans="3:3" x14ac:dyDescent="0.25">
      <c r="C5105" s="42"/>
    </row>
    <row r="5106" spans="3:3" x14ac:dyDescent="0.25">
      <c r="C5106" s="42"/>
    </row>
    <row r="5107" spans="3:3" x14ac:dyDescent="0.25">
      <c r="C5107" s="42"/>
    </row>
    <row r="5108" spans="3:3" x14ac:dyDescent="0.25">
      <c r="C5108" s="42"/>
    </row>
    <row r="5109" spans="3:3" x14ac:dyDescent="0.25">
      <c r="C5109" s="42"/>
    </row>
    <row r="5110" spans="3:3" x14ac:dyDescent="0.25">
      <c r="C5110" s="42"/>
    </row>
    <row r="5111" spans="3:3" x14ac:dyDescent="0.25">
      <c r="C5111" s="42"/>
    </row>
    <row r="5112" spans="3:3" x14ac:dyDescent="0.25">
      <c r="C5112" s="42"/>
    </row>
    <row r="5113" spans="3:3" x14ac:dyDescent="0.25">
      <c r="C5113" s="42"/>
    </row>
    <row r="5114" spans="3:3" x14ac:dyDescent="0.25">
      <c r="C5114" s="42"/>
    </row>
    <row r="5115" spans="3:3" x14ac:dyDescent="0.25">
      <c r="C5115" s="42"/>
    </row>
    <row r="5116" spans="3:3" x14ac:dyDescent="0.25">
      <c r="C5116" s="42"/>
    </row>
    <row r="5117" spans="3:3" x14ac:dyDescent="0.25">
      <c r="C5117" s="42"/>
    </row>
    <row r="5118" spans="3:3" x14ac:dyDescent="0.25">
      <c r="C5118" s="42"/>
    </row>
    <row r="5119" spans="3:3" x14ac:dyDescent="0.25">
      <c r="C5119" s="42"/>
    </row>
    <row r="5120" spans="3:3" x14ac:dyDescent="0.25">
      <c r="C5120" s="42"/>
    </row>
    <row r="5121" spans="3:3" x14ac:dyDescent="0.25">
      <c r="C5121" s="42"/>
    </row>
    <row r="5122" spans="3:3" x14ac:dyDescent="0.25">
      <c r="C5122" s="42"/>
    </row>
    <row r="5123" spans="3:3" x14ac:dyDescent="0.25">
      <c r="C5123" s="42"/>
    </row>
    <row r="5124" spans="3:3" x14ac:dyDescent="0.25">
      <c r="C5124" s="42"/>
    </row>
    <row r="5125" spans="3:3" x14ac:dyDescent="0.25">
      <c r="C5125" s="42"/>
    </row>
    <row r="5126" spans="3:3" x14ac:dyDescent="0.25">
      <c r="C5126" s="42"/>
    </row>
    <row r="5127" spans="3:3" x14ac:dyDescent="0.25">
      <c r="C5127" s="42"/>
    </row>
    <row r="5128" spans="3:3" x14ac:dyDescent="0.25">
      <c r="C5128" s="42"/>
    </row>
    <row r="5129" spans="3:3" x14ac:dyDescent="0.25">
      <c r="C5129" s="42"/>
    </row>
    <row r="5130" spans="3:3" x14ac:dyDescent="0.25">
      <c r="C5130" s="42"/>
    </row>
    <row r="5131" spans="3:3" x14ac:dyDescent="0.25">
      <c r="C5131" s="42"/>
    </row>
    <row r="5132" spans="3:3" x14ac:dyDescent="0.25">
      <c r="C5132" s="42"/>
    </row>
    <row r="5133" spans="3:3" x14ac:dyDescent="0.25">
      <c r="C5133" s="42"/>
    </row>
    <row r="5134" spans="3:3" x14ac:dyDescent="0.25">
      <c r="C5134" s="42"/>
    </row>
    <row r="5135" spans="3:3" x14ac:dyDescent="0.25">
      <c r="C5135" s="42"/>
    </row>
    <row r="5136" spans="3:3" x14ac:dyDescent="0.25">
      <c r="C5136" s="42"/>
    </row>
    <row r="5137" spans="3:3" x14ac:dyDescent="0.25">
      <c r="C5137" s="42"/>
    </row>
    <row r="5138" spans="3:3" x14ac:dyDescent="0.25">
      <c r="C5138" s="42"/>
    </row>
    <row r="5139" spans="3:3" x14ac:dyDescent="0.25">
      <c r="C5139" s="42"/>
    </row>
    <row r="5140" spans="3:3" x14ac:dyDescent="0.25">
      <c r="C5140" s="42"/>
    </row>
    <row r="5141" spans="3:3" x14ac:dyDescent="0.25">
      <c r="C5141" s="42"/>
    </row>
    <row r="5142" spans="3:3" x14ac:dyDescent="0.25">
      <c r="C5142" s="42"/>
    </row>
    <row r="5143" spans="3:3" x14ac:dyDescent="0.25">
      <c r="C5143" s="42"/>
    </row>
    <row r="5144" spans="3:3" x14ac:dyDescent="0.25">
      <c r="C5144" s="42"/>
    </row>
    <row r="5145" spans="3:3" x14ac:dyDescent="0.25">
      <c r="C5145" s="42"/>
    </row>
    <row r="5146" spans="3:3" x14ac:dyDescent="0.25">
      <c r="C5146" s="42"/>
    </row>
    <row r="5147" spans="3:3" x14ac:dyDescent="0.25">
      <c r="C5147" s="42"/>
    </row>
    <row r="5148" spans="3:3" x14ac:dyDescent="0.25">
      <c r="C5148" s="42"/>
    </row>
    <row r="5149" spans="3:3" x14ac:dyDescent="0.25">
      <c r="C5149" s="42"/>
    </row>
    <row r="5150" spans="3:3" x14ac:dyDescent="0.25">
      <c r="C5150" s="42"/>
    </row>
    <row r="5151" spans="3:3" x14ac:dyDescent="0.25">
      <c r="C5151" s="42"/>
    </row>
    <row r="5152" spans="3:3" x14ac:dyDescent="0.25">
      <c r="C5152" s="42"/>
    </row>
    <row r="5153" spans="3:3" x14ac:dyDescent="0.25">
      <c r="C5153" s="42"/>
    </row>
    <row r="5154" spans="3:3" x14ac:dyDescent="0.25">
      <c r="C5154" s="42"/>
    </row>
    <row r="5155" spans="3:3" x14ac:dyDescent="0.25">
      <c r="C5155" s="42"/>
    </row>
    <row r="5156" spans="3:3" x14ac:dyDescent="0.25">
      <c r="C5156" s="42"/>
    </row>
    <row r="5157" spans="3:3" x14ac:dyDescent="0.25">
      <c r="C5157" s="42"/>
    </row>
    <row r="5158" spans="3:3" x14ac:dyDescent="0.25">
      <c r="C5158" s="42"/>
    </row>
    <row r="5159" spans="3:3" x14ac:dyDescent="0.25">
      <c r="C5159" s="42"/>
    </row>
    <row r="5160" spans="3:3" x14ac:dyDescent="0.25">
      <c r="C5160" s="42"/>
    </row>
    <row r="5161" spans="3:3" x14ac:dyDescent="0.25">
      <c r="C5161" s="42"/>
    </row>
    <row r="5162" spans="3:3" x14ac:dyDescent="0.25">
      <c r="C5162" s="42"/>
    </row>
    <row r="5163" spans="3:3" x14ac:dyDescent="0.25">
      <c r="C5163" s="42"/>
    </row>
    <row r="5164" spans="3:3" x14ac:dyDescent="0.25">
      <c r="C5164" s="42"/>
    </row>
    <row r="5165" spans="3:3" x14ac:dyDescent="0.25">
      <c r="C5165" s="42"/>
    </row>
    <row r="5166" spans="3:3" x14ac:dyDescent="0.25">
      <c r="C5166" s="42"/>
    </row>
    <row r="5167" spans="3:3" x14ac:dyDescent="0.25">
      <c r="C5167" s="42"/>
    </row>
    <row r="5168" spans="3:3" x14ac:dyDescent="0.25">
      <c r="C5168" s="42"/>
    </row>
    <row r="5169" spans="3:3" x14ac:dyDescent="0.25">
      <c r="C5169" s="42"/>
    </row>
    <row r="5170" spans="3:3" x14ac:dyDescent="0.25">
      <c r="C5170" s="42"/>
    </row>
    <row r="5171" spans="3:3" x14ac:dyDescent="0.25">
      <c r="C5171" s="42"/>
    </row>
    <row r="5172" spans="3:3" x14ac:dyDescent="0.25">
      <c r="C5172" s="42"/>
    </row>
    <row r="5173" spans="3:3" x14ac:dyDescent="0.25">
      <c r="C5173" s="42"/>
    </row>
    <row r="5174" spans="3:3" x14ac:dyDescent="0.25">
      <c r="C5174" s="42"/>
    </row>
    <row r="5175" spans="3:3" x14ac:dyDescent="0.25">
      <c r="C5175" s="42"/>
    </row>
    <row r="5176" spans="3:3" x14ac:dyDescent="0.25">
      <c r="C5176" s="42"/>
    </row>
    <row r="5177" spans="3:3" x14ac:dyDescent="0.25">
      <c r="C5177" s="42"/>
    </row>
    <row r="5178" spans="3:3" x14ac:dyDescent="0.25">
      <c r="C5178" s="42"/>
    </row>
    <row r="5179" spans="3:3" x14ac:dyDescent="0.25">
      <c r="C5179" s="42"/>
    </row>
    <row r="5180" spans="3:3" x14ac:dyDescent="0.25">
      <c r="C5180" s="42"/>
    </row>
    <row r="5181" spans="3:3" x14ac:dyDescent="0.25">
      <c r="C5181" s="42"/>
    </row>
    <row r="5182" spans="3:3" x14ac:dyDescent="0.25">
      <c r="C5182" s="42"/>
    </row>
    <row r="5183" spans="3:3" x14ac:dyDescent="0.25">
      <c r="C5183" s="42"/>
    </row>
    <row r="5184" spans="3:3" x14ac:dyDescent="0.25">
      <c r="C5184" s="42"/>
    </row>
    <row r="5185" spans="3:3" x14ac:dyDescent="0.25">
      <c r="C5185" s="42"/>
    </row>
    <row r="5186" spans="3:3" x14ac:dyDescent="0.25">
      <c r="C5186" s="42"/>
    </row>
    <row r="5187" spans="3:3" x14ac:dyDescent="0.25">
      <c r="C5187" s="42"/>
    </row>
    <row r="5188" spans="3:3" x14ac:dyDescent="0.25">
      <c r="C5188" s="42"/>
    </row>
    <row r="5189" spans="3:3" x14ac:dyDescent="0.25">
      <c r="C5189" s="42"/>
    </row>
    <row r="5190" spans="3:3" x14ac:dyDescent="0.25">
      <c r="C5190" s="42"/>
    </row>
    <row r="5191" spans="3:3" x14ac:dyDescent="0.25">
      <c r="C5191" s="42"/>
    </row>
    <row r="5192" spans="3:3" x14ac:dyDescent="0.25">
      <c r="C5192" s="42"/>
    </row>
    <row r="5193" spans="3:3" x14ac:dyDescent="0.25">
      <c r="C5193" s="42"/>
    </row>
    <row r="5194" spans="3:3" x14ac:dyDescent="0.25">
      <c r="C5194" s="42"/>
    </row>
    <row r="5195" spans="3:3" x14ac:dyDescent="0.25">
      <c r="C5195" s="42"/>
    </row>
    <row r="5196" spans="3:3" x14ac:dyDescent="0.25">
      <c r="C5196" s="42"/>
    </row>
    <row r="5197" spans="3:3" x14ac:dyDescent="0.25">
      <c r="C5197" s="42"/>
    </row>
    <row r="5198" spans="3:3" x14ac:dyDescent="0.25">
      <c r="C5198" s="42"/>
    </row>
    <row r="5199" spans="3:3" x14ac:dyDescent="0.25">
      <c r="C5199" s="42"/>
    </row>
    <row r="5200" spans="3:3" x14ac:dyDescent="0.25">
      <c r="C5200" s="42"/>
    </row>
    <row r="5201" spans="3:3" x14ac:dyDescent="0.25">
      <c r="C5201" s="42"/>
    </row>
    <row r="5202" spans="3:3" x14ac:dyDescent="0.25">
      <c r="C5202" s="42"/>
    </row>
    <row r="5203" spans="3:3" x14ac:dyDescent="0.25">
      <c r="C5203" s="42"/>
    </row>
    <row r="5204" spans="3:3" x14ac:dyDescent="0.25">
      <c r="C5204" s="42"/>
    </row>
    <row r="5205" spans="3:3" x14ac:dyDescent="0.25">
      <c r="C5205" s="42"/>
    </row>
    <row r="5206" spans="3:3" x14ac:dyDescent="0.25">
      <c r="C5206" s="42"/>
    </row>
    <row r="5207" spans="3:3" x14ac:dyDescent="0.25">
      <c r="C5207" s="42"/>
    </row>
    <row r="5208" spans="3:3" x14ac:dyDescent="0.25">
      <c r="C5208" s="42"/>
    </row>
    <row r="5209" spans="3:3" x14ac:dyDescent="0.25">
      <c r="C5209" s="42"/>
    </row>
    <row r="5210" spans="3:3" x14ac:dyDescent="0.25">
      <c r="C5210" s="42"/>
    </row>
    <row r="5211" spans="3:3" x14ac:dyDescent="0.25">
      <c r="C5211" s="42"/>
    </row>
    <row r="5212" spans="3:3" x14ac:dyDescent="0.25">
      <c r="C5212" s="42"/>
    </row>
    <row r="5213" spans="3:3" x14ac:dyDescent="0.25">
      <c r="C5213" s="42"/>
    </row>
    <row r="5214" spans="3:3" x14ac:dyDescent="0.25">
      <c r="C5214" s="42"/>
    </row>
    <row r="5215" spans="3:3" x14ac:dyDescent="0.25">
      <c r="C5215" s="42"/>
    </row>
    <row r="5216" spans="3:3" x14ac:dyDescent="0.25">
      <c r="C5216" s="42"/>
    </row>
    <row r="5217" spans="3:3" x14ac:dyDescent="0.25">
      <c r="C5217" s="42"/>
    </row>
    <row r="5218" spans="3:3" x14ac:dyDescent="0.25">
      <c r="C5218" s="42"/>
    </row>
    <row r="5219" spans="3:3" x14ac:dyDescent="0.25">
      <c r="C5219" s="42"/>
    </row>
    <row r="5220" spans="3:3" x14ac:dyDescent="0.25">
      <c r="C5220" s="42"/>
    </row>
    <row r="5221" spans="3:3" x14ac:dyDescent="0.25">
      <c r="C5221" s="42"/>
    </row>
    <row r="5222" spans="3:3" x14ac:dyDescent="0.25">
      <c r="C5222" s="42"/>
    </row>
    <row r="5223" spans="3:3" x14ac:dyDescent="0.25">
      <c r="C5223" s="42"/>
    </row>
    <row r="5224" spans="3:3" x14ac:dyDescent="0.25">
      <c r="C5224" s="42"/>
    </row>
    <row r="5225" spans="3:3" x14ac:dyDescent="0.25">
      <c r="C5225" s="42"/>
    </row>
    <row r="5226" spans="3:3" x14ac:dyDescent="0.25">
      <c r="C5226" s="42"/>
    </row>
    <row r="5227" spans="3:3" x14ac:dyDescent="0.25">
      <c r="C5227" s="42"/>
    </row>
    <row r="5228" spans="3:3" x14ac:dyDescent="0.25">
      <c r="C5228" s="42"/>
    </row>
    <row r="5229" spans="3:3" x14ac:dyDescent="0.25">
      <c r="C5229" s="42"/>
    </row>
    <row r="5230" spans="3:3" x14ac:dyDescent="0.25">
      <c r="C5230" s="42"/>
    </row>
    <row r="5231" spans="3:3" x14ac:dyDescent="0.25">
      <c r="C5231" s="42"/>
    </row>
    <row r="5232" spans="3:3" x14ac:dyDescent="0.25">
      <c r="C5232" s="42"/>
    </row>
    <row r="5233" spans="3:3" x14ac:dyDescent="0.25">
      <c r="C5233" s="42"/>
    </row>
    <row r="5234" spans="3:3" x14ac:dyDescent="0.25">
      <c r="C5234" s="42"/>
    </row>
    <row r="5235" spans="3:3" x14ac:dyDescent="0.25">
      <c r="C5235" s="42"/>
    </row>
    <row r="5236" spans="3:3" x14ac:dyDescent="0.25">
      <c r="C5236" s="42"/>
    </row>
    <row r="5237" spans="3:3" x14ac:dyDescent="0.25">
      <c r="C5237" s="42"/>
    </row>
    <row r="5238" spans="3:3" x14ac:dyDescent="0.25">
      <c r="C5238" s="42"/>
    </row>
    <row r="5239" spans="3:3" x14ac:dyDescent="0.25">
      <c r="C5239" s="42"/>
    </row>
    <row r="5240" spans="3:3" x14ac:dyDescent="0.25">
      <c r="C5240" s="42"/>
    </row>
    <row r="5241" spans="3:3" x14ac:dyDescent="0.25">
      <c r="C5241" s="42"/>
    </row>
    <row r="5242" spans="3:3" x14ac:dyDescent="0.25">
      <c r="C5242" s="42"/>
    </row>
    <row r="5243" spans="3:3" x14ac:dyDescent="0.25">
      <c r="C5243" s="42"/>
    </row>
    <row r="5244" spans="3:3" x14ac:dyDescent="0.25">
      <c r="C5244" s="42"/>
    </row>
    <row r="5245" spans="3:3" x14ac:dyDescent="0.25">
      <c r="C5245" s="42"/>
    </row>
    <row r="5246" spans="3:3" x14ac:dyDescent="0.25">
      <c r="C5246" s="42"/>
    </row>
    <row r="5247" spans="3:3" x14ac:dyDescent="0.25">
      <c r="C5247" s="42"/>
    </row>
    <row r="5248" spans="3:3" x14ac:dyDescent="0.25">
      <c r="C5248" s="42"/>
    </row>
    <row r="5249" spans="3:3" x14ac:dyDescent="0.25">
      <c r="C5249" s="42"/>
    </row>
    <row r="5250" spans="3:3" x14ac:dyDescent="0.25">
      <c r="C5250" s="42"/>
    </row>
    <row r="5251" spans="3:3" x14ac:dyDescent="0.25">
      <c r="C5251" s="42"/>
    </row>
    <row r="5252" spans="3:3" x14ac:dyDescent="0.25">
      <c r="C5252" s="42"/>
    </row>
    <row r="5253" spans="3:3" x14ac:dyDescent="0.25">
      <c r="C5253" s="42"/>
    </row>
    <row r="5254" spans="3:3" x14ac:dyDescent="0.25">
      <c r="C5254" s="42"/>
    </row>
    <row r="5255" spans="3:3" x14ac:dyDescent="0.25">
      <c r="C5255" s="42"/>
    </row>
    <row r="5256" spans="3:3" x14ac:dyDescent="0.25">
      <c r="C5256" s="42"/>
    </row>
    <row r="5257" spans="3:3" x14ac:dyDescent="0.25">
      <c r="C5257" s="42"/>
    </row>
    <row r="5258" spans="3:3" x14ac:dyDescent="0.25">
      <c r="C5258" s="42"/>
    </row>
    <row r="5259" spans="3:3" x14ac:dyDescent="0.25">
      <c r="C5259" s="42"/>
    </row>
    <row r="5260" spans="3:3" x14ac:dyDescent="0.25">
      <c r="C5260" s="42"/>
    </row>
    <row r="5261" spans="3:3" x14ac:dyDescent="0.25">
      <c r="C5261" s="42"/>
    </row>
    <row r="5262" spans="3:3" x14ac:dyDescent="0.25">
      <c r="C5262" s="42"/>
    </row>
    <row r="5263" spans="3:3" x14ac:dyDescent="0.25">
      <c r="C5263" s="42"/>
    </row>
    <row r="5264" spans="3:3" x14ac:dyDescent="0.25">
      <c r="C5264" s="42"/>
    </row>
    <row r="5265" spans="3:3" x14ac:dyDescent="0.25">
      <c r="C5265" s="42"/>
    </row>
    <row r="5266" spans="3:3" x14ac:dyDescent="0.25">
      <c r="C5266" s="42"/>
    </row>
    <row r="5267" spans="3:3" x14ac:dyDescent="0.25">
      <c r="C5267" s="42"/>
    </row>
    <row r="5268" spans="3:3" x14ac:dyDescent="0.25">
      <c r="C5268" s="42"/>
    </row>
    <row r="5269" spans="3:3" x14ac:dyDescent="0.25">
      <c r="C5269" s="42"/>
    </row>
    <row r="5270" spans="3:3" x14ac:dyDescent="0.25">
      <c r="C5270" s="42"/>
    </row>
    <row r="5271" spans="3:3" x14ac:dyDescent="0.25">
      <c r="C5271" s="42"/>
    </row>
    <row r="5272" spans="3:3" x14ac:dyDescent="0.25">
      <c r="C5272" s="42"/>
    </row>
    <row r="5273" spans="3:3" x14ac:dyDescent="0.25">
      <c r="C5273" s="42"/>
    </row>
    <row r="5274" spans="3:3" x14ac:dyDescent="0.25">
      <c r="C5274" s="42"/>
    </row>
    <row r="5275" spans="3:3" x14ac:dyDescent="0.25">
      <c r="C5275" s="42"/>
    </row>
    <row r="5276" spans="3:3" x14ac:dyDescent="0.25">
      <c r="C5276" s="42"/>
    </row>
    <row r="5277" spans="3:3" x14ac:dyDescent="0.25">
      <c r="C5277" s="42"/>
    </row>
    <row r="5278" spans="3:3" x14ac:dyDescent="0.25">
      <c r="C5278" s="42"/>
    </row>
    <row r="5279" spans="3:3" x14ac:dyDescent="0.25">
      <c r="C5279" s="42"/>
    </row>
    <row r="5280" spans="3:3" x14ac:dyDescent="0.25">
      <c r="C5280" s="42"/>
    </row>
    <row r="5281" spans="3:3" x14ac:dyDescent="0.25">
      <c r="C5281" s="42"/>
    </row>
    <row r="5282" spans="3:3" x14ac:dyDescent="0.25">
      <c r="C5282" s="42"/>
    </row>
    <row r="5283" spans="3:3" x14ac:dyDescent="0.25">
      <c r="C5283" s="42"/>
    </row>
    <row r="5284" spans="3:3" x14ac:dyDescent="0.25">
      <c r="C5284" s="42"/>
    </row>
    <row r="5285" spans="3:3" x14ac:dyDescent="0.25">
      <c r="C5285" s="42"/>
    </row>
    <row r="5286" spans="3:3" x14ac:dyDescent="0.25">
      <c r="C5286" s="42"/>
    </row>
    <row r="5287" spans="3:3" x14ac:dyDescent="0.25">
      <c r="C5287" s="42"/>
    </row>
    <row r="5288" spans="3:3" x14ac:dyDescent="0.25">
      <c r="C5288" s="42"/>
    </row>
    <row r="5289" spans="3:3" x14ac:dyDescent="0.25">
      <c r="C5289" s="42"/>
    </row>
    <row r="5290" spans="3:3" x14ac:dyDescent="0.25">
      <c r="C5290" s="42"/>
    </row>
    <row r="5291" spans="3:3" x14ac:dyDescent="0.25">
      <c r="C5291" s="42"/>
    </row>
    <row r="5292" spans="3:3" x14ac:dyDescent="0.25">
      <c r="C5292" s="42"/>
    </row>
    <row r="5293" spans="3:3" x14ac:dyDescent="0.25">
      <c r="C5293" s="42"/>
    </row>
    <row r="5294" spans="3:3" x14ac:dyDescent="0.25">
      <c r="C5294" s="42"/>
    </row>
    <row r="5295" spans="3:3" x14ac:dyDescent="0.25">
      <c r="C5295" s="42"/>
    </row>
    <row r="5296" spans="3:3" x14ac:dyDescent="0.25">
      <c r="C5296" s="42"/>
    </row>
    <row r="5297" spans="3:3" x14ac:dyDescent="0.25">
      <c r="C5297" s="42"/>
    </row>
    <row r="5298" spans="3:3" x14ac:dyDescent="0.25">
      <c r="C5298" s="42"/>
    </row>
    <row r="5299" spans="3:3" x14ac:dyDescent="0.25">
      <c r="C5299" s="42"/>
    </row>
    <row r="5300" spans="3:3" x14ac:dyDescent="0.25">
      <c r="C5300" s="42"/>
    </row>
    <row r="5301" spans="3:3" x14ac:dyDescent="0.25">
      <c r="C5301" s="42"/>
    </row>
    <row r="5302" spans="3:3" x14ac:dyDescent="0.25">
      <c r="C5302" s="42"/>
    </row>
    <row r="5303" spans="3:3" x14ac:dyDescent="0.25">
      <c r="C5303" s="42"/>
    </row>
    <row r="5304" spans="3:3" x14ac:dyDescent="0.25">
      <c r="C5304" s="42"/>
    </row>
    <row r="5305" spans="3:3" x14ac:dyDescent="0.25">
      <c r="C5305" s="42"/>
    </row>
    <row r="5306" spans="3:3" x14ac:dyDescent="0.25">
      <c r="C5306" s="42"/>
    </row>
    <row r="5307" spans="3:3" x14ac:dyDescent="0.25">
      <c r="C5307" s="42"/>
    </row>
    <row r="5308" spans="3:3" x14ac:dyDescent="0.25">
      <c r="C5308" s="42"/>
    </row>
    <row r="5309" spans="3:3" x14ac:dyDescent="0.25">
      <c r="C5309" s="42"/>
    </row>
    <row r="5310" spans="3:3" x14ac:dyDescent="0.25">
      <c r="C5310" s="42"/>
    </row>
    <row r="5311" spans="3:3" x14ac:dyDescent="0.25">
      <c r="C5311" s="42"/>
    </row>
    <row r="5312" spans="3:3" x14ac:dyDescent="0.25">
      <c r="C5312" s="42"/>
    </row>
    <row r="5313" spans="3:3" x14ac:dyDescent="0.25">
      <c r="C5313" s="42"/>
    </row>
    <row r="5314" spans="3:3" x14ac:dyDescent="0.25">
      <c r="C5314" s="42"/>
    </row>
    <row r="5315" spans="3:3" x14ac:dyDescent="0.25">
      <c r="C5315" s="42"/>
    </row>
    <row r="5316" spans="3:3" x14ac:dyDescent="0.25">
      <c r="C5316" s="42"/>
    </row>
    <row r="5317" spans="3:3" x14ac:dyDescent="0.25">
      <c r="C5317" s="42"/>
    </row>
    <row r="5318" spans="3:3" x14ac:dyDescent="0.25">
      <c r="C5318" s="42"/>
    </row>
    <row r="5319" spans="3:3" x14ac:dyDescent="0.25">
      <c r="C5319" s="42"/>
    </row>
    <row r="5320" spans="3:3" x14ac:dyDescent="0.25">
      <c r="C5320" s="42"/>
    </row>
    <row r="5321" spans="3:3" x14ac:dyDescent="0.25">
      <c r="C5321" s="42"/>
    </row>
    <row r="5322" spans="3:3" x14ac:dyDescent="0.25">
      <c r="C5322" s="42"/>
    </row>
    <row r="5323" spans="3:3" x14ac:dyDescent="0.25">
      <c r="C5323" s="42"/>
    </row>
    <row r="5324" spans="3:3" x14ac:dyDescent="0.25">
      <c r="C5324" s="42"/>
    </row>
    <row r="5325" spans="3:3" x14ac:dyDescent="0.25">
      <c r="C5325" s="42"/>
    </row>
    <row r="5326" spans="3:3" x14ac:dyDescent="0.25">
      <c r="C5326" s="42"/>
    </row>
    <row r="5327" spans="3:3" x14ac:dyDescent="0.25">
      <c r="C5327" s="42"/>
    </row>
    <row r="5328" spans="3:3" x14ac:dyDescent="0.25">
      <c r="C5328" s="42"/>
    </row>
    <row r="5329" spans="3:3" x14ac:dyDescent="0.25">
      <c r="C5329" s="42"/>
    </row>
    <row r="5330" spans="3:3" x14ac:dyDescent="0.25">
      <c r="C5330" s="42"/>
    </row>
    <row r="5331" spans="3:3" x14ac:dyDescent="0.25">
      <c r="C5331" s="42"/>
    </row>
    <row r="5332" spans="3:3" x14ac:dyDescent="0.25">
      <c r="C5332" s="42"/>
    </row>
    <row r="5333" spans="3:3" x14ac:dyDescent="0.25">
      <c r="C5333" s="42"/>
    </row>
    <row r="5334" spans="3:3" x14ac:dyDescent="0.25">
      <c r="C5334" s="42"/>
    </row>
    <row r="5335" spans="3:3" x14ac:dyDescent="0.25">
      <c r="C5335" s="42"/>
    </row>
    <row r="5336" spans="3:3" x14ac:dyDescent="0.25">
      <c r="C5336" s="42"/>
    </row>
    <row r="5337" spans="3:3" x14ac:dyDescent="0.25">
      <c r="C5337" s="42"/>
    </row>
    <row r="5338" spans="3:3" x14ac:dyDescent="0.25">
      <c r="C5338" s="42"/>
    </row>
    <row r="5339" spans="3:3" x14ac:dyDescent="0.25">
      <c r="C5339" s="42"/>
    </row>
    <row r="5340" spans="3:3" x14ac:dyDescent="0.25">
      <c r="C5340" s="42"/>
    </row>
    <row r="5341" spans="3:3" x14ac:dyDescent="0.25">
      <c r="C5341" s="42"/>
    </row>
    <row r="5342" spans="3:3" x14ac:dyDescent="0.25">
      <c r="C5342" s="42"/>
    </row>
    <row r="5343" spans="3:3" x14ac:dyDescent="0.25">
      <c r="C5343" s="42"/>
    </row>
    <row r="5344" spans="3:3" x14ac:dyDescent="0.25">
      <c r="C5344" s="42"/>
    </row>
    <row r="5345" spans="3:3" x14ac:dyDescent="0.25">
      <c r="C5345" s="42"/>
    </row>
    <row r="5346" spans="3:3" x14ac:dyDescent="0.25">
      <c r="C5346" s="42"/>
    </row>
    <row r="5347" spans="3:3" x14ac:dyDescent="0.25">
      <c r="C5347" s="42"/>
    </row>
    <row r="5348" spans="3:3" x14ac:dyDescent="0.25">
      <c r="C5348" s="42"/>
    </row>
    <row r="5349" spans="3:3" x14ac:dyDescent="0.25">
      <c r="C5349" s="42"/>
    </row>
    <row r="5350" spans="3:3" x14ac:dyDescent="0.25">
      <c r="C5350" s="42"/>
    </row>
    <row r="5351" spans="3:3" x14ac:dyDescent="0.25">
      <c r="C5351" s="42"/>
    </row>
    <row r="5352" spans="3:3" x14ac:dyDescent="0.25">
      <c r="C5352" s="42"/>
    </row>
    <row r="5353" spans="3:3" x14ac:dyDescent="0.25">
      <c r="C5353" s="42"/>
    </row>
    <row r="5354" spans="3:3" x14ac:dyDescent="0.25">
      <c r="C5354" s="42"/>
    </row>
    <row r="5355" spans="3:3" x14ac:dyDescent="0.25">
      <c r="C5355" s="42"/>
    </row>
    <row r="5356" spans="3:3" x14ac:dyDescent="0.25">
      <c r="C5356" s="42"/>
    </row>
    <row r="5357" spans="3:3" x14ac:dyDescent="0.25">
      <c r="C5357" s="42"/>
    </row>
    <row r="5358" spans="3:3" x14ac:dyDescent="0.25">
      <c r="C5358" s="42"/>
    </row>
    <row r="5359" spans="3:3" x14ac:dyDescent="0.25">
      <c r="C5359" s="42"/>
    </row>
    <row r="5360" spans="3:3" x14ac:dyDescent="0.25">
      <c r="C5360" s="42"/>
    </row>
    <row r="5361" spans="3:3" x14ac:dyDescent="0.25">
      <c r="C5361" s="42"/>
    </row>
    <row r="5362" spans="3:3" x14ac:dyDescent="0.25">
      <c r="C5362" s="42"/>
    </row>
    <row r="5363" spans="3:3" x14ac:dyDescent="0.25">
      <c r="C5363" s="42"/>
    </row>
    <row r="5364" spans="3:3" x14ac:dyDescent="0.25">
      <c r="C5364" s="42"/>
    </row>
    <row r="5365" spans="3:3" x14ac:dyDescent="0.25">
      <c r="C5365" s="42"/>
    </row>
    <row r="5366" spans="3:3" x14ac:dyDescent="0.25">
      <c r="C5366" s="42"/>
    </row>
    <row r="5367" spans="3:3" x14ac:dyDescent="0.25">
      <c r="C5367" s="42"/>
    </row>
    <row r="5368" spans="3:3" x14ac:dyDescent="0.25">
      <c r="C5368" s="42"/>
    </row>
    <row r="5369" spans="3:3" x14ac:dyDescent="0.25">
      <c r="C5369" s="42"/>
    </row>
    <row r="5370" spans="3:3" x14ac:dyDescent="0.25">
      <c r="C5370" s="42"/>
    </row>
    <row r="5371" spans="3:3" x14ac:dyDescent="0.25">
      <c r="C5371" s="42"/>
    </row>
    <row r="5372" spans="3:3" x14ac:dyDescent="0.25">
      <c r="C5372" s="42"/>
    </row>
    <row r="5373" spans="3:3" x14ac:dyDescent="0.25">
      <c r="C5373" s="42"/>
    </row>
    <row r="5374" spans="3:3" x14ac:dyDescent="0.25">
      <c r="C5374" s="42"/>
    </row>
    <row r="5375" spans="3:3" x14ac:dyDescent="0.25">
      <c r="C5375" s="42"/>
    </row>
    <row r="5376" spans="3:3" x14ac:dyDescent="0.25">
      <c r="C5376" s="42"/>
    </row>
    <row r="5377" spans="3:3" x14ac:dyDescent="0.25">
      <c r="C5377" s="42"/>
    </row>
    <row r="5378" spans="3:3" x14ac:dyDescent="0.25">
      <c r="C5378" s="42"/>
    </row>
    <row r="5379" spans="3:3" x14ac:dyDescent="0.25">
      <c r="C5379" s="42"/>
    </row>
    <row r="5380" spans="3:3" x14ac:dyDescent="0.25">
      <c r="C5380" s="42"/>
    </row>
    <row r="5381" spans="3:3" x14ac:dyDescent="0.25">
      <c r="C5381" s="42"/>
    </row>
    <row r="5382" spans="3:3" x14ac:dyDescent="0.25">
      <c r="C5382" s="42"/>
    </row>
    <row r="5383" spans="3:3" x14ac:dyDescent="0.25">
      <c r="C5383" s="42"/>
    </row>
    <row r="5384" spans="3:3" x14ac:dyDescent="0.25">
      <c r="C5384" s="42"/>
    </row>
    <row r="5385" spans="3:3" x14ac:dyDescent="0.25">
      <c r="C5385" s="42"/>
    </row>
    <row r="5386" spans="3:3" x14ac:dyDescent="0.25">
      <c r="C5386" s="42"/>
    </row>
    <row r="5387" spans="3:3" x14ac:dyDescent="0.25">
      <c r="C5387" s="42"/>
    </row>
    <row r="5388" spans="3:3" x14ac:dyDescent="0.25">
      <c r="C5388" s="42"/>
    </row>
    <row r="5389" spans="3:3" x14ac:dyDescent="0.25">
      <c r="C5389" s="42"/>
    </row>
    <row r="5390" spans="3:3" x14ac:dyDescent="0.25">
      <c r="C5390" s="42"/>
    </row>
    <row r="5391" spans="3:3" x14ac:dyDescent="0.25">
      <c r="C5391" s="42"/>
    </row>
    <row r="5392" spans="3:3" x14ac:dyDescent="0.25">
      <c r="C5392" s="42"/>
    </row>
    <row r="5393" spans="3:3" x14ac:dyDescent="0.25">
      <c r="C5393" s="42"/>
    </row>
    <row r="5394" spans="3:3" x14ac:dyDescent="0.25">
      <c r="C5394" s="42"/>
    </row>
    <row r="5395" spans="3:3" x14ac:dyDescent="0.25">
      <c r="C5395" s="42"/>
    </row>
    <row r="5396" spans="3:3" x14ac:dyDescent="0.25">
      <c r="C5396" s="42"/>
    </row>
    <row r="5397" spans="3:3" x14ac:dyDescent="0.25">
      <c r="C5397" s="42"/>
    </row>
    <row r="5398" spans="3:3" x14ac:dyDescent="0.25">
      <c r="C5398" s="42"/>
    </row>
    <row r="5399" spans="3:3" x14ac:dyDescent="0.25">
      <c r="C5399" s="42"/>
    </row>
    <row r="5400" spans="3:3" x14ac:dyDescent="0.25">
      <c r="C5400" s="42"/>
    </row>
    <row r="5401" spans="3:3" x14ac:dyDescent="0.25">
      <c r="C5401" s="42"/>
    </row>
    <row r="5402" spans="3:3" x14ac:dyDescent="0.25">
      <c r="C5402" s="42"/>
    </row>
    <row r="5403" spans="3:3" x14ac:dyDescent="0.25">
      <c r="C5403" s="42"/>
    </row>
    <row r="5404" spans="3:3" x14ac:dyDescent="0.25">
      <c r="C5404" s="42"/>
    </row>
    <row r="5405" spans="3:3" x14ac:dyDescent="0.25">
      <c r="C5405" s="42"/>
    </row>
    <row r="5406" spans="3:3" x14ac:dyDescent="0.25">
      <c r="C5406" s="42"/>
    </row>
    <row r="5407" spans="3:3" x14ac:dyDescent="0.25">
      <c r="C5407" s="42"/>
    </row>
    <row r="5408" spans="3:3" x14ac:dyDescent="0.25">
      <c r="C5408" s="42"/>
    </row>
    <row r="5409" spans="3:3" x14ac:dyDescent="0.25">
      <c r="C5409" s="42"/>
    </row>
    <row r="5410" spans="3:3" x14ac:dyDescent="0.25">
      <c r="C5410" s="42"/>
    </row>
    <row r="5411" spans="3:3" x14ac:dyDescent="0.25">
      <c r="C5411" s="42"/>
    </row>
    <row r="5412" spans="3:3" x14ac:dyDescent="0.25">
      <c r="C5412" s="42"/>
    </row>
    <row r="5413" spans="3:3" x14ac:dyDescent="0.25">
      <c r="C5413" s="42"/>
    </row>
    <row r="5414" spans="3:3" x14ac:dyDescent="0.25">
      <c r="C5414" s="42"/>
    </row>
    <row r="5415" spans="3:3" x14ac:dyDescent="0.25">
      <c r="C5415" s="42"/>
    </row>
    <row r="5416" spans="3:3" x14ac:dyDescent="0.25">
      <c r="C5416" s="42"/>
    </row>
    <row r="5417" spans="3:3" x14ac:dyDescent="0.25">
      <c r="C5417" s="42"/>
    </row>
    <row r="5418" spans="3:3" x14ac:dyDescent="0.25">
      <c r="C5418" s="42"/>
    </row>
    <row r="5419" spans="3:3" x14ac:dyDescent="0.25">
      <c r="C5419" s="42"/>
    </row>
    <row r="5420" spans="3:3" x14ac:dyDescent="0.25">
      <c r="C5420" s="42"/>
    </row>
    <row r="5421" spans="3:3" x14ac:dyDescent="0.25">
      <c r="C5421" s="42"/>
    </row>
    <row r="5422" spans="3:3" x14ac:dyDescent="0.25">
      <c r="C5422" s="42"/>
    </row>
    <row r="5423" spans="3:3" x14ac:dyDescent="0.25">
      <c r="C5423" s="42"/>
    </row>
    <row r="5424" spans="3:3" x14ac:dyDescent="0.25">
      <c r="C5424" s="42"/>
    </row>
    <row r="5425" spans="3:3" x14ac:dyDescent="0.25">
      <c r="C5425" s="42"/>
    </row>
    <row r="5426" spans="3:3" x14ac:dyDescent="0.25">
      <c r="C5426" s="42"/>
    </row>
    <row r="5427" spans="3:3" x14ac:dyDescent="0.25">
      <c r="C5427" s="42"/>
    </row>
    <row r="5428" spans="3:3" x14ac:dyDescent="0.25">
      <c r="C5428" s="42"/>
    </row>
    <row r="5429" spans="3:3" x14ac:dyDescent="0.25">
      <c r="C5429" s="42"/>
    </row>
    <row r="5430" spans="3:3" x14ac:dyDescent="0.25">
      <c r="C5430" s="42"/>
    </row>
    <row r="5431" spans="3:3" x14ac:dyDescent="0.25">
      <c r="C5431" s="42"/>
    </row>
    <row r="5432" spans="3:3" x14ac:dyDescent="0.25">
      <c r="C5432" s="42"/>
    </row>
    <row r="5433" spans="3:3" x14ac:dyDescent="0.25">
      <c r="C5433" s="42"/>
    </row>
    <row r="5434" spans="3:3" x14ac:dyDescent="0.25">
      <c r="C5434" s="42"/>
    </row>
    <row r="5435" spans="3:3" x14ac:dyDescent="0.25">
      <c r="C5435" s="42"/>
    </row>
    <row r="5436" spans="3:3" x14ac:dyDescent="0.25">
      <c r="C5436" s="42"/>
    </row>
    <row r="5437" spans="3:3" x14ac:dyDescent="0.25">
      <c r="C5437" s="42"/>
    </row>
    <row r="5438" spans="3:3" x14ac:dyDescent="0.25">
      <c r="C5438" s="42"/>
    </row>
    <row r="5439" spans="3:3" x14ac:dyDescent="0.25">
      <c r="C5439" s="42"/>
    </row>
    <row r="5440" spans="3:3" x14ac:dyDescent="0.25">
      <c r="C5440" s="42"/>
    </row>
    <row r="5441" spans="3:3" x14ac:dyDescent="0.25">
      <c r="C5441" s="42"/>
    </row>
    <row r="5442" spans="3:3" x14ac:dyDescent="0.25">
      <c r="C5442" s="42"/>
    </row>
    <row r="5443" spans="3:3" x14ac:dyDescent="0.25">
      <c r="C5443" s="42"/>
    </row>
    <row r="5444" spans="3:3" x14ac:dyDescent="0.25">
      <c r="C5444" s="42"/>
    </row>
    <row r="5445" spans="3:3" x14ac:dyDescent="0.25">
      <c r="C5445" s="42"/>
    </row>
    <row r="5446" spans="3:3" x14ac:dyDescent="0.25">
      <c r="C5446" s="42"/>
    </row>
    <row r="5447" spans="3:3" x14ac:dyDescent="0.25">
      <c r="C5447" s="42"/>
    </row>
    <row r="5448" spans="3:3" x14ac:dyDescent="0.25">
      <c r="C5448" s="42"/>
    </row>
    <row r="5449" spans="3:3" x14ac:dyDescent="0.25">
      <c r="C5449" s="42"/>
    </row>
    <row r="5450" spans="3:3" x14ac:dyDescent="0.25">
      <c r="C5450" s="42"/>
    </row>
    <row r="5451" spans="3:3" x14ac:dyDescent="0.25">
      <c r="C5451" s="42"/>
    </row>
    <row r="5452" spans="3:3" x14ac:dyDescent="0.25">
      <c r="C5452" s="42"/>
    </row>
    <row r="5453" spans="3:3" x14ac:dyDescent="0.25">
      <c r="C5453" s="42"/>
    </row>
    <row r="5454" spans="3:3" x14ac:dyDescent="0.25">
      <c r="C5454" s="42"/>
    </row>
    <row r="5455" spans="3:3" x14ac:dyDescent="0.25">
      <c r="C5455" s="42"/>
    </row>
    <row r="5456" spans="3:3" x14ac:dyDescent="0.25">
      <c r="C5456" s="42"/>
    </row>
    <row r="5457" spans="3:3" x14ac:dyDescent="0.25">
      <c r="C5457" s="42"/>
    </row>
    <row r="5458" spans="3:3" x14ac:dyDescent="0.25">
      <c r="C5458" s="42"/>
    </row>
    <row r="5459" spans="3:3" x14ac:dyDescent="0.25">
      <c r="C5459" s="42"/>
    </row>
    <row r="5460" spans="3:3" x14ac:dyDescent="0.25">
      <c r="C5460" s="42"/>
    </row>
    <row r="5461" spans="3:3" x14ac:dyDescent="0.25">
      <c r="C5461" s="42"/>
    </row>
    <row r="5462" spans="3:3" x14ac:dyDescent="0.25">
      <c r="C5462" s="42"/>
    </row>
    <row r="5463" spans="3:3" x14ac:dyDescent="0.25">
      <c r="C5463" s="42"/>
    </row>
    <row r="5464" spans="3:3" x14ac:dyDescent="0.25">
      <c r="C5464" s="42"/>
    </row>
    <row r="5465" spans="3:3" x14ac:dyDescent="0.25">
      <c r="C5465" s="42"/>
    </row>
    <row r="5466" spans="3:3" x14ac:dyDescent="0.25">
      <c r="C5466" s="42"/>
    </row>
    <row r="5467" spans="3:3" x14ac:dyDescent="0.25">
      <c r="C5467" s="42"/>
    </row>
    <row r="5468" spans="3:3" x14ac:dyDescent="0.25">
      <c r="C5468" s="42"/>
    </row>
    <row r="5469" spans="3:3" x14ac:dyDescent="0.25">
      <c r="C5469" s="42"/>
    </row>
    <row r="5470" spans="3:3" x14ac:dyDescent="0.25">
      <c r="C5470" s="42"/>
    </row>
    <row r="5471" spans="3:3" x14ac:dyDescent="0.25">
      <c r="C5471" s="42"/>
    </row>
    <row r="5472" spans="3:3" x14ac:dyDescent="0.25">
      <c r="C5472" s="42"/>
    </row>
    <row r="5473" spans="3:3" x14ac:dyDescent="0.25">
      <c r="C5473" s="42"/>
    </row>
    <row r="5474" spans="3:3" x14ac:dyDescent="0.25">
      <c r="C5474" s="42"/>
    </row>
    <row r="5475" spans="3:3" x14ac:dyDescent="0.25">
      <c r="C5475" s="42"/>
    </row>
    <row r="5476" spans="3:3" x14ac:dyDescent="0.25">
      <c r="C5476" s="42"/>
    </row>
    <row r="5477" spans="3:3" x14ac:dyDescent="0.25">
      <c r="C5477" s="42"/>
    </row>
    <row r="5478" spans="3:3" x14ac:dyDescent="0.25">
      <c r="C5478" s="42"/>
    </row>
    <row r="5479" spans="3:3" x14ac:dyDescent="0.25">
      <c r="C5479" s="42"/>
    </row>
    <row r="5480" spans="3:3" x14ac:dyDescent="0.25">
      <c r="C5480" s="42"/>
    </row>
    <row r="5481" spans="3:3" x14ac:dyDescent="0.25">
      <c r="C5481" s="42"/>
    </row>
    <row r="5482" spans="3:3" x14ac:dyDescent="0.25">
      <c r="C5482" s="42"/>
    </row>
    <row r="5483" spans="3:3" x14ac:dyDescent="0.25">
      <c r="C5483" s="42"/>
    </row>
    <row r="5484" spans="3:3" x14ac:dyDescent="0.25">
      <c r="C5484" s="42"/>
    </row>
    <row r="5485" spans="3:3" x14ac:dyDescent="0.25">
      <c r="C5485" s="42"/>
    </row>
    <row r="5486" spans="3:3" x14ac:dyDescent="0.25">
      <c r="C5486" s="42"/>
    </row>
    <row r="5487" spans="3:3" x14ac:dyDescent="0.25">
      <c r="C5487" s="42"/>
    </row>
    <row r="5488" spans="3:3" x14ac:dyDescent="0.25">
      <c r="C5488" s="42"/>
    </row>
    <row r="5489" spans="3:3" x14ac:dyDescent="0.25">
      <c r="C5489" s="42"/>
    </row>
    <row r="5490" spans="3:3" x14ac:dyDescent="0.25">
      <c r="C5490" s="42"/>
    </row>
    <row r="5491" spans="3:3" x14ac:dyDescent="0.25">
      <c r="C5491" s="42"/>
    </row>
    <row r="5492" spans="3:3" x14ac:dyDescent="0.25">
      <c r="C5492" s="42"/>
    </row>
    <row r="5493" spans="3:3" x14ac:dyDescent="0.25">
      <c r="C5493" s="42"/>
    </row>
    <row r="5494" spans="3:3" x14ac:dyDescent="0.25">
      <c r="C5494" s="42"/>
    </row>
    <row r="5495" spans="3:3" x14ac:dyDescent="0.25">
      <c r="C5495" s="42"/>
    </row>
    <row r="5496" spans="3:3" x14ac:dyDescent="0.25">
      <c r="C5496" s="42"/>
    </row>
    <row r="5497" spans="3:3" x14ac:dyDescent="0.25">
      <c r="C5497" s="42"/>
    </row>
    <row r="5498" spans="3:3" x14ac:dyDescent="0.25">
      <c r="C5498" s="42"/>
    </row>
    <row r="5499" spans="3:3" x14ac:dyDescent="0.25">
      <c r="C5499" s="42"/>
    </row>
    <row r="5500" spans="3:3" x14ac:dyDescent="0.25">
      <c r="C5500" s="42"/>
    </row>
    <row r="5501" spans="3:3" x14ac:dyDescent="0.25">
      <c r="C5501" s="42"/>
    </row>
    <row r="5502" spans="3:3" x14ac:dyDescent="0.25">
      <c r="C5502" s="42"/>
    </row>
    <row r="5503" spans="3:3" x14ac:dyDescent="0.25">
      <c r="C5503" s="42"/>
    </row>
    <row r="5504" spans="3:3" x14ac:dyDescent="0.25">
      <c r="C5504" s="42"/>
    </row>
    <row r="5505" spans="3:3" x14ac:dyDescent="0.25">
      <c r="C5505" s="42"/>
    </row>
    <row r="5506" spans="3:3" x14ac:dyDescent="0.25">
      <c r="C5506" s="42"/>
    </row>
    <row r="5507" spans="3:3" x14ac:dyDescent="0.25">
      <c r="C5507" s="42"/>
    </row>
    <row r="5508" spans="3:3" x14ac:dyDescent="0.25">
      <c r="C5508" s="42"/>
    </row>
    <row r="5509" spans="3:3" x14ac:dyDescent="0.25">
      <c r="C5509" s="42"/>
    </row>
    <row r="5510" spans="3:3" x14ac:dyDescent="0.25">
      <c r="C5510" s="42"/>
    </row>
    <row r="5511" spans="3:3" x14ac:dyDescent="0.25">
      <c r="C5511" s="42"/>
    </row>
    <row r="5512" spans="3:3" x14ac:dyDescent="0.25">
      <c r="C5512" s="42"/>
    </row>
    <row r="5513" spans="3:3" x14ac:dyDescent="0.25">
      <c r="C5513" s="42"/>
    </row>
    <row r="5514" spans="3:3" x14ac:dyDescent="0.25">
      <c r="C5514" s="42"/>
    </row>
    <row r="5515" spans="3:3" x14ac:dyDescent="0.25">
      <c r="C5515" s="42"/>
    </row>
    <row r="5516" spans="3:3" x14ac:dyDescent="0.25">
      <c r="C5516" s="42"/>
    </row>
    <row r="5517" spans="3:3" x14ac:dyDescent="0.25">
      <c r="C5517" s="42"/>
    </row>
    <row r="5518" spans="3:3" x14ac:dyDescent="0.25">
      <c r="C5518" s="42"/>
    </row>
    <row r="5519" spans="3:3" x14ac:dyDescent="0.25">
      <c r="C5519" s="42"/>
    </row>
    <row r="5520" spans="3:3" x14ac:dyDescent="0.25">
      <c r="C5520" s="42"/>
    </row>
    <row r="5521" spans="3:3" x14ac:dyDescent="0.25">
      <c r="C5521" s="42"/>
    </row>
    <row r="5522" spans="3:3" x14ac:dyDescent="0.25">
      <c r="C5522" s="42"/>
    </row>
    <row r="5523" spans="3:3" x14ac:dyDescent="0.25">
      <c r="C5523" s="42"/>
    </row>
    <row r="5524" spans="3:3" x14ac:dyDescent="0.25">
      <c r="C5524" s="42"/>
    </row>
    <row r="5525" spans="3:3" x14ac:dyDescent="0.25">
      <c r="C5525" s="42"/>
    </row>
    <row r="5526" spans="3:3" x14ac:dyDescent="0.25">
      <c r="C5526" s="42"/>
    </row>
    <row r="5527" spans="3:3" x14ac:dyDescent="0.25">
      <c r="C5527" s="42"/>
    </row>
    <row r="5528" spans="3:3" x14ac:dyDescent="0.25">
      <c r="C5528" s="42"/>
    </row>
    <row r="5529" spans="3:3" x14ac:dyDescent="0.25">
      <c r="C5529" s="42"/>
    </row>
    <row r="5530" spans="3:3" x14ac:dyDescent="0.25">
      <c r="C5530" s="42"/>
    </row>
    <row r="5531" spans="3:3" x14ac:dyDescent="0.25">
      <c r="C5531" s="42"/>
    </row>
    <row r="5532" spans="3:3" x14ac:dyDescent="0.25">
      <c r="C5532" s="42"/>
    </row>
    <row r="5533" spans="3:3" x14ac:dyDescent="0.25">
      <c r="C5533" s="42"/>
    </row>
    <row r="5534" spans="3:3" x14ac:dyDescent="0.25">
      <c r="C5534" s="42"/>
    </row>
    <row r="5535" spans="3:3" x14ac:dyDescent="0.25">
      <c r="C5535" s="42"/>
    </row>
    <row r="5536" spans="3:3" x14ac:dyDescent="0.25">
      <c r="C5536" s="42"/>
    </row>
    <row r="5537" spans="3:3" x14ac:dyDescent="0.25">
      <c r="C5537" s="42"/>
    </row>
    <row r="5538" spans="3:3" x14ac:dyDescent="0.25">
      <c r="C5538" s="42"/>
    </row>
    <row r="5539" spans="3:3" x14ac:dyDescent="0.25">
      <c r="C5539" s="42"/>
    </row>
    <row r="5540" spans="3:3" x14ac:dyDescent="0.25">
      <c r="C5540" s="42"/>
    </row>
    <row r="5541" spans="3:3" x14ac:dyDescent="0.25">
      <c r="C5541" s="42"/>
    </row>
    <row r="5542" spans="3:3" x14ac:dyDescent="0.25">
      <c r="C5542" s="42"/>
    </row>
    <row r="5543" spans="3:3" x14ac:dyDescent="0.25">
      <c r="C5543" s="42"/>
    </row>
    <row r="5544" spans="3:3" x14ac:dyDescent="0.25">
      <c r="C5544" s="42"/>
    </row>
    <row r="5545" spans="3:3" x14ac:dyDescent="0.25">
      <c r="C5545" s="42"/>
    </row>
    <row r="5546" spans="3:3" x14ac:dyDescent="0.25">
      <c r="C5546" s="42"/>
    </row>
    <row r="5547" spans="3:3" x14ac:dyDescent="0.25">
      <c r="C5547" s="42"/>
    </row>
    <row r="5548" spans="3:3" x14ac:dyDescent="0.25">
      <c r="C5548" s="42"/>
    </row>
    <row r="5549" spans="3:3" x14ac:dyDescent="0.25">
      <c r="C5549" s="42"/>
    </row>
    <row r="5550" spans="3:3" x14ac:dyDescent="0.25">
      <c r="C5550" s="42"/>
    </row>
    <row r="5551" spans="3:3" x14ac:dyDescent="0.25">
      <c r="C5551" s="42"/>
    </row>
    <row r="5552" spans="3:3" x14ac:dyDescent="0.25">
      <c r="C5552" s="42"/>
    </row>
    <row r="5553" spans="3:3" x14ac:dyDescent="0.25">
      <c r="C5553" s="42"/>
    </row>
    <row r="5554" spans="3:3" x14ac:dyDescent="0.25">
      <c r="C5554" s="42"/>
    </row>
    <row r="5555" spans="3:3" x14ac:dyDescent="0.25">
      <c r="C5555" s="42"/>
    </row>
    <row r="5556" spans="3:3" x14ac:dyDescent="0.25">
      <c r="C5556" s="42"/>
    </row>
    <row r="5557" spans="3:3" x14ac:dyDescent="0.25">
      <c r="C5557" s="42"/>
    </row>
    <row r="5558" spans="3:3" x14ac:dyDescent="0.25">
      <c r="C5558" s="42"/>
    </row>
    <row r="5559" spans="3:3" x14ac:dyDescent="0.25">
      <c r="C5559" s="42"/>
    </row>
    <row r="5560" spans="3:3" x14ac:dyDescent="0.25">
      <c r="C5560" s="42"/>
    </row>
    <row r="5561" spans="3:3" x14ac:dyDescent="0.25">
      <c r="C5561" s="42"/>
    </row>
    <row r="5562" spans="3:3" x14ac:dyDescent="0.25">
      <c r="C5562" s="42"/>
    </row>
    <row r="5563" spans="3:3" x14ac:dyDescent="0.25">
      <c r="C5563" s="42"/>
    </row>
    <row r="5564" spans="3:3" x14ac:dyDescent="0.25">
      <c r="C5564" s="42"/>
    </row>
    <row r="5565" spans="3:3" x14ac:dyDescent="0.25">
      <c r="C5565" s="42"/>
    </row>
    <row r="5566" spans="3:3" x14ac:dyDescent="0.25">
      <c r="C5566" s="42"/>
    </row>
    <row r="5567" spans="3:3" x14ac:dyDescent="0.25">
      <c r="C5567" s="42"/>
    </row>
    <row r="5568" spans="3:3" x14ac:dyDescent="0.25">
      <c r="C5568" s="42"/>
    </row>
    <row r="5569" spans="3:3" x14ac:dyDescent="0.25">
      <c r="C5569" s="42"/>
    </row>
    <row r="5570" spans="3:3" x14ac:dyDescent="0.25">
      <c r="C5570" s="42"/>
    </row>
    <row r="5571" spans="3:3" x14ac:dyDescent="0.25">
      <c r="C5571" s="42"/>
    </row>
    <row r="5572" spans="3:3" x14ac:dyDescent="0.25">
      <c r="C5572" s="42"/>
    </row>
    <row r="5573" spans="3:3" x14ac:dyDescent="0.25">
      <c r="C5573" s="42"/>
    </row>
    <row r="5574" spans="3:3" x14ac:dyDescent="0.25">
      <c r="C5574" s="42"/>
    </row>
    <row r="5575" spans="3:3" x14ac:dyDescent="0.25">
      <c r="C5575" s="42"/>
    </row>
    <row r="5576" spans="3:3" x14ac:dyDescent="0.25">
      <c r="C5576" s="42"/>
    </row>
    <row r="5577" spans="3:3" x14ac:dyDescent="0.25">
      <c r="C5577" s="42"/>
    </row>
    <row r="5578" spans="3:3" x14ac:dyDescent="0.25">
      <c r="C5578" s="42"/>
    </row>
    <row r="5579" spans="3:3" x14ac:dyDescent="0.25">
      <c r="C5579" s="42"/>
    </row>
    <row r="5580" spans="3:3" x14ac:dyDescent="0.25">
      <c r="C5580" s="42"/>
    </row>
    <row r="5581" spans="3:3" x14ac:dyDescent="0.25">
      <c r="C5581" s="42"/>
    </row>
    <row r="5582" spans="3:3" x14ac:dyDescent="0.25">
      <c r="C5582" s="42"/>
    </row>
    <row r="5583" spans="3:3" x14ac:dyDescent="0.25">
      <c r="C5583" s="42"/>
    </row>
    <row r="5584" spans="3:3" x14ac:dyDescent="0.25">
      <c r="C5584" s="42"/>
    </row>
    <row r="5585" spans="3:3" x14ac:dyDescent="0.25">
      <c r="C5585" s="42"/>
    </row>
    <row r="5586" spans="3:3" x14ac:dyDescent="0.25">
      <c r="C5586" s="42"/>
    </row>
    <row r="5587" spans="3:3" x14ac:dyDescent="0.25">
      <c r="C5587" s="42"/>
    </row>
    <row r="5588" spans="3:3" x14ac:dyDescent="0.25">
      <c r="C5588" s="42"/>
    </row>
    <row r="5589" spans="3:3" x14ac:dyDescent="0.25">
      <c r="C5589" s="42"/>
    </row>
    <row r="5590" spans="3:3" x14ac:dyDescent="0.25">
      <c r="C5590" s="42"/>
    </row>
    <row r="5591" spans="3:3" x14ac:dyDescent="0.25">
      <c r="C5591" s="42"/>
    </row>
    <row r="5592" spans="3:3" x14ac:dyDescent="0.25">
      <c r="C5592" s="42"/>
    </row>
    <row r="5593" spans="3:3" x14ac:dyDescent="0.25">
      <c r="C5593" s="42"/>
    </row>
    <row r="5594" spans="3:3" x14ac:dyDescent="0.25">
      <c r="C5594" s="42"/>
    </row>
    <row r="5595" spans="3:3" x14ac:dyDescent="0.25">
      <c r="C5595" s="42"/>
    </row>
    <row r="5596" spans="3:3" x14ac:dyDescent="0.25">
      <c r="C5596" s="42"/>
    </row>
    <row r="5597" spans="3:3" x14ac:dyDescent="0.25">
      <c r="C5597" s="42"/>
    </row>
    <row r="5598" spans="3:3" x14ac:dyDescent="0.25">
      <c r="C5598" s="42"/>
    </row>
    <row r="5599" spans="3:3" x14ac:dyDescent="0.25">
      <c r="C5599" s="42"/>
    </row>
    <row r="5600" spans="3:3" x14ac:dyDescent="0.25">
      <c r="C5600" s="42"/>
    </row>
    <row r="5601" spans="3:3" x14ac:dyDescent="0.25">
      <c r="C5601" s="42"/>
    </row>
    <row r="5602" spans="3:3" x14ac:dyDescent="0.25">
      <c r="C5602" s="42"/>
    </row>
    <row r="5603" spans="3:3" x14ac:dyDescent="0.25">
      <c r="C5603" s="42"/>
    </row>
    <row r="5604" spans="3:3" x14ac:dyDescent="0.25">
      <c r="C5604" s="42"/>
    </row>
    <row r="5605" spans="3:3" x14ac:dyDescent="0.25">
      <c r="C5605" s="42"/>
    </row>
    <row r="5606" spans="3:3" x14ac:dyDescent="0.25">
      <c r="C5606" s="42"/>
    </row>
    <row r="5607" spans="3:3" x14ac:dyDescent="0.25">
      <c r="C5607" s="42"/>
    </row>
    <row r="5608" spans="3:3" x14ac:dyDescent="0.25">
      <c r="C5608" s="42"/>
    </row>
    <row r="5609" spans="3:3" x14ac:dyDescent="0.25">
      <c r="C5609" s="42"/>
    </row>
    <row r="5610" spans="3:3" x14ac:dyDescent="0.25">
      <c r="C5610" s="42"/>
    </row>
    <row r="5611" spans="3:3" x14ac:dyDescent="0.25">
      <c r="C5611" s="42"/>
    </row>
    <row r="5612" spans="3:3" x14ac:dyDescent="0.25">
      <c r="C5612" s="42"/>
    </row>
    <row r="5613" spans="3:3" x14ac:dyDescent="0.25">
      <c r="C5613" s="42"/>
    </row>
    <row r="5614" spans="3:3" x14ac:dyDescent="0.25">
      <c r="C5614" s="42"/>
    </row>
    <row r="5615" spans="3:3" x14ac:dyDescent="0.25">
      <c r="C5615" s="42"/>
    </row>
    <row r="5616" spans="3:3" x14ac:dyDescent="0.25">
      <c r="C5616" s="42"/>
    </row>
    <row r="5617" spans="3:3" x14ac:dyDescent="0.25">
      <c r="C5617" s="42"/>
    </row>
    <row r="5618" spans="3:3" x14ac:dyDescent="0.25">
      <c r="C5618" s="42"/>
    </row>
    <row r="5619" spans="3:3" x14ac:dyDescent="0.25">
      <c r="C5619" s="42"/>
    </row>
    <row r="5620" spans="3:3" x14ac:dyDescent="0.25">
      <c r="C5620" s="42"/>
    </row>
    <row r="5621" spans="3:3" x14ac:dyDescent="0.25">
      <c r="C5621" s="42"/>
    </row>
    <row r="5622" spans="3:3" x14ac:dyDescent="0.25">
      <c r="C5622" s="42"/>
    </row>
    <row r="5623" spans="3:3" x14ac:dyDescent="0.25">
      <c r="C5623" s="42"/>
    </row>
    <row r="5624" spans="3:3" x14ac:dyDescent="0.25">
      <c r="C5624" s="42"/>
    </row>
    <row r="5625" spans="3:3" x14ac:dyDescent="0.25">
      <c r="C5625" s="42"/>
    </row>
    <row r="5626" spans="3:3" x14ac:dyDescent="0.25">
      <c r="C5626" s="42"/>
    </row>
    <row r="5627" spans="3:3" x14ac:dyDescent="0.25">
      <c r="C5627" s="42"/>
    </row>
    <row r="5628" spans="3:3" x14ac:dyDescent="0.25">
      <c r="C5628" s="42"/>
    </row>
    <row r="5629" spans="3:3" x14ac:dyDescent="0.25">
      <c r="C5629" s="42"/>
    </row>
    <row r="5630" spans="3:3" x14ac:dyDescent="0.25">
      <c r="C5630" s="42"/>
    </row>
    <row r="5631" spans="3:3" x14ac:dyDescent="0.25">
      <c r="C5631" s="42"/>
    </row>
    <row r="5632" spans="3:3" x14ac:dyDescent="0.25">
      <c r="C5632" s="42"/>
    </row>
    <row r="5633" spans="3:3" x14ac:dyDescent="0.25">
      <c r="C5633" s="42"/>
    </row>
    <row r="5634" spans="3:3" x14ac:dyDescent="0.25">
      <c r="C5634" s="42"/>
    </row>
    <row r="5635" spans="3:3" x14ac:dyDescent="0.25">
      <c r="C5635" s="42"/>
    </row>
    <row r="5636" spans="3:3" x14ac:dyDescent="0.25">
      <c r="C5636" s="42"/>
    </row>
    <row r="5637" spans="3:3" x14ac:dyDescent="0.25">
      <c r="C5637" s="42"/>
    </row>
    <row r="5638" spans="3:3" x14ac:dyDescent="0.25">
      <c r="C5638" s="42"/>
    </row>
    <row r="5639" spans="3:3" x14ac:dyDescent="0.25">
      <c r="C5639" s="42"/>
    </row>
    <row r="5640" spans="3:3" x14ac:dyDescent="0.25">
      <c r="C5640" s="42"/>
    </row>
    <row r="5641" spans="3:3" x14ac:dyDescent="0.25">
      <c r="C5641" s="42"/>
    </row>
    <row r="5642" spans="3:3" x14ac:dyDescent="0.25">
      <c r="C5642" s="42"/>
    </row>
    <row r="5643" spans="3:3" x14ac:dyDescent="0.25">
      <c r="C5643" s="42"/>
    </row>
    <row r="5644" spans="3:3" x14ac:dyDescent="0.25">
      <c r="C5644" s="42"/>
    </row>
    <row r="5645" spans="3:3" x14ac:dyDescent="0.25">
      <c r="C5645" s="42"/>
    </row>
    <row r="5646" spans="3:3" x14ac:dyDescent="0.25">
      <c r="C5646" s="42"/>
    </row>
    <row r="5647" spans="3:3" x14ac:dyDescent="0.25">
      <c r="C5647" s="42"/>
    </row>
    <row r="5648" spans="3:3" x14ac:dyDescent="0.25">
      <c r="C5648" s="42"/>
    </row>
    <row r="5649" spans="3:3" x14ac:dyDescent="0.25">
      <c r="C5649" s="42"/>
    </row>
    <row r="5650" spans="3:3" x14ac:dyDescent="0.25">
      <c r="C5650" s="42"/>
    </row>
    <row r="5651" spans="3:3" x14ac:dyDescent="0.25">
      <c r="C5651" s="42"/>
    </row>
    <row r="5652" spans="3:3" x14ac:dyDescent="0.25">
      <c r="C5652" s="42"/>
    </row>
    <row r="5653" spans="3:3" x14ac:dyDescent="0.25">
      <c r="C5653" s="42"/>
    </row>
    <row r="5654" spans="3:3" x14ac:dyDescent="0.25">
      <c r="C5654" s="42"/>
    </row>
    <row r="5655" spans="3:3" x14ac:dyDescent="0.25">
      <c r="C5655" s="42"/>
    </row>
    <row r="5656" spans="3:3" x14ac:dyDescent="0.25">
      <c r="C5656" s="42"/>
    </row>
    <row r="5657" spans="3:3" x14ac:dyDescent="0.25">
      <c r="C5657" s="42"/>
    </row>
    <row r="5658" spans="3:3" x14ac:dyDescent="0.25">
      <c r="C5658" s="42"/>
    </row>
    <row r="5659" spans="3:3" x14ac:dyDescent="0.25">
      <c r="C5659" s="42"/>
    </row>
    <row r="5660" spans="3:3" x14ac:dyDescent="0.25">
      <c r="C5660" s="42"/>
    </row>
    <row r="5661" spans="3:3" x14ac:dyDescent="0.25">
      <c r="C5661" s="42"/>
    </row>
    <row r="5662" spans="3:3" x14ac:dyDescent="0.25">
      <c r="C5662" s="42"/>
    </row>
    <row r="5663" spans="3:3" x14ac:dyDescent="0.25">
      <c r="C5663" s="42"/>
    </row>
    <row r="5664" spans="3:3" x14ac:dyDescent="0.25">
      <c r="C5664" s="42"/>
    </row>
    <row r="5665" spans="3:3" x14ac:dyDescent="0.25">
      <c r="C5665" s="42"/>
    </row>
    <row r="5666" spans="3:3" x14ac:dyDescent="0.25">
      <c r="C5666" s="42"/>
    </row>
    <row r="5667" spans="3:3" x14ac:dyDescent="0.25">
      <c r="C5667" s="42"/>
    </row>
    <row r="5668" spans="3:3" x14ac:dyDescent="0.25">
      <c r="C5668" s="42"/>
    </row>
    <row r="5669" spans="3:3" x14ac:dyDescent="0.25">
      <c r="C5669" s="42"/>
    </row>
    <row r="5670" spans="3:3" x14ac:dyDescent="0.25">
      <c r="C5670" s="42"/>
    </row>
    <row r="5671" spans="3:3" x14ac:dyDescent="0.25">
      <c r="C5671" s="42"/>
    </row>
    <row r="5672" spans="3:3" x14ac:dyDescent="0.25">
      <c r="C5672" s="42"/>
    </row>
    <row r="5673" spans="3:3" x14ac:dyDescent="0.25">
      <c r="C5673" s="42"/>
    </row>
    <row r="5674" spans="3:3" x14ac:dyDescent="0.25">
      <c r="C5674" s="42"/>
    </row>
    <row r="5675" spans="3:3" x14ac:dyDescent="0.25">
      <c r="C5675" s="42"/>
    </row>
    <row r="5676" spans="3:3" x14ac:dyDescent="0.25">
      <c r="C5676" s="42"/>
    </row>
    <row r="5677" spans="3:3" x14ac:dyDescent="0.25">
      <c r="C5677" s="42"/>
    </row>
    <row r="5678" spans="3:3" x14ac:dyDescent="0.25">
      <c r="C5678" s="42"/>
    </row>
    <row r="5679" spans="3:3" x14ac:dyDescent="0.25">
      <c r="C5679" s="42"/>
    </row>
    <row r="5680" spans="3:3" x14ac:dyDescent="0.25">
      <c r="C5680" s="42"/>
    </row>
    <row r="5681" spans="3:3" x14ac:dyDescent="0.25">
      <c r="C5681" s="42"/>
    </row>
    <row r="5682" spans="3:3" x14ac:dyDescent="0.25">
      <c r="C5682" s="42"/>
    </row>
    <row r="5683" spans="3:3" x14ac:dyDescent="0.25">
      <c r="C5683" s="42"/>
    </row>
    <row r="5684" spans="3:3" x14ac:dyDescent="0.25">
      <c r="C5684" s="42"/>
    </row>
    <row r="5685" spans="3:3" x14ac:dyDescent="0.25">
      <c r="C5685" s="42"/>
    </row>
    <row r="5686" spans="3:3" x14ac:dyDescent="0.25">
      <c r="C5686" s="42"/>
    </row>
    <row r="5687" spans="3:3" x14ac:dyDescent="0.25">
      <c r="C5687" s="42"/>
    </row>
    <row r="5688" spans="3:3" x14ac:dyDescent="0.25">
      <c r="C5688" s="42"/>
    </row>
    <row r="5689" spans="3:3" x14ac:dyDescent="0.25">
      <c r="C5689" s="42"/>
    </row>
    <row r="5690" spans="3:3" x14ac:dyDescent="0.25">
      <c r="C5690" s="42"/>
    </row>
    <row r="5691" spans="3:3" x14ac:dyDescent="0.25">
      <c r="C5691" s="42"/>
    </row>
    <row r="5692" spans="3:3" x14ac:dyDescent="0.25">
      <c r="C5692" s="42"/>
    </row>
    <row r="5693" spans="3:3" x14ac:dyDescent="0.25">
      <c r="C5693" s="42"/>
    </row>
    <row r="5694" spans="3:3" x14ac:dyDescent="0.25">
      <c r="C5694" s="42"/>
    </row>
    <row r="5695" spans="3:3" x14ac:dyDescent="0.25">
      <c r="C5695" s="42"/>
    </row>
    <row r="5696" spans="3:3" x14ac:dyDescent="0.25">
      <c r="C5696" s="42"/>
    </row>
    <row r="5697" spans="3:3" x14ac:dyDescent="0.25">
      <c r="C5697" s="42"/>
    </row>
    <row r="5698" spans="3:3" x14ac:dyDescent="0.25">
      <c r="C5698" s="42"/>
    </row>
    <row r="5699" spans="3:3" x14ac:dyDescent="0.25">
      <c r="C5699" s="42"/>
    </row>
    <row r="5700" spans="3:3" x14ac:dyDescent="0.25">
      <c r="C5700" s="42"/>
    </row>
    <row r="5701" spans="3:3" x14ac:dyDescent="0.25">
      <c r="C5701" s="42"/>
    </row>
    <row r="5702" spans="3:3" x14ac:dyDescent="0.25">
      <c r="C5702" s="42"/>
    </row>
    <row r="5703" spans="3:3" x14ac:dyDescent="0.25">
      <c r="C5703" s="42"/>
    </row>
    <row r="5704" spans="3:3" x14ac:dyDescent="0.25">
      <c r="C5704" s="42"/>
    </row>
    <row r="5705" spans="3:3" x14ac:dyDescent="0.25">
      <c r="C5705" s="42"/>
    </row>
    <row r="5706" spans="3:3" x14ac:dyDescent="0.25">
      <c r="C5706" s="42"/>
    </row>
    <row r="5707" spans="3:3" x14ac:dyDescent="0.25">
      <c r="C5707" s="42"/>
    </row>
    <row r="5708" spans="3:3" x14ac:dyDescent="0.25">
      <c r="C5708" s="42"/>
    </row>
    <row r="5709" spans="3:3" x14ac:dyDescent="0.25">
      <c r="C5709" s="42"/>
    </row>
    <row r="5710" spans="3:3" x14ac:dyDescent="0.25">
      <c r="C5710" s="42"/>
    </row>
    <row r="5711" spans="3:3" x14ac:dyDescent="0.25">
      <c r="C5711" s="42"/>
    </row>
    <row r="5712" spans="3:3" x14ac:dyDescent="0.25">
      <c r="C5712" s="42"/>
    </row>
    <row r="5713" spans="3:3" x14ac:dyDescent="0.25">
      <c r="C5713" s="42"/>
    </row>
    <row r="5714" spans="3:3" x14ac:dyDescent="0.25">
      <c r="C5714" s="42"/>
    </row>
    <row r="5715" spans="3:3" x14ac:dyDescent="0.25">
      <c r="C5715" s="42"/>
    </row>
    <row r="5716" spans="3:3" x14ac:dyDescent="0.25">
      <c r="C5716" s="42"/>
    </row>
    <row r="5717" spans="3:3" x14ac:dyDescent="0.25">
      <c r="C5717" s="42"/>
    </row>
    <row r="5718" spans="3:3" x14ac:dyDescent="0.25">
      <c r="C5718" s="42"/>
    </row>
    <row r="5719" spans="3:3" x14ac:dyDescent="0.25">
      <c r="C5719" s="42"/>
    </row>
    <row r="5720" spans="3:3" x14ac:dyDescent="0.25">
      <c r="C5720" s="42"/>
    </row>
    <row r="5721" spans="3:3" x14ac:dyDescent="0.25">
      <c r="C5721" s="42"/>
    </row>
    <row r="5722" spans="3:3" x14ac:dyDescent="0.25">
      <c r="C5722" s="42"/>
    </row>
    <row r="5723" spans="3:3" x14ac:dyDescent="0.25">
      <c r="C5723" s="42"/>
    </row>
    <row r="5724" spans="3:3" x14ac:dyDescent="0.25">
      <c r="C5724" s="42"/>
    </row>
    <row r="5725" spans="3:3" x14ac:dyDescent="0.25">
      <c r="C5725" s="42"/>
    </row>
    <row r="5726" spans="3:3" x14ac:dyDescent="0.25">
      <c r="C5726" s="42"/>
    </row>
    <row r="5727" spans="3:3" x14ac:dyDescent="0.25">
      <c r="C5727" s="42"/>
    </row>
    <row r="5728" spans="3:3" x14ac:dyDescent="0.25">
      <c r="C5728" s="42"/>
    </row>
    <row r="5729" spans="3:3" x14ac:dyDescent="0.25">
      <c r="C5729" s="42"/>
    </row>
    <row r="5730" spans="3:3" x14ac:dyDescent="0.25">
      <c r="C5730" s="42"/>
    </row>
    <row r="5731" spans="3:3" x14ac:dyDescent="0.25">
      <c r="C5731" s="42"/>
    </row>
    <row r="5732" spans="3:3" x14ac:dyDescent="0.25">
      <c r="C5732" s="42"/>
    </row>
    <row r="5733" spans="3:3" x14ac:dyDescent="0.25">
      <c r="C5733" s="42"/>
    </row>
    <row r="5734" spans="3:3" x14ac:dyDescent="0.25">
      <c r="C5734" s="42"/>
    </row>
    <row r="5735" spans="3:3" x14ac:dyDescent="0.25">
      <c r="C5735" s="42"/>
    </row>
    <row r="5736" spans="3:3" x14ac:dyDescent="0.25">
      <c r="C5736" s="42"/>
    </row>
    <row r="5737" spans="3:3" x14ac:dyDescent="0.25">
      <c r="C5737" s="42"/>
    </row>
    <row r="5738" spans="3:3" x14ac:dyDescent="0.25">
      <c r="C5738" s="42"/>
    </row>
    <row r="5739" spans="3:3" x14ac:dyDescent="0.25">
      <c r="C5739" s="42"/>
    </row>
    <row r="5740" spans="3:3" x14ac:dyDescent="0.25">
      <c r="C5740" s="42"/>
    </row>
    <row r="5741" spans="3:3" x14ac:dyDescent="0.25">
      <c r="C5741" s="42"/>
    </row>
    <row r="5742" spans="3:3" x14ac:dyDescent="0.25">
      <c r="C5742" s="42"/>
    </row>
    <row r="5743" spans="3:3" x14ac:dyDescent="0.25">
      <c r="C5743" s="42"/>
    </row>
    <row r="5744" spans="3:3" x14ac:dyDescent="0.25">
      <c r="C5744" s="42"/>
    </row>
    <row r="5745" spans="3:3" x14ac:dyDescent="0.25">
      <c r="C5745" s="42"/>
    </row>
    <row r="5746" spans="3:3" x14ac:dyDescent="0.25">
      <c r="C5746" s="42"/>
    </row>
    <row r="5747" spans="3:3" x14ac:dyDescent="0.25">
      <c r="C5747" s="42"/>
    </row>
    <row r="5748" spans="3:3" x14ac:dyDescent="0.25">
      <c r="C5748" s="42"/>
    </row>
    <row r="5749" spans="3:3" x14ac:dyDescent="0.25">
      <c r="C5749" s="42"/>
    </row>
    <row r="5750" spans="3:3" x14ac:dyDescent="0.25">
      <c r="C5750" s="42"/>
    </row>
    <row r="5751" spans="3:3" x14ac:dyDescent="0.25">
      <c r="C5751" s="42"/>
    </row>
    <row r="5752" spans="3:3" x14ac:dyDescent="0.25">
      <c r="C5752" s="42"/>
    </row>
    <row r="5753" spans="3:3" x14ac:dyDescent="0.25">
      <c r="C5753" s="42"/>
    </row>
    <row r="5754" spans="3:3" x14ac:dyDescent="0.25">
      <c r="C5754" s="42"/>
    </row>
    <row r="5755" spans="3:3" x14ac:dyDescent="0.25">
      <c r="C5755" s="42"/>
    </row>
    <row r="5756" spans="3:3" x14ac:dyDescent="0.25">
      <c r="C5756" s="42"/>
    </row>
    <row r="5757" spans="3:3" x14ac:dyDescent="0.25">
      <c r="C5757" s="42"/>
    </row>
    <row r="5758" spans="3:3" x14ac:dyDescent="0.25">
      <c r="C5758" s="42"/>
    </row>
    <row r="5759" spans="3:3" x14ac:dyDescent="0.25">
      <c r="C5759" s="42"/>
    </row>
    <row r="5760" spans="3:3" x14ac:dyDescent="0.25">
      <c r="C5760" s="42"/>
    </row>
    <row r="5761" spans="3:3" x14ac:dyDescent="0.25">
      <c r="C5761" s="42"/>
    </row>
    <row r="5762" spans="3:3" x14ac:dyDescent="0.25">
      <c r="C5762" s="42"/>
    </row>
    <row r="5763" spans="3:3" x14ac:dyDescent="0.25">
      <c r="C5763" s="42"/>
    </row>
    <row r="5764" spans="3:3" x14ac:dyDescent="0.25">
      <c r="C5764" s="42"/>
    </row>
    <row r="5765" spans="3:3" x14ac:dyDescent="0.25">
      <c r="C5765" s="42"/>
    </row>
    <row r="5766" spans="3:3" x14ac:dyDescent="0.25">
      <c r="C5766" s="42"/>
    </row>
    <row r="5767" spans="3:3" x14ac:dyDescent="0.25">
      <c r="C5767" s="42"/>
    </row>
    <row r="5768" spans="3:3" x14ac:dyDescent="0.25">
      <c r="C5768" s="42"/>
    </row>
    <row r="5769" spans="3:3" x14ac:dyDescent="0.25">
      <c r="C5769" s="42"/>
    </row>
    <row r="5770" spans="3:3" x14ac:dyDescent="0.25">
      <c r="C5770" s="42"/>
    </row>
    <row r="5771" spans="3:3" x14ac:dyDescent="0.25">
      <c r="C5771" s="42"/>
    </row>
    <row r="5772" spans="3:3" x14ac:dyDescent="0.25">
      <c r="C5772" s="42"/>
    </row>
    <row r="5773" spans="3:3" x14ac:dyDescent="0.25">
      <c r="C5773" s="42"/>
    </row>
    <row r="5774" spans="3:3" x14ac:dyDescent="0.25">
      <c r="C5774" s="42"/>
    </row>
    <row r="5775" spans="3:3" x14ac:dyDescent="0.25">
      <c r="C5775" s="42"/>
    </row>
    <row r="5776" spans="3:3" x14ac:dyDescent="0.25">
      <c r="C5776" s="42"/>
    </row>
    <row r="5777" spans="3:3" x14ac:dyDescent="0.25">
      <c r="C5777" s="42"/>
    </row>
    <row r="5778" spans="3:3" x14ac:dyDescent="0.25">
      <c r="C5778" s="42"/>
    </row>
    <row r="5779" spans="3:3" x14ac:dyDescent="0.25">
      <c r="C5779" s="42"/>
    </row>
    <row r="5780" spans="3:3" x14ac:dyDescent="0.25">
      <c r="C5780" s="42"/>
    </row>
    <row r="5781" spans="3:3" x14ac:dyDescent="0.25">
      <c r="C5781" s="42"/>
    </row>
    <row r="5782" spans="3:3" x14ac:dyDescent="0.25">
      <c r="C5782" s="42"/>
    </row>
    <row r="5783" spans="3:3" x14ac:dyDescent="0.25">
      <c r="C5783" s="42"/>
    </row>
    <row r="5784" spans="3:3" x14ac:dyDescent="0.25">
      <c r="C5784" s="42"/>
    </row>
    <row r="5785" spans="3:3" x14ac:dyDescent="0.25">
      <c r="C5785" s="42"/>
    </row>
    <row r="5786" spans="3:3" x14ac:dyDescent="0.25">
      <c r="C5786" s="42"/>
    </row>
    <row r="5787" spans="3:3" x14ac:dyDescent="0.25">
      <c r="C5787" s="42"/>
    </row>
    <row r="5788" spans="3:3" x14ac:dyDescent="0.25">
      <c r="C5788" s="42"/>
    </row>
    <row r="5789" spans="3:3" x14ac:dyDescent="0.25">
      <c r="C5789" s="42"/>
    </row>
    <row r="5790" spans="3:3" x14ac:dyDescent="0.25">
      <c r="C5790" s="42"/>
    </row>
    <row r="5791" spans="3:3" x14ac:dyDescent="0.25">
      <c r="C5791" s="42"/>
    </row>
    <row r="5792" spans="3:3" x14ac:dyDescent="0.25">
      <c r="C5792" s="42"/>
    </row>
    <row r="5793" spans="3:3" x14ac:dyDescent="0.25">
      <c r="C5793" s="42"/>
    </row>
    <row r="5794" spans="3:3" x14ac:dyDescent="0.25">
      <c r="C5794" s="42"/>
    </row>
    <row r="5795" spans="3:3" x14ac:dyDescent="0.25">
      <c r="C5795" s="42"/>
    </row>
    <row r="5796" spans="3:3" x14ac:dyDescent="0.25">
      <c r="C5796" s="42"/>
    </row>
    <row r="5797" spans="3:3" x14ac:dyDescent="0.25">
      <c r="C5797" s="42"/>
    </row>
    <row r="5798" spans="3:3" x14ac:dyDescent="0.25">
      <c r="C5798" s="42"/>
    </row>
    <row r="5799" spans="3:3" x14ac:dyDescent="0.25">
      <c r="C5799" s="42"/>
    </row>
    <row r="5800" spans="3:3" x14ac:dyDescent="0.25">
      <c r="C5800" s="42"/>
    </row>
    <row r="5801" spans="3:3" x14ac:dyDescent="0.25">
      <c r="C5801" s="42"/>
    </row>
    <row r="5802" spans="3:3" x14ac:dyDescent="0.25">
      <c r="C5802" s="42"/>
    </row>
    <row r="5803" spans="3:3" x14ac:dyDescent="0.25">
      <c r="C5803" s="42"/>
    </row>
    <row r="5804" spans="3:3" x14ac:dyDescent="0.25">
      <c r="C5804" s="42"/>
    </row>
    <row r="5805" spans="3:3" x14ac:dyDescent="0.25">
      <c r="C5805" s="42"/>
    </row>
    <row r="5806" spans="3:3" x14ac:dyDescent="0.25">
      <c r="C5806" s="42"/>
    </row>
    <row r="5807" spans="3:3" x14ac:dyDescent="0.25">
      <c r="C5807" s="42"/>
    </row>
    <row r="5808" spans="3:3" x14ac:dyDescent="0.25">
      <c r="C5808" s="42"/>
    </row>
    <row r="5809" spans="3:3" x14ac:dyDescent="0.25">
      <c r="C5809" s="42"/>
    </row>
    <row r="5810" spans="3:3" x14ac:dyDescent="0.25">
      <c r="C5810" s="42"/>
    </row>
    <row r="5811" spans="3:3" x14ac:dyDescent="0.25">
      <c r="C5811" s="42"/>
    </row>
    <row r="5812" spans="3:3" x14ac:dyDescent="0.25">
      <c r="C5812" s="42"/>
    </row>
    <row r="5813" spans="3:3" x14ac:dyDescent="0.25">
      <c r="C5813" s="42"/>
    </row>
    <row r="5814" spans="3:3" x14ac:dyDescent="0.25">
      <c r="C5814" s="42"/>
    </row>
    <row r="5815" spans="3:3" x14ac:dyDescent="0.25">
      <c r="C5815" s="42"/>
    </row>
    <row r="5816" spans="3:3" x14ac:dyDescent="0.25">
      <c r="C5816" s="42"/>
    </row>
    <row r="5817" spans="3:3" x14ac:dyDescent="0.25">
      <c r="C5817" s="42"/>
    </row>
    <row r="5818" spans="3:3" x14ac:dyDescent="0.25">
      <c r="C5818" s="42"/>
    </row>
    <row r="5819" spans="3:3" x14ac:dyDescent="0.25">
      <c r="C5819" s="42"/>
    </row>
    <row r="5820" spans="3:3" x14ac:dyDescent="0.25">
      <c r="C5820" s="42"/>
    </row>
    <row r="5821" spans="3:3" x14ac:dyDescent="0.25">
      <c r="C5821" s="42"/>
    </row>
    <row r="5822" spans="3:3" x14ac:dyDescent="0.25">
      <c r="C5822" s="42"/>
    </row>
    <row r="5823" spans="3:3" x14ac:dyDescent="0.25">
      <c r="C5823" s="42"/>
    </row>
    <row r="5824" spans="3:3" x14ac:dyDescent="0.25">
      <c r="C5824" s="42"/>
    </row>
    <row r="5825" spans="3:3" x14ac:dyDescent="0.25">
      <c r="C5825" s="42"/>
    </row>
    <row r="5826" spans="3:3" x14ac:dyDescent="0.25">
      <c r="C5826" s="42"/>
    </row>
    <row r="5827" spans="3:3" x14ac:dyDescent="0.25">
      <c r="C5827" s="42"/>
    </row>
    <row r="5828" spans="3:3" x14ac:dyDescent="0.25">
      <c r="C5828" s="42"/>
    </row>
    <row r="5829" spans="3:3" x14ac:dyDescent="0.25">
      <c r="C5829" s="42"/>
    </row>
    <row r="5830" spans="3:3" x14ac:dyDescent="0.25">
      <c r="C5830" s="42"/>
    </row>
    <row r="5831" spans="3:3" x14ac:dyDescent="0.25">
      <c r="C5831" s="42"/>
    </row>
    <row r="5832" spans="3:3" x14ac:dyDescent="0.25">
      <c r="C5832" s="42"/>
    </row>
    <row r="5833" spans="3:3" x14ac:dyDescent="0.25">
      <c r="C5833" s="42"/>
    </row>
    <row r="5834" spans="3:3" x14ac:dyDescent="0.25">
      <c r="C5834" s="42"/>
    </row>
    <row r="5835" spans="3:3" x14ac:dyDescent="0.25">
      <c r="C5835" s="42"/>
    </row>
    <row r="5836" spans="3:3" x14ac:dyDescent="0.25">
      <c r="C5836" s="42"/>
    </row>
    <row r="5837" spans="3:3" x14ac:dyDescent="0.25">
      <c r="C5837" s="42"/>
    </row>
    <row r="5838" spans="3:3" x14ac:dyDescent="0.25">
      <c r="C5838" s="42"/>
    </row>
    <row r="5839" spans="3:3" x14ac:dyDescent="0.25">
      <c r="C5839" s="42"/>
    </row>
    <row r="5840" spans="3:3" x14ac:dyDescent="0.25">
      <c r="C5840" s="42"/>
    </row>
    <row r="5841" spans="3:3" x14ac:dyDescent="0.25">
      <c r="C5841" s="42"/>
    </row>
    <row r="5842" spans="3:3" x14ac:dyDescent="0.25">
      <c r="C5842" s="42"/>
    </row>
    <row r="5843" spans="3:3" x14ac:dyDescent="0.25">
      <c r="C5843" s="42"/>
    </row>
    <row r="5844" spans="3:3" x14ac:dyDescent="0.25">
      <c r="C5844" s="42"/>
    </row>
    <row r="5845" spans="3:3" x14ac:dyDescent="0.25">
      <c r="C5845" s="42"/>
    </row>
    <row r="5846" spans="3:3" x14ac:dyDescent="0.25">
      <c r="C5846" s="42"/>
    </row>
    <row r="5847" spans="3:3" x14ac:dyDescent="0.25">
      <c r="C5847" s="42"/>
    </row>
    <row r="5848" spans="3:3" x14ac:dyDescent="0.25">
      <c r="C5848" s="42"/>
    </row>
    <row r="5849" spans="3:3" x14ac:dyDescent="0.25">
      <c r="C5849" s="42"/>
    </row>
    <row r="5850" spans="3:3" x14ac:dyDescent="0.25">
      <c r="C5850" s="42"/>
    </row>
    <row r="5851" spans="3:3" x14ac:dyDescent="0.25">
      <c r="C5851" s="42"/>
    </row>
    <row r="5852" spans="3:3" x14ac:dyDescent="0.25">
      <c r="C5852" s="42"/>
    </row>
    <row r="5853" spans="3:3" x14ac:dyDescent="0.25">
      <c r="C5853" s="42"/>
    </row>
    <row r="5854" spans="3:3" x14ac:dyDescent="0.25">
      <c r="C5854" s="42"/>
    </row>
    <row r="5855" spans="3:3" x14ac:dyDescent="0.25">
      <c r="C5855" s="42"/>
    </row>
    <row r="5856" spans="3:3" x14ac:dyDescent="0.25">
      <c r="C5856" s="42"/>
    </row>
    <row r="5857" spans="3:3" x14ac:dyDescent="0.25">
      <c r="C5857" s="42"/>
    </row>
    <row r="5858" spans="3:3" x14ac:dyDescent="0.25">
      <c r="C5858" s="42"/>
    </row>
    <row r="5859" spans="3:3" x14ac:dyDescent="0.25">
      <c r="C5859" s="42"/>
    </row>
    <row r="5860" spans="3:3" x14ac:dyDescent="0.25">
      <c r="C5860" s="42"/>
    </row>
    <row r="5861" spans="3:3" x14ac:dyDescent="0.25">
      <c r="C5861" s="42"/>
    </row>
    <row r="5862" spans="3:3" x14ac:dyDescent="0.25">
      <c r="C5862" s="42"/>
    </row>
    <row r="5863" spans="3:3" x14ac:dyDescent="0.25">
      <c r="C5863" s="42"/>
    </row>
    <row r="5864" spans="3:3" x14ac:dyDescent="0.25">
      <c r="C5864" s="42"/>
    </row>
    <row r="5865" spans="3:3" x14ac:dyDescent="0.25">
      <c r="C5865" s="42"/>
    </row>
    <row r="5866" spans="3:3" x14ac:dyDescent="0.25">
      <c r="C5866" s="42"/>
    </row>
    <row r="5867" spans="3:3" x14ac:dyDescent="0.25">
      <c r="C5867" s="42"/>
    </row>
    <row r="5868" spans="3:3" x14ac:dyDescent="0.25">
      <c r="C5868" s="42"/>
    </row>
    <row r="5869" spans="3:3" x14ac:dyDescent="0.25">
      <c r="C5869" s="42"/>
    </row>
    <row r="5870" spans="3:3" x14ac:dyDescent="0.25">
      <c r="C5870" s="42"/>
    </row>
    <row r="5871" spans="3:3" x14ac:dyDescent="0.25">
      <c r="C5871" s="42"/>
    </row>
    <row r="5872" spans="3:3" x14ac:dyDescent="0.25">
      <c r="C5872" s="42"/>
    </row>
    <row r="5873" spans="3:3" x14ac:dyDescent="0.25">
      <c r="C5873" s="42"/>
    </row>
    <row r="5874" spans="3:3" x14ac:dyDescent="0.25">
      <c r="C5874" s="42"/>
    </row>
    <row r="5875" spans="3:3" x14ac:dyDescent="0.25">
      <c r="C5875" s="42"/>
    </row>
    <row r="5876" spans="3:3" x14ac:dyDescent="0.25">
      <c r="C5876" s="42"/>
    </row>
    <row r="5877" spans="3:3" x14ac:dyDescent="0.25">
      <c r="C5877" s="42"/>
    </row>
    <row r="5878" spans="3:3" x14ac:dyDescent="0.25">
      <c r="C5878" s="42"/>
    </row>
    <row r="5879" spans="3:3" x14ac:dyDescent="0.25">
      <c r="C5879" s="42"/>
    </row>
    <row r="5880" spans="3:3" x14ac:dyDescent="0.25">
      <c r="C5880" s="42"/>
    </row>
    <row r="5881" spans="3:3" x14ac:dyDescent="0.25">
      <c r="C5881" s="42"/>
    </row>
    <row r="5882" spans="3:3" x14ac:dyDescent="0.25">
      <c r="C5882" s="42"/>
    </row>
    <row r="5883" spans="3:3" x14ac:dyDescent="0.25">
      <c r="C5883" s="42"/>
    </row>
    <row r="5884" spans="3:3" x14ac:dyDescent="0.25">
      <c r="C5884" s="42"/>
    </row>
    <row r="5885" spans="3:3" x14ac:dyDescent="0.25">
      <c r="C5885" s="42"/>
    </row>
    <row r="5886" spans="3:3" x14ac:dyDescent="0.25">
      <c r="C5886" s="42"/>
    </row>
    <row r="5887" spans="3:3" x14ac:dyDescent="0.25">
      <c r="C5887" s="42"/>
    </row>
    <row r="5888" spans="3:3" x14ac:dyDescent="0.25">
      <c r="C5888" s="42"/>
    </row>
    <row r="5889" spans="3:3" x14ac:dyDescent="0.25">
      <c r="C5889" s="42"/>
    </row>
    <row r="5890" spans="3:3" x14ac:dyDescent="0.25">
      <c r="C5890" s="42"/>
    </row>
    <row r="5891" spans="3:3" x14ac:dyDescent="0.25">
      <c r="C5891" s="42"/>
    </row>
    <row r="5892" spans="3:3" x14ac:dyDescent="0.25">
      <c r="C5892" s="42"/>
    </row>
    <row r="5893" spans="3:3" x14ac:dyDescent="0.25">
      <c r="C5893" s="42"/>
    </row>
    <row r="5894" spans="3:3" x14ac:dyDescent="0.25">
      <c r="C5894" s="42"/>
    </row>
    <row r="5895" spans="3:3" x14ac:dyDescent="0.25">
      <c r="C5895" s="42"/>
    </row>
    <row r="5896" spans="3:3" x14ac:dyDescent="0.25">
      <c r="C5896" s="42"/>
    </row>
    <row r="5897" spans="3:3" x14ac:dyDescent="0.25">
      <c r="C5897" s="42"/>
    </row>
    <row r="5898" spans="3:3" x14ac:dyDescent="0.25">
      <c r="C5898" s="42"/>
    </row>
    <row r="5899" spans="3:3" x14ac:dyDescent="0.25">
      <c r="C5899" s="42"/>
    </row>
    <row r="5900" spans="3:3" x14ac:dyDescent="0.25">
      <c r="C5900" s="42"/>
    </row>
    <row r="5901" spans="3:3" x14ac:dyDescent="0.25">
      <c r="C5901" s="42"/>
    </row>
    <row r="5902" spans="3:3" x14ac:dyDescent="0.25">
      <c r="C5902" s="42"/>
    </row>
    <row r="5903" spans="3:3" x14ac:dyDescent="0.25">
      <c r="C5903" s="42"/>
    </row>
    <row r="5904" spans="3:3" x14ac:dyDescent="0.25">
      <c r="C5904" s="42"/>
    </row>
    <row r="5905" spans="3:3" x14ac:dyDescent="0.25">
      <c r="C5905" s="42"/>
    </row>
    <row r="5906" spans="3:3" x14ac:dyDescent="0.25">
      <c r="C5906" s="42"/>
    </row>
    <row r="5907" spans="3:3" x14ac:dyDescent="0.25">
      <c r="C5907" s="42"/>
    </row>
    <row r="5908" spans="3:3" x14ac:dyDescent="0.25">
      <c r="C5908" s="42"/>
    </row>
    <row r="5909" spans="3:3" x14ac:dyDescent="0.25">
      <c r="C5909" s="42"/>
    </row>
    <row r="5910" spans="3:3" x14ac:dyDescent="0.25">
      <c r="C5910" s="42"/>
    </row>
    <row r="5911" spans="3:3" x14ac:dyDescent="0.25">
      <c r="C5911" s="42"/>
    </row>
    <row r="5912" spans="3:3" x14ac:dyDescent="0.25">
      <c r="C5912" s="42"/>
    </row>
    <row r="5913" spans="3:3" x14ac:dyDescent="0.25">
      <c r="C5913" s="42"/>
    </row>
    <row r="5914" spans="3:3" x14ac:dyDescent="0.25">
      <c r="C5914" s="42"/>
    </row>
    <row r="5915" spans="3:3" x14ac:dyDescent="0.25">
      <c r="C5915" s="42"/>
    </row>
    <row r="5916" spans="3:3" x14ac:dyDescent="0.25">
      <c r="C5916" s="42"/>
    </row>
    <row r="5917" spans="3:3" x14ac:dyDescent="0.25">
      <c r="C5917" s="42"/>
    </row>
    <row r="5918" spans="3:3" x14ac:dyDescent="0.25">
      <c r="C5918" s="42"/>
    </row>
    <row r="5919" spans="3:3" x14ac:dyDescent="0.25">
      <c r="C5919" s="42"/>
    </row>
    <row r="5920" spans="3:3" x14ac:dyDescent="0.25">
      <c r="C5920" s="42"/>
    </row>
    <row r="5921" spans="3:3" x14ac:dyDescent="0.25">
      <c r="C5921" s="42"/>
    </row>
    <row r="5922" spans="3:3" x14ac:dyDescent="0.25">
      <c r="C5922" s="42"/>
    </row>
    <row r="5923" spans="3:3" x14ac:dyDescent="0.25">
      <c r="C5923" s="42"/>
    </row>
    <row r="5924" spans="3:3" x14ac:dyDescent="0.25">
      <c r="C5924" s="42"/>
    </row>
    <row r="5925" spans="3:3" x14ac:dyDescent="0.25">
      <c r="C5925" s="42"/>
    </row>
    <row r="5926" spans="3:3" x14ac:dyDescent="0.25">
      <c r="C5926" s="42"/>
    </row>
    <row r="5927" spans="3:3" x14ac:dyDescent="0.25">
      <c r="C5927" s="42"/>
    </row>
    <row r="5928" spans="3:3" x14ac:dyDescent="0.25">
      <c r="C5928" s="42"/>
    </row>
    <row r="5929" spans="3:3" x14ac:dyDescent="0.25">
      <c r="C5929" s="42"/>
    </row>
    <row r="5930" spans="3:3" x14ac:dyDescent="0.25">
      <c r="C5930" s="42"/>
    </row>
    <row r="5931" spans="3:3" x14ac:dyDescent="0.25">
      <c r="C5931" s="42"/>
    </row>
    <row r="5932" spans="3:3" x14ac:dyDescent="0.25">
      <c r="C5932" s="42"/>
    </row>
    <row r="5933" spans="3:3" x14ac:dyDescent="0.25">
      <c r="C5933" s="42"/>
    </row>
    <row r="5934" spans="3:3" x14ac:dyDescent="0.25">
      <c r="C5934" s="42"/>
    </row>
    <row r="5935" spans="3:3" x14ac:dyDescent="0.25">
      <c r="C5935" s="42"/>
    </row>
    <row r="5936" spans="3:3" x14ac:dyDescent="0.25">
      <c r="C5936" s="42"/>
    </row>
    <row r="5937" spans="3:3" x14ac:dyDescent="0.25">
      <c r="C5937" s="42"/>
    </row>
    <row r="5938" spans="3:3" x14ac:dyDescent="0.25">
      <c r="C5938" s="42"/>
    </row>
    <row r="5939" spans="3:3" x14ac:dyDescent="0.25">
      <c r="C5939" s="42"/>
    </row>
    <row r="5940" spans="3:3" x14ac:dyDescent="0.25">
      <c r="C5940" s="42"/>
    </row>
    <row r="5941" spans="3:3" x14ac:dyDescent="0.25">
      <c r="C5941" s="42"/>
    </row>
    <row r="5942" spans="3:3" x14ac:dyDescent="0.25">
      <c r="C5942" s="42"/>
    </row>
    <row r="5943" spans="3:3" x14ac:dyDescent="0.25">
      <c r="C5943" s="42"/>
    </row>
    <row r="5944" spans="3:3" x14ac:dyDescent="0.25">
      <c r="C5944" s="42"/>
    </row>
    <row r="5945" spans="3:3" x14ac:dyDescent="0.25">
      <c r="C5945" s="42"/>
    </row>
    <row r="5946" spans="3:3" x14ac:dyDescent="0.25">
      <c r="C5946" s="42"/>
    </row>
    <row r="5947" spans="3:3" x14ac:dyDescent="0.25">
      <c r="C5947" s="42"/>
    </row>
    <row r="5948" spans="3:3" x14ac:dyDescent="0.25">
      <c r="C5948" s="42"/>
    </row>
    <row r="5949" spans="3:3" x14ac:dyDescent="0.25">
      <c r="C5949" s="42"/>
    </row>
    <row r="5950" spans="3:3" x14ac:dyDescent="0.25">
      <c r="C5950" s="42"/>
    </row>
    <row r="5951" spans="3:3" x14ac:dyDescent="0.25">
      <c r="C5951" s="42"/>
    </row>
    <row r="5952" spans="3:3" x14ac:dyDescent="0.25">
      <c r="C5952" s="42"/>
    </row>
    <row r="5953" spans="3:3" x14ac:dyDescent="0.25">
      <c r="C5953" s="42"/>
    </row>
    <row r="5954" spans="3:3" x14ac:dyDescent="0.25">
      <c r="C5954" s="42"/>
    </row>
    <row r="5955" spans="3:3" x14ac:dyDescent="0.25">
      <c r="C5955" s="42"/>
    </row>
    <row r="5956" spans="3:3" x14ac:dyDescent="0.25">
      <c r="C5956" s="42"/>
    </row>
    <row r="5957" spans="3:3" x14ac:dyDescent="0.25">
      <c r="C5957" s="42"/>
    </row>
    <row r="5958" spans="3:3" x14ac:dyDescent="0.25">
      <c r="C5958" s="42"/>
    </row>
    <row r="5959" spans="3:3" x14ac:dyDescent="0.25">
      <c r="C5959" s="42"/>
    </row>
    <row r="5960" spans="3:3" x14ac:dyDescent="0.25">
      <c r="C5960" s="42"/>
    </row>
    <row r="5961" spans="3:3" x14ac:dyDescent="0.25">
      <c r="C5961" s="42"/>
    </row>
    <row r="5962" spans="3:3" x14ac:dyDescent="0.25">
      <c r="C5962" s="42"/>
    </row>
    <row r="5963" spans="3:3" x14ac:dyDescent="0.25">
      <c r="C5963" s="42"/>
    </row>
    <row r="5964" spans="3:3" x14ac:dyDescent="0.25">
      <c r="C5964" s="42"/>
    </row>
    <row r="5965" spans="3:3" x14ac:dyDescent="0.25">
      <c r="C5965" s="42"/>
    </row>
    <row r="5966" spans="3:3" x14ac:dyDescent="0.25">
      <c r="C5966" s="42"/>
    </row>
    <row r="5967" spans="3:3" x14ac:dyDescent="0.25">
      <c r="C5967" s="42"/>
    </row>
    <row r="5968" spans="3:3" x14ac:dyDescent="0.25">
      <c r="C5968" s="42"/>
    </row>
    <row r="5969" spans="3:3" x14ac:dyDescent="0.25">
      <c r="C5969" s="42"/>
    </row>
    <row r="5970" spans="3:3" x14ac:dyDescent="0.25">
      <c r="C5970" s="42"/>
    </row>
    <row r="5971" spans="3:3" x14ac:dyDescent="0.25">
      <c r="C5971" s="42"/>
    </row>
    <row r="5972" spans="3:3" x14ac:dyDescent="0.25">
      <c r="C5972" s="42"/>
    </row>
    <row r="5973" spans="3:3" x14ac:dyDescent="0.25">
      <c r="C5973" s="42"/>
    </row>
    <row r="5974" spans="3:3" x14ac:dyDescent="0.25">
      <c r="C5974" s="42"/>
    </row>
    <row r="5975" spans="3:3" x14ac:dyDescent="0.25">
      <c r="C5975" s="42"/>
    </row>
    <row r="5976" spans="3:3" x14ac:dyDescent="0.25">
      <c r="C5976" s="42"/>
    </row>
    <row r="5977" spans="3:3" x14ac:dyDescent="0.25">
      <c r="C5977" s="42"/>
    </row>
    <row r="5978" spans="3:3" x14ac:dyDescent="0.25">
      <c r="C5978" s="42"/>
    </row>
    <row r="5979" spans="3:3" x14ac:dyDescent="0.25">
      <c r="C5979" s="42"/>
    </row>
    <row r="5980" spans="3:3" x14ac:dyDescent="0.25">
      <c r="C5980" s="42"/>
    </row>
    <row r="5981" spans="3:3" x14ac:dyDescent="0.25">
      <c r="C5981" s="42"/>
    </row>
    <row r="5982" spans="3:3" x14ac:dyDescent="0.25">
      <c r="C5982" s="42"/>
    </row>
    <row r="5983" spans="3:3" x14ac:dyDescent="0.25">
      <c r="C5983" s="42"/>
    </row>
    <row r="5984" spans="3:3" x14ac:dyDescent="0.25">
      <c r="C5984" s="42"/>
    </row>
    <row r="5985" spans="3:3" x14ac:dyDescent="0.25">
      <c r="C5985" s="42"/>
    </row>
    <row r="5986" spans="3:3" x14ac:dyDescent="0.25">
      <c r="C5986" s="42"/>
    </row>
    <row r="5987" spans="3:3" x14ac:dyDescent="0.25">
      <c r="C5987" s="42"/>
    </row>
    <row r="5988" spans="3:3" x14ac:dyDescent="0.25">
      <c r="C5988" s="42"/>
    </row>
    <row r="5989" spans="3:3" x14ac:dyDescent="0.25">
      <c r="C5989" s="42"/>
    </row>
    <row r="5990" spans="3:3" x14ac:dyDescent="0.25">
      <c r="C5990" s="42"/>
    </row>
    <row r="5991" spans="3:3" x14ac:dyDescent="0.25">
      <c r="C5991" s="42"/>
    </row>
    <row r="5992" spans="3:3" x14ac:dyDescent="0.25">
      <c r="C5992" s="42"/>
    </row>
    <row r="5993" spans="3:3" x14ac:dyDescent="0.25">
      <c r="C5993" s="42"/>
    </row>
    <row r="5994" spans="3:3" x14ac:dyDescent="0.25">
      <c r="C5994" s="42"/>
    </row>
    <row r="5995" spans="3:3" x14ac:dyDescent="0.25">
      <c r="C5995" s="42"/>
    </row>
    <row r="5996" spans="3:3" x14ac:dyDescent="0.25">
      <c r="C5996" s="42"/>
    </row>
    <row r="5997" spans="3:3" x14ac:dyDescent="0.25">
      <c r="C5997" s="42"/>
    </row>
    <row r="5998" spans="3:3" x14ac:dyDescent="0.25">
      <c r="C5998" s="42"/>
    </row>
    <row r="5999" spans="3:3" x14ac:dyDescent="0.25">
      <c r="C5999" s="42"/>
    </row>
    <row r="6000" spans="3:3" x14ac:dyDescent="0.25">
      <c r="C6000" s="42"/>
    </row>
    <row r="6001" spans="3:3" x14ac:dyDescent="0.25">
      <c r="C6001" s="42"/>
    </row>
    <row r="6002" spans="3:3" x14ac:dyDescent="0.25">
      <c r="C6002" s="42"/>
    </row>
    <row r="6003" spans="3:3" x14ac:dyDescent="0.25">
      <c r="C6003" s="42"/>
    </row>
    <row r="6004" spans="3:3" x14ac:dyDescent="0.25">
      <c r="C6004" s="42"/>
    </row>
    <row r="6005" spans="3:3" x14ac:dyDescent="0.25">
      <c r="C6005" s="42"/>
    </row>
    <row r="6006" spans="3:3" x14ac:dyDescent="0.25">
      <c r="C6006" s="42"/>
    </row>
    <row r="6007" spans="3:3" x14ac:dyDescent="0.25">
      <c r="C6007" s="42"/>
    </row>
    <row r="6008" spans="3:3" x14ac:dyDescent="0.25">
      <c r="C6008" s="42"/>
    </row>
    <row r="6009" spans="3:3" x14ac:dyDescent="0.25">
      <c r="C6009" s="42"/>
    </row>
    <row r="6010" spans="3:3" x14ac:dyDescent="0.25">
      <c r="C6010" s="42"/>
    </row>
    <row r="6011" spans="3:3" x14ac:dyDescent="0.25">
      <c r="C6011" s="42"/>
    </row>
    <row r="6012" spans="3:3" x14ac:dyDescent="0.25">
      <c r="C6012" s="42"/>
    </row>
    <row r="6013" spans="3:3" x14ac:dyDescent="0.25">
      <c r="C6013" s="42"/>
    </row>
    <row r="6014" spans="3:3" x14ac:dyDescent="0.25">
      <c r="C6014" s="42"/>
    </row>
    <row r="6015" spans="3:3" x14ac:dyDescent="0.25">
      <c r="C6015" s="42"/>
    </row>
    <row r="6016" spans="3:3" x14ac:dyDescent="0.25">
      <c r="C6016" s="42"/>
    </row>
    <row r="6017" spans="3:3" x14ac:dyDescent="0.25">
      <c r="C6017" s="42"/>
    </row>
    <row r="6018" spans="3:3" x14ac:dyDescent="0.25">
      <c r="C6018" s="42"/>
    </row>
    <row r="6019" spans="3:3" x14ac:dyDescent="0.25">
      <c r="C6019" s="42"/>
    </row>
    <row r="6020" spans="3:3" x14ac:dyDescent="0.25">
      <c r="C6020" s="42"/>
    </row>
    <row r="6021" spans="3:3" x14ac:dyDescent="0.25">
      <c r="C6021" s="42"/>
    </row>
    <row r="6022" spans="3:3" x14ac:dyDescent="0.25">
      <c r="C6022" s="42"/>
    </row>
    <row r="6023" spans="3:3" x14ac:dyDescent="0.25">
      <c r="C6023" s="42"/>
    </row>
    <row r="6024" spans="3:3" x14ac:dyDescent="0.25">
      <c r="C6024" s="42"/>
    </row>
    <row r="6025" spans="3:3" x14ac:dyDescent="0.25">
      <c r="C6025" s="42"/>
    </row>
    <row r="6026" spans="3:3" x14ac:dyDescent="0.25">
      <c r="C6026" s="42"/>
    </row>
    <row r="6027" spans="3:3" x14ac:dyDescent="0.25">
      <c r="C6027" s="42"/>
    </row>
    <row r="6028" spans="3:3" x14ac:dyDescent="0.25">
      <c r="C6028" s="42"/>
    </row>
    <row r="6029" spans="3:3" x14ac:dyDescent="0.25">
      <c r="C6029" s="42"/>
    </row>
    <row r="6030" spans="3:3" x14ac:dyDescent="0.25">
      <c r="C6030" s="42"/>
    </row>
    <row r="6031" spans="3:3" x14ac:dyDescent="0.25">
      <c r="C6031" s="42"/>
    </row>
    <row r="6032" spans="3:3" x14ac:dyDescent="0.25">
      <c r="C6032" s="42"/>
    </row>
    <row r="6033" spans="3:3" x14ac:dyDescent="0.25">
      <c r="C6033" s="42"/>
    </row>
    <row r="6034" spans="3:3" x14ac:dyDescent="0.25">
      <c r="C6034" s="42"/>
    </row>
    <row r="6035" spans="3:3" x14ac:dyDescent="0.25">
      <c r="C6035" s="42"/>
    </row>
    <row r="6036" spans="3:3" x14ac:dyDescent="0.25">
      <c r="C6036" s="42"/>
    </row>
    <row r="6037" spans="3:3" x14ac:dyDescent="0.25">
      <c r="C6037" s="42"/>
    </row>
    <row r="6038" spans="3:3" x14ac:dyDescent="0.25">
      <c r="C6038" s="42"/>
    </row>
    <row r="6039" spans="3:3" x14ac:dyDescent="0.25">
      <c r="C6039" s="42"/>
    </row>
    <row r="6040" spans="3:3" x14ac:dyDescent="0.25">
      <c r="C6040" s="42"/>
    </row>
    <row r="6041" spans="3:3" x14ac:dyDescent="0.25">
      <c r="C6041" s="42"/>
    </row>
    <row r="6042" spans="3:3" x14ac:dyDescent="0.25">
      <c r="C6042" s="42"/>
    </row>
    <row r="6043" spans="3:3" x14ac:dyDescent="0.25">
      <c r="C6043" s="42"/>
    </row>
    <row r="6044" spans="3:3" x14ac:dyDescent="0.25">
      <c r="C6044" s="42"/>
    </row>
    <row r="6045" spans="3:3" x14ac:dyDescent="0.25">
      <c r="C6045" s="42"/>
    </row>
    <row r="6046" spans="3:3" x14ac:dyDescent="0.25">
      <c r="C6046" s="42"/>
    </row>
    <row r="6047" spans="3:3" x14ac:dyDescent="0.25">
      <c r="C6047" s="42"/>
    </row>
    <row r="6048" spans="3:3" x14ac:dyDescent="0.25">
      <c r="C6048" s="42"/>
    </row>
    <row r="6049" spans="3:3" x14ac:dyDescent="0.25">
      <c r="C6049" s="42"/>
    </row>
    <row r="6050" spans="3:3" x14ac:dyDescent="0.25">
      <c r="C6050" s="42"/>
    </row>
    <row r="6051" spans="3:3" x14ac:dyDescent="0.25">
      <c r="C6051" s="42"/>
    </row>
    <row r="6052" spans="3:3" x14ac:dyDescent="0.25">
      <c r="C6052" s="42"/>
    </row>
    <row r="6053" spans="3:3" x14ac:dyDescent="0.25">
      <c r="C6053" s="42"/>
    </row>
    <row r="6054" spans="3:3" x14ac:dyDescent="0.25">
      <c r="C6054" s="42"/>
    </row>
    <row r="6055" spans="3:3" x14ac:dyDescent="0.25">
      <c r="C6055" s="42"/>
    </row>
    <row r="6056" spans="3:3" x14ac:dyDescent="0.25">
      <c r="C6056" s="42"/>
    </row>
    <row r="6057" spans="3:3" x14ac:dyDescent="0.25">
      <c r="C6057" s="42"/>
    </row>
    <row r="6058" spans="3:3" x14ac:dyDescent="0.25">
      <c r="C6058" s="42"/>
    </row>
    <row r="6059" spans="3:3" x14ac:dyDescent="0.25">
      <c r="C6059" s="42"/>
    </row>
    <row r="6060" spans="3:3" x14ac:dyDescent="0.25">
      <c r="C6060" s="42"/>
    </row>
    <row r="6061" spans="3:3" x14ac:dyDescent="0.25">
      <c r="C6061" s="42"/>
    </row>
    <row r="6062" spans="3:3" x14ac:dyDescent="0.25">
      <c r="C6062" s="42"/>
    </row>
    <row r="6063" spans="3:3" x14ac:dyDescent="0.25">
      <c r="C6063" s="42"/>
    </row>
    <row r="6064" spans="3:3" x14ac:dyDescent="0.25">
      <c r="C6064" s="42"/>
    </row>
    <row r="6065" spans="3:3" x14ac:dyDescent="0.25">
      <c r="C6065" s="42"/>
    </row>
    <row r="6066" spans="3:3" x14ac:dyDescent="0.25">
      <c r="C6066" s="42"/>
    </row>
    <row r="6067" spans="3:3" x14ac:dyDescent="0.25">
      <c r="C6067" s="42"/>
    </row>
    <row r="6068" spans="3:3" x14ac:dyDescent="0.25">
      <c r="C6068" s="42"/>
    </row>
    <row r="6069" spans="3:3" x14ac:dyDescent="0.25">
      <c r="C6069" s="42"/>
    </row>
    <row r="6070" spans="3:3" x14ac:dyDescent="0.25">
      <c r="C6070" s="42"/>
    </row>
    <row r="6071" spans="3:3" x14ac:dyDescent="0.25">
      <c r="C6071" s="42"/>
    </row>
    <row r="6072" spans="3:3" x14ac:dyDescent="0.25">
      <c r="C6072" s="42"/>
    </row>
    <row r="6073" spans="3:3" x14ac:dyDescent="0.25">
      <c r="C6073" s="42"/>
    </row>
    <row r="6074" spans="3:3" x14ac:dyDescent="0.25">
      <c r="C6074" s="42"/>
    </row>
    <row r="6075" spans="3:3" x14ac:dyDescent="0.25">
      <c r="C6075" s="42"/>
    </row>
    <row r="6076" spans="3:3" x14ac:dyDescent="0.25">
      <c r="C6076" s="42"/>
    </row>
    <row r="6077" spans="3:3" x14ac:dyDescent="0.25">
      <c r="C6077" s="42"/>
    </row>
    <row r="6078" spans="3:3" x14ac:dyDescent="0.25">
      <c r="C6078" s="42"/>
    </row>
    <row r="6079" spans="3:3" x14ac:dyDescent="0.25">
      <c r="C6079" s="42"/>
    </row>
    <row r="6080" spans="3:3" x14ac:dyDescent="0.25">
      <c r="C6080" s="42"/>
    </row>
    <row r="6081" spans="3:3" x14ac:dyDescent="0.25">
      <c r="C6081" s="42"/>
    </row>
    <row r="6082" spans="3:3" x14ac:dyDescent="0.25">
      <c r="C6082" s="42"/>
    </row>
    <row r="6083" spans="3:3" x14ac:dyDescent="0.25">
      <c r="C6083" s="42"/>
    </row>
    <row r="6084" spans="3:3" x14ac:dyDescent="0.25">
      <c r="C6084" s="42"/>
    </row>
    <row r="6085" spans="3:3" x14ac:dyDescent="0.25">
      <c r="C6085" s="42"/>
    </row>
    <row r="6086" spans="3:3" x14ac:dyDescent="0.25">
      <c r="C6086" s="42"/>
    </row>
    <row r="6087" spans="3:3" x14ac:dyDescent="0.25">
      <c r="C6087" s="42"/>
    </row>
    <row r="6088" spans="3:3" x14ac:dyDescent="0.25">
      <c r="C6088" s="42"/>
    </row>
    <row r="6089" spans="3:3" x14ac:dyDescent="0.25">
      <c r="C6089" s="42"/>
    </row>
    <row r="6090" spans="3:3" x14ac:dyDescent="0.25">
      <c r="C6090" s="42"/>
    </row>
    <row r="6091" spans="3:3" x14ac:dyDescent="0.25">
      <c r="C6091" s="42"/>
    </row>
    <row r="6092" spans="3:3" x14ac:dyDescent="0.25">
      <c r="C6092" s="42"/>
    </row>
    <row r="6093" spans="3:3" x14ac:dyDescent="0.25">
      <c r="C6093" s="42"/>
    </row>
    <row r="6094" spans="3:3" x14ac:dyDescent="0.25">
      <c r="C6094" s="42"/>
    </row>
    <row r="6095" spans="3:3" x14ac:dyDescent="0.25">
      <c r="C6095" s="42"/>
    </row>
    <row r="6096" spans="3:3" x14ac:dyDescent="0.25">
      <c r="C6096" s="42"/>
    </row>
    <row r="6097" spans="3:3" x14ac:dyDescent="0.25">
      <c r="C6097" s="42"/>
    </row>
    <row r="6098" spans="3:3" x14ac:dyDescent="0.25">
      <c r="C6098" s="42"/>
    </row>
    <row r="6099" spans="3:3" x14ac:dyDescent="0.25">
      <c r="C6099" s="42"/>
    </row>
    <row r="6100" spans="3:3" x14ac:dyDescent="0.25">
      <c r="C6100" s="42"/>
    </row>
    <row r="6101" spans="3:3" x14ac:dyDescent="0.25">
      <c r="C6101" s="42"/>
    </row>
    <row r="6102" spans="3:3" x14ac:dyDescent="0.25">
      <c r="C6102" s="42"/>
    </row>
    <row r="6103" spans="3:3" x14ac:dyDescent="0.25">
      <c r="C6103" s="42"/>
    </row>
    <row r="6104" spans="3:3" x14ac:dyDescent="0.25">
      <c r="C6104" s="42"/>
    </row>
    <row r="6105" spans="3:3" x14ac:dyDescent="0.25">
      <c r="C6105" s="42"/>
    </row>
    <row r="6106" spans="3:3" x14ac:dyDescent="0.25">
      <c r="C6106" s="42"/>
    </row>
    <row r="6107" spans="3:3" x14ac:dyDescent="0.25">
      <c r="C6107" s="42"/>
    </row>
    <row r="6108" spans="3:3" x14ac:dyDescent="0.25">
      <c r="C6108" s="42"/>
    </row>
    <row r="6109" spans="3:3" x14ac:dyDescent="0.25">
      <c r="C6109" s="42"/>
    </row>
    <row r="6110" spans="3:3" x14ac:dyDescent="0.25">
      <c r="C6110" s="42"/>
    </row>
    <row r="6111" spans="3:3" x14ac:dyDescent="0.25">
      <c r="C6111" s="42"/>
    </row>
    <row r="6112" spans="3:3" x14ac:dyDescent="0.25">
      <c r="C6112" s="42"/>
    </row>
    <row r="6113" spans="3:3" x14ac:dyDescent="0.25">
      <c r="C6113" s="42"/>
    </row>
    <row r="6114" spans="3:3" x14ac:dyDescent="0.25">
      <c r="C6114" s="42"/>
    </row>
    <row r="6115" spans="3:3" x14ac:dyDescent="0.25">
      <c r="C6115" s="42"/>
    </row>
    <row r="6116" spans="3:3" x14ac:dyDescent="0.25">
      <c r="C6116" s="42"/>
    </row>
    <row r="6117" spans="3:3" x14ac:dyDescent="0.25">
      <c r="C6117" s="42"/>
    </row>
    <row r="6118" spans="3:3" x14ac:dyDescent="0.25">
      <c r="C6118" s="42"/>
    </row>
    <row r="6119" spans="3:3" x14ac:dyDescent="0.25">
      <c r="C6119" s="42"/>
    </row>
    <row r="6120" spans="3:3" x14ac:dyDescent="0.25">
      <c r="C6120" s="42"/>
    </row>
    <row r="6121" spans="3:3" x14ac:dyDescent="0.25">
      <c r="C6121" s="42"/>
    </row>
    <row r="6122" spans="3:3" x14ac:dyDescent="0.25">
      <c r="C6122" s="42"/>
    </row>
    <row r="6123" spans="3:3" x14ac:dyDescent="0.25">
      <c r="C6123" s="42"/>
    </row>
    <row r="6124" spans="3:3" x14ac:dyDescent="0.25">
      <c r="C6124" s="42"/>
    </row>
    <row r="6125" spans="3:3" x14ac:dyDescent="0.25">
      <c r="C6125" s="42"/>
    </row>
    <row r="6126" spans="3:3" x14ac:dyDescent="0.25">
      <c r="C6126" s="42"/>
    </row>
    <row r="6127" spans="3:3" x14ac:dyDescent="0.25">
      <c r="C6127" s="42"/>
    </row>
    <row r="6128" spans="3:3" x14ac:dyDescent="0.25">
      <c r="C6128" s="42"/>
    </row>
    <row r="6129" spans="3:3" x14ac:dyDescent="0.25">
      <c r="C6129" s="42"/>
    </row>
    <row r="6130" spans="3:3" x14ac:dyDescent="0.25">
      <c r="C6130" s="42"/>
    </row>
    <row r="6131" spans="3:3" x14ac:dyDescent="0.25">
      <c r="C6131" s="42"/>
    </row>
    <row r="6132" spans="3:3" x14ac:dyDescent="0.25">
      <c r="C6132" s="42"/>
    </row>
    <row r="6133" spans="3:3" x14ac:dyDescent="0.25">
      <c r="C6133" s="42"/>
    </row>
    <row r="6134" spans="3:3" x14ac:dyDescent="0.25">
      <c r="C6134" s="42"/>
    </row>
    <row r="6135" spans="3:3" x14ac:dyDescent="0.25">
      <c r="C6135" s="42"/>
    </row>
    <row r="6136" spans="3:3" x14ac:dyDescent="0.25">
      <c r="C6136" s="42"/>
    </row>
    <row r="6137" spans="3:3" x14ac:dyDescent="0.25">
      <c r="C6137" s="42"/>
    </row>
    <row r="6138" spans="3:3" x14ac:dyDescent="0.25">
      <c r="C6138" s="42"/>
    </row>
    <row r="6139" spans="3:3" x14ac:dyDescent="0.25">
      <c r="C6139" s="42"/>
    </row>
    <row r="6140" spans="3:3" x14ac:dyDescent="0.25">
      <c r="C6140" s="42"/>
    </row>
    <row r="6141" spans="3:3" x14ac:dyDescent="0.25">
      <c r="C6141" s="42"/>
    </row>
    <row r="6142" spans="3:3" x14ac:dyDescent="0.25">
      <c r="C6142" s="42"/>
    </row>
    <row r="6143" spans="3:3" x14ac:dyDescent="0.25">
      <c r="C6143" s="42"/>
    </row>
    <row r="6144" spans="3:3" x14ac:dyDescent="0.25">
      <c r="C6144" s="42"/>
    </row>
    <row r="6145" spans="3:3" x14ac:dyDescent="0.25">
      <c r="C6145" s="42"/>
    </row>
    <row r="6146" spans="3:3" x14ac:dyDescent="0.25">
      <c r="C6146" s="42"/>
    </row>
    <row r="6147" spans="3:3" x14ac:dyDescent="0.25">
      <c r="C6147" s="42"/>
    </row>
    <row r="6148" spans="3:3" x14ac:dyDescent="0.25">
      <c r="C6148" s="42"/>
    </row>
    <row r="6149" spans="3:3" x14ac:dyDescent="0.25">
      <c r="C6149" s="42"/>
    </row>
    <row r="6150" spans="3:3" x14ac:dyDescent="0.25">
      <c r="C6150" s="42"/>
    </row>
    <row r="6151" spans="3:3" x14ac:dyDescent="0.25">
      <c r="C6151" s="42"/>
    </row>
    <row r="6152" spans="3:3" x14ac:dyDescent="0.25">
      <c r="C6152" s="42"/>
    </row>
    <row r="6153" spans="3:3" x14ac:dyDescent="0.25">
      <c r="C6153" s="42"/>
    </row>
    <row r="6154" spans="3:3" x14ac:dyDescent="0.25">
      <c r="C6154" s="42"/>
    </row>
    <row r="6155" spans="3:3" x14ac:dyDescent="0.25">
      <c r="C6155" s="42"/>
    </row>
    <row r="6156" spans="3:3" x14ac:dyDescent="0.25">
      <c r="C6156" s="42"/>
    </row>
    <row r="6157" spans="3:3" x14ac:dyDescent="0.25">
      <c r="C6157" s="42"/>
    </row>
    <row r="6158" spans="3:3" x14ac:dyDescent="0.25">
      <c r="C6158" s="42"/>
    </row>
    <row r="6159" spans="3:3" x14ac:dyDescent="0.25">
      <c r="C6159" s="42"/>
    </row>
    <row r="6160" spans="3:3" x14ac:dyDescent="0.25">
      <c r="C6160" s="42"/>
    </row>
    <row r="6161" spans="3:3" x14ac:dyDescent="0.25">
      <c r="C6161" s="42"/>
    </row>
    <row r="6162" spans="3:3" x14ac:dyDescent="0.25">
      <c r="C6162" s="42"/>
    </row>
    <row r="6163" spans="3:3" x14ac:dyDescent="0.25">
      <c r="C6163" s="42"/>
    </row>
    <row r="6164" spans="3:3" x14ac:dyDescent="0.25">
      <c r="C6164" s="42"/>
    </row>
    <row r="6165" spans="3:3" x14ac:dyDescent="0.25">
      <c r="C6165" s="42"/>
    </row>
    <row r="6166" spans="3:3" x14ac:dyDescent="0.25">
      <c r="C6166" s="42"/>
    </row>
    <row r="6167" spans="3:3" x14ac:dyDescent="0.25">
      <c r="C6167" s="42"/>
    </row>
    <row r="6168" spans="3:3" x14ac:dyDescent="0.25">
      <c r="C6168" s="42"/>
    </row>
    <row r="6169" spans="3:3" x14ac:dyDescent="0.25">
      <c r="C6169" s="42"/>
    </row>
    <row r="6170" spans="3:3" x14ac:dyDescent="0.25">
      <c r="C6170" s="42"/>
    </row>
    <row r="6171" spans="3:3" x14ac:dyDescent="0.25">
      <c r="C6171" s="42"/>
    </row>
    <row r="6172" spans="3:3" x14ac:dyDescent="0.25">
      <c r="C6172" s="42"/>
    </row>
    <row r="6173" spans="3:3" x14ac:dyDescent="0.25">
      <c r="C6173" s="42"/>
    </row>
    <row r="6174" spans="3:3" x14ac:dyDescent="0.25">
      <c r="C6174" s="42"/>
    </row>
    <row r="6175" spans="3:3" x14ac:dyDescent="0.25">
      <c r="C6175" s="42"/>
    </row>
    <row r="6176" spans="3:3" x14ac:dyDescent="0.25">
      <c r="C6176" s="42"/>
    </row>
    <row r="6177" spans="3:3" x14ac:dyDescent="0.25">
      <c r="C6177" s="42"/>
    </row>
    <row r="6178" spans="3:3" x14ac:dyDescent="0.25">
      <c r="C6178" s="42"/>
    </row>
    <row r="6179" spans="3:3" x14ac:dyDescent="0.25">
      <c r="C6179" s="42"/>
    </row>
    <row r="6180" spans="3:3" x14ac:dyDescent="0.25">
      <c r="C6180" s="42"/>
    </row>
    <row r="6181" spans="3:3" x14ac:dyDescent="0.25">
      <c r="C6181" s="42"/>
    </row>
    <row r="6182" spans="3:3" x14ac:dyDescent="0.25">
      <c r="C6182" s="42"/>
    </row>
    <row r="6183" spans="3:3" x14ac:dyDescent="0.25">
      <c r="C6183" s="42"/>
    </row>
    <row r="6184" spans="3:3" x14ac:dyDescent="0.25">
      <c r="C6184" s="42"/>
    </row>
    <row r="6185" spans="3:3" x14ac:dyDescent="0.25">
      <c r="C6185" s="42"/>
    </row>
    <row r="6186" spans="3:3" x14ac:dyDescent="0.25">
      <c r="C6186" s="42"/>
    </row>
    <row r="6187" spans="3:3" x14ac:dyDescent="0.25">
      <c r="C6187" s="42"/>
    </row>
    <row r="6188" spans="3:3" x14ac:dyDescent="0.25">
      <c r="C6188" s="42"/>
    </row>
    <row r="6189" spans="3:3" x14ac:dyDescent="0.25">
      <c r="C6189" s="42"/>
    </row>
    <row r="6190" spans="3:3" x14ac:dyDescent="0.25">
      <c r="C6190" s="42"/>
    </row>
    <row r="6191" spans="3:3" x14ac:dyDescent="0.25">
      <c r="C6191" s="42"/>
    </row>
    <row r="6192" spans="3:3" x14ac:dyDescent="0.25">
      <c r="C6192" s="42"/>
    </row>
    <row r="6193" spans="3:3" x14ac:dyDescent="0.25">
      <c r="C6193" s="42"/>
    </row>
    <row r="6194" spans="3:3" x14ac:dyDescent="0.25">
      <c r="C6194" s="42"/>
    </row>
    <row r="6195" spans="3:3" x14ac:dyDescent="0.25">
      <c r="C6195" s="42"/>
    </row>
    <row r="6196" spans="3:3" x14ac:dyDescent="0.25">
      <c r="C6196" s="42"/>
    </row>
    <row r="6197" spans="3:3" x14ac:dyDescent="0.25">
      <c r="C6197" s="42"/>
    </row>
    <row r="6198" spans="3:3" x14ac:dyDescent="0.25">
      <c r="C6198" s="42"/>
    </row>
    <row r="6199" spans="3:3" x14ac:dyDescent="0.25">
      <c r="C6199" s="42"/>
    </row>
    <row r="6200" spans="3:3" x14ac:dyDescent="0.25">
      <c r="C6200" s="42"/>
    </row>
    <row r="6201" spans="3:3" x14ac:dyDescent="0.25">
      <c r="C6201" s="42"/>
    </row>
    <row r="6202" spans="3:3" x14ac:dyDescent="0.25">
      <c r="C6202" s="42"/>
    </row>
    <row r="6203" spans="3:3" x14ac:dyDescent="0.25">
      <c r="C6203" s="42"/>
    </row>
    <row r="6204" spans="3:3" x14ac:dyDescent="0.25">
      <c r="C6204" s="42"/>
    </row>
    <row r="6205" spans="3:3" x14ac:dyDescent="0.25">
      <c r="C6205" s="42"/>
    </row>
    <row r="6206" spans="3:3" x14ac:dyDescent="0.25">
      <c r="C6206" s="42"/>
    </row>
    <row r="6207" spans="3:3" x14ac:dyDescent="0.25">
      <c r="C6207" s="42"/>
    </row>
    <row r="6208" spans="3:3" x14ac:dyDescent="0.25">
      <c r="C6208" s="42"/>
    </row>
    <row r="6209" spans="3:3" x14ac:dyDescent="0.25">
      <c r="C6209" s="42"/>
    </row>
    <row r="6210" spans="3:3" x14ac:dyDescent="0.25">
      <c r="C6210" s="42"/>
    </row>
    <row r="6211" spans="3:3" x14ac:dyDescent="0.25">
      <c r="C6211" s="42"/>
    </row>
    <row r="6212" spans="3:3" x14ac:dyDescent="0.25">
      <c r="C6212" s="42"/>
    </row>
    <row r="6213" spans="3:3" x14ac:dyDescent="0.25">
      <c r="C6213" s="42"/>
    </row>
    <row r="6214" spans="3:3" x14ac:dyDescent="0.25">
      <c r="C6214" s="42"/>
    </row>
    <row r="6215" spans="3:3" x14ac:dyDescent="0.25">
      <c r="C6215" s="42"/>
    </row>
    <row r="6216" spans="3:3" x14ac:dyDescent="0.25">
      <c r="C6216" s="42"/>
    </row>
    <row r="6217" spans="3:3" x14ac:dyDescent="0.25">
      <c r="C6217" s="42"/>
    </row>
    <row r="6218" spans="3:3" x14ac:dyDescent="0.25">
      <c r="C6218" s="42"/>
    </row>
    <row r="6219" spans="3:3" x14ac:dyDescent="0.25">
      <c r="C6219" s="42"/>
    </row>
    <row r="6220" spans="3:3" x14ac:dyDescent="0.25">
      <c r="C6220" s="42"/>
    </row>
    <row r="6221" spans="3:3" x14ac:dyDescent="0.25">
      <c r="C6221" s="42"/>
    </row>
    <row r="6222" spans="3:3" x14ac:dyDescent="0.25">
      <c r="C6222" s="42"/>
    </row>
    <row r="6223" spans="3:3" x14ac:dyDescent="0.25">
      <c r="C6223" s="42"/>
    </row>
    <row r="6224" spans="3:3" x14ac:dyDescent="0.25">
      <c r="C6224" s="42"/>
    </row>
    <row r="6225" spans="3:3" x14ac:dyDescent="0.25">
      <c r="C6225" s="42"/>
    </row>
    <row r="6226" spans="3:3" x14ac:dyDescent="0.25">
      <c r="C6226" s="42"/>
    </row>
    <row r="6227" spans="3:3" x14ac:dyDescent="0.25">
      <c r="C6227" s="42"/>
    </row>
    <row r="6228" spans="3:3" x14ac:dyDescent="0.25">
      <c r="C6228" s="42"/>
    </row>
    <row r="6229" spans="3:3" x14ac:dyDescent="0.25">
      <c r="C6229" s="42"/>
    </row>
    <row r="6230" spans="3:3" x14ac:dyDescent="0.25">
      <c r="C6230" s="42"/>
    </row>
    <row r="6231" spans="3:3" x14ac:dyDescent="0.25">
      <c r="C6231" s="42"/>
    </row>
    <row r="6232" spans="3:3" x14ac:dyDescent="0.25">
      <c r="C6232" s="42"/>
    </row>
    <row r="6233" spans="3:3" x14ac:dyDescent="0.25">
      <c r="C6233" s="42"/>
    </row>
    <row r="6234" spans="3:3" x14ac:dyDescent="0.25">
      <c r="C6234" s="42"/>
    </row>
    <row r="6235" spans="3:3" x14ac:dyDescent="0.25">
      <c r="C6235" s="42"/>
    </row>
    <row r="6236" spans="3:3" x14ac:dyDescent="0.25">
      <c r="C6236" s="42"/>
    </row>
    <row r="6237" spans="3:3" x14ac:dyDescent="0.25">
      <c r="C6237" s="42"/>
    </row>
    <row r="6238" spans="3:3" x14ac:dyDescent="0.25">
      <c r="C6238" s="42"/>
    </row>
    <row r="6239" spans="3:3" x14ac:dyDescent="0.25">
      <c r="C6239" s="42"/>
    </row>
    <row r="6240" spans="3:3" x14ac:dyDescent="0.25">
      <c r="C6240" s="42"/>
    </row>
    <row r="6241" spans="3:3" x14ac:dyDescent="0.25">
      <c r="C6241" s="42"/>
    </row>
    <row r="6242" spans="3:3" x14ac:dyDescent="0.25">
      <c r="C6242" s="42"/>
    </row>
    <row r="6243" spans="3:3" x14ac:dyDescent="0.25">
      <c r="C6243" s="42"/>
    </row>
    <row r="6244" spans="3:3" x14ac:dyDescent="0.25">
      <c r="C6244" s="42"/>
    </row>
    <row r="6245" spans="3:3" x14ac:dyDescent="0.25">
      <c r="C6245" s="42"/>
    </row>
    <row r="6246" spans="3:3" x14ac:dyDescent="0.25">
      <c r="C6246" s="42"/>
    </row>
    <row r="6247" spans="3:3" x14ac:dyDescent="0.25">
      <c r="C6247" s="42"/>
    </row>
    <row r="6248" spans="3:3" x14ac:dyDescent="0.25">
      <c r="C6248" s="42"/>
    </row>
    <row r="6249" spans="3:3" x14ac:dyDescent="0.25">
      <c r="C6249" s="42"/>
    </row>
    <row r="6250" spans="3:3" x14ac:dyDescent="0.25">
      <c r="C6250" s="42"/>
    </row>
    <row r="6251" spans="3:3" x14ac:dyDescent="0.25">
      <c r="C6251" s="42"/>
    </row>
    <row r="6252" spans="3:3" x14ac:dyDescent="0.25">
      <c r="C6252" s="42"/>
    </row>
    <row r="6253" spans="3:3" x14ac:dyDescent="0.25">
      <c r="C6253" s="42"/>
    </row>
    <row r="6254" spans="3:3" x14ac:dyDescent="0.25">
      <c r="C6254" s="42"/>
    </row>
    <row r="6255" spans="3:3" x14ac:dyDescent="0.25">
      <c r="C6255" s="42"/>
    </row>
    <row r="6256" spans="3:3" x14ac:dyDescent="0.25">
      <c r="C6256" s="42"/>
    </row>
    <row r="6257" spans="3:3" x14ac:dyDescent="0.25">
      <c r="C6257" s="42"/>
    </row>
    <row r="6258" spans="3:3" x14ac:dyDescent="0.25">
      <c r="C6258" s="42"/>
    </row>
    <row r="6259" spans="3:3" x14ac:dyDescent="0.25">
      <c r="C6259" s="42"/>
    </row>
    <row r="6260" spans="3:3" x14ac:dyDescent="0.25">
      <c r="C6260" s="42"/>
    </row>
    <row r="6261" spans="3:3" x14ac:dyDescent="0.25">
      <c r="C6261" s="42"/>
    </row>
    <row r="6262" spans="3:3" x14ac:dyDescent="0.25">
      <c r="C6262" s="42"/>
    </row>
    <row r="6263" spans="3:3" x14ac:dyDescent="0.25">
      <c r="C6263" s="42"/>
    </row>
    <row r="6264" spans="3:3" x14ac:dyDescent="0.25">
      <c r="C6264" s="42"/>
    </row>
    <row r="6265" spans="3:3" x14ac:dyDescent="0.25">
      <c r="C6265" s="42"/>
    </row>
    <row r="6266" spans="3:3" x14ac:dyDescent="0.25">
      <c r="C6266" s="42"/>
    </row>
    <row r="6267" spans="3:3" x14ac:dyDescent="0.25">
      <c r="C6267" s="42"/>
    </row>
    <row r="6268" spans="3:3" x14ac:dyDescent="0.25">
      <c r="C6268" s="42"/>
    </row>
    <row r="6269" spans="3:3" x14ac:dyDescent="0.25">
      <c r="C6269" s="42"/>
    </row>
    <row r="6270" spans="3:3" x14ac:dyDescent="0.25">
      <c r="C6270" s="42"/>
    </row>
    <row r="6271" spans="3:3" x14ac:dyDescent="0.25">
      <c r="C6271" s="42"/>
    </row>
    <row r="6272" spans="3:3" x14ac:dyDescent="0.25">
      <c r="C6272" s="42"/>
    </row>
    <row r="6273" spans="3:3" x14ac:dyDescent="0.25">
      <c r="C6273" s="42"/>
    </row>
    <row r="6274" spans="3:3" x14ac:dyDescent="0.25">
      <c r="C6274" s="42"/>
    </row>
    <row r="6275" spans="3:3" x14ac:dyDescent="0.25">
      <c r="C6275" s="42"/>
    </row>
    <row r="6276" spans="3:3" x14ac:dyDescent="0.25">
      <c r="C6276" s="42"/>
    </row>
    <row r="6277" spans="3:3" x14ac:dyDescent="0.25">
      <c r="C6277" s="42"/>
    </row>
    <row r="6278" spans="3:3" x14ac:dyDescent="0.25">
      <c r="C6278" s="42"/>
    </row>
    <row r="6279" spans="3:3" x14ac:dyDescent="0.25">
      <c r="C6279" s="42"/>
    </row>
    <row r="6280" spans="3:3" x14ac:dyDescent="0.25">
      <c r="C6280" s="42"/>
    </row>
    <row r="6281" spans="3:3" x14ac:dyDescent="0.25">
      <c r="C6281" s="42"/>
    </row>
    <row r="6282" spans="3:3" x14ac:dyDescent="0.25">
      <c r="C6282" s="42"/>
    </row>
    <row r="6283" spans="3:3" x14ac:dyDescent="0.25">
      <c r="C6283" s="42"/>
    </row>
    <row r="6284" spans="3:3" x14ac:dyDescent="0.25">
      <c r="C6284" s="42"/>
    </row>
    <row r="6285" spans="3:3" x14ac:dyDescent="0.25">
      <c r="C6285" s="42"/>
    </row>
    <row r="6286" spans="3:3" x14ac:dyDescent="0.25">
      <c r="C6286" s="42"/>
    </row>
    <row r="6287" spans="3:3" x14ac:dyDescent="0.25">
      <c r="C6287" s="42"/>
    </row>
    <row r="6288" spans="3:3" x14ac:dyDescent="0.25">
      <c r="C6288" s="42"/>
    </row>
    <row r="6289" spans="3:3" x14ac:dyDescent="0.25">
      <c r="C6289" s="42"/>
    </row>
    <row r="6290" spans="3:3" x14ac:dyDescent="0.25">
      <c r="C6290" s="42"/>
    </row>
    <row r="6291" spans="3:3" x14ac:dyDescent="0.25">
      <c r="C6291" s="42"/>
    </row>
    <row r="6292" spans="3:3" x14ac:dyDescent="0.25">
      <c r="C6292" s="42"/>
    </row>
    <row r="6293" spans="3:3" x14ac:dyDescent="0.25">
      <c r="C6293" s="42"/>
    </row>
    <row r="6294" spans="3:3" x14ac:dyDescent="0.25">
      <c r="C6294" s="42"/>
    </row>
    <row r="6295" spans="3:3" x14ac:dyDescent="0.25">
      <c r="C6295" s="42"/>
    </row>
    <row r="6296" spans="3:3" x14ac:dyDescent="0.25">
      <c r="C6296" s="42"/>
    </row>
    <row r="6297" spans="3:3" x14ac:dyDescent="0.25">
      <c r="C6297" s="42"/>
    </row>
    <row r="6298" spans="3:3" x14ac:dyDescent="0.25">
      <c r="C6298" s="42"/>
    </row>
    <row r="6299" spans="3:3" x14ac:dyDescent="0.25">
      <c r="C6299" s="42"/>
    </row>
    <row r="6300" spans="3:3" x14ac:dyDescent="0.25">
      <c r="C6300" s="42"/>
    </row>
    <row r="6301" spans="3:3" x14ac:dyDescent="0.25">
      <c r="C6301" s="42"/>
    </row>
    <row r="6302" spans="3:3" x14ac:dyDescent="0.25">
      <c r="C6302" s="42"/>
    </row>
    <row r="6303" spans="3:3" x14ac:dyDescent="0.25">
      <c r="C6303" s="42"/>
    </row>
    <row r="6304" spans="3:3" x14ac:dyDescent="0.25">
      <c r="C6304" s="42"/>
    </row>
    <row r="6305" spans="3:3" x14ac:dyDescent="0.25">
      <c r="C6305" s="42"/>
    </row>
    <row r="6306" spans="3:3" x14ac:dyDescent="0.25">
      <c r="C6306" s="42"/>
    </row>
    <row r="6307" spans="3:3" x14ac:dyDescent="0.25">
      <c r="C6307" s="42"/>
    </row>
    <row r="6308" spans="3:3" x14ac:dyDescent="0.25">
      <c r="C6308" s="42"/>
    </row>
    <row r="6309" spans="3:3" x14ac:dyDescent="0.25">
      <c r="C6309" s="42"/>
    </row>
    <row r="6310" spans="3:3" x14ac:dyDescent="0.25">
      <c r="C6310" s="42"/>
    </row>
    <row r="6311" spans="3:3" x14ac:dyDescent="0.25">
      <c r="C6311" s="42"/>
    </row>
    <row r="6312" spans="3:3" x14ac:dyDescent="0.25">
      <c r="C6312" s="42"/>
    </row>
    <row r="6313" spans="3:3" x14ac:dyDescent="0.25">
      <c r="C6313" s="42"/>
    </row>
    <row r="6314" spans="3:3" x14ac:dyDescent="0.25">
      <c r="C6314" s="42"/>
    </row>
    <row r="6315" spans="3:3" x14ac:dyDescent="0.25">
      <c r="C6315" s="42"/>
    </row>
    <row r="6316" spans="3:3" x14ac:dyDescent="0.25">
      <c r="C6316" s="42"/>
    </row>
    <row r="6317" spans="3:3" x14ac:dyDescent="0.25">
      <c r="C6317" s="42"/>
    </row>
    <row r="6318" spans="3:3" x14ac:dyDescent="0.25">
      <c r="C6318" s="42"/>
    </row>
    <row r="6319" spans="3:3" x14ac:dyDescent="0.25">
      <c r="C6319" s="42"/>
    </row>
    <row r="6320" spans="3:3" x14ac:dyDescent="0.25">
      <c r="C6320" s="42"/>
    </row>
    <row r="6321" spans="3:3" x14ac:dyDescent="0.25">
      <c r="C6321" s="42"/>
    </row>
    <row r="6322" spans="3:3" x14ac:dyDescent="0.25">
      <c r="C6322" s="42"/>
    </row>
    <row r="6323" spans="3:3" x14ac:dyDescent="0.25">
      <c r="C6323" s="42"/>
    </row>
    <row r="6324" spans="3:3" x14ac:dyDescent="0.25">
      <c r="C6324" s="42"/>
    </row>
    <row r="6325" spans="3:3" x14ac:dyDescent="0.25">
      <c r="C6325" s="42"/>
    </row>
    <row r="6326" spans="3:3" x14ac:dyDescent="0.25">
      <c r="C6326" s="42"/>
    </row>
    <row r="6327" spans="3:3" x14ac:dyDescent="0.25">
      <c r="C6327" s="42"/>
    </row>
    <row r="6328" spans="3:3" x14ac:dyDescent="0.25">
      <c r="C6328" s="42"/>
    </row>
    <row r="6329" spans="3:3" x14ac:dyDescent="0.25">
      <c r="C6329" s="42"/>
    </row>
    <row r="6330" spans="3:3" x14ac:dyDescent="0.25">
      <c r="C6330" s="42"/>
    </row>
    <row r="6331" spans="3:3" x14ac:dyDescent="0.25">
      <c r="C6331" s="42"/>
    </row>
    <row r="6332" spans="3:3" x14ac:dyDescent="0.25">
      <c r="C6332" s="42"/>
    </row>
    <row r="6333" spans="3:3" x14ac:dyDescent="0.25">
      <c r="C6333" s="42"/>
    </row>
    <row r="6334" spans="3:3" x14ac:dyDescent="0.25">
      <c r="C6334" s="42"/>
    </row>
    <row r="6335" spans="3:3" x14ac:dyDescent="0.25">
      <c r="C6335" s="42"/>
    </row>
    <row r="6336" spans="3:3" x14ac:dyDescent="0.25">
      <c r="C6336" s="42"/>
    </row>
    <row r="6337" spans="3:3" x14ac:dyDescent="0.25">
      <c r="C6337" s="42"/>
    </row>
    <row r="6338" spans="3:3" x14ac:dyDescent="0.25">
      <c r="C6338" s="42"/>
    </row>
    <row r="6339" spans="3:3" x14ac:dyDescent="0.25">
      <c r="C6339" s="42"/>
    </row>
    <row r="6340" spans="3:3" x14ac:dyDescent="0.25">
      <c r="C6340" s="42"/>
    </row>
    <row r="6341" spans="3:3" x14ac:dyDescent="0.25">
      <c r="C6341" s="42"/>
    </row>
    <row r="6342" spans="3:3" x14ac:dyDescent="0.25">
      <c r="C6342" s="42"/>
    </row>
    <row r="6343" spans="3:3" x14ac:dyDescent="0.25">
      <c r="C6343" s="42"/>
    </row>
    <row r="6344" spans="3:3" x14ac:dyDescent="0.25">
      <c r="C6344" s="42"/>
    </row>
    <row r="6345" spans="3:3" x14ac:dyDescent="0.25">
      <c r="C6345" s="42"/>
    </row>
    <row r="6346" spans="3:3" x14ac:dyDescent="0.25">
      <c r="C6346" s="42"/>
    </row>
    <row r="6347" spans="3:3" x14ac:dyDescent="0.25">
      <c r="C6347" s="42"/>
    </row>
    <row r="6348" spans="3:3" x14ac:dyDescent="0.25">
      <c r="C6348" s="42"/>
    </row>
    <row r="6349" spans="3:3" x14ac:dyDescent="0.25">
      <c r="C6349" s="42"/>
    </row>
    <row r="6350" spans="3:3" x14ac:dyDescent="0.25">
      <c r="C6350" s="42"/>
    </row>
    <row r="6351" spans="3:3" x14ac:dyDescent="0.25">
      <c r="C6351" s="42"/>
    </row>
    <row r="6352" spans="3:3" x14ac:dyDescent="0.25">
      <c r="C6352" s="42"/>
    </row>
    <row r="6353" spans="3:3" x14ac:dyDescent="0.25">
      <c r="C6353" s="42"/>
    </row>
    <row r="6354" spans="3:3" x14ac:dyDescent="0.25">
      <c r="C6354" s="42"/>
    </row>
    <row r="6355" spans="3:3" x14ac:dyDescent="0.25">
      <c r="C6355" s="42"/>
    </row>
    <row r="6356" spans="3:3" x14ac:dyDescent="0.25">
      <c r="C6356" s="42"/>
    </row>
    <row r="6357" spans="3:3" x14ac:dyDescent="0.25">
      <c r="C6357" s="42"/>
    </row>
    <row r="6358" spans="3:3" x14ac:dyDescent="0.25">
      <c r="C6358" s="42"/>
    </row>
    <row r="6359" spans="3:3" x14ac:dyDescent="0.25">
      <c r="C6359" s="42"/>
    </row>
    <row r="6360" spans="3:3" x14ac:dyDescent="0.25">
      <c r="C6360" s="42"/>
    </row>
    <row r="6361" spans="3:3" x14ac:dyDescent="0.25">
      <c r="C6361" s="42"/>
    </row>
    <row r="6362" spans="3:3" x14ac:dyDescent="0.25">
      <c r="C6362" s="42"/>
    </row>
    <row r="6363" spans="3:3" x14ac:dyDescent="0.25">
      <c r="C6363" s="42"/>
    </row>
    <row r="6364" spans="3:3" x14ac:dyDescent="0.25">
      <c r="C6364" s="42"/>
    </row>
    <row r="6365" spans="3:3" x14ac:dyDescent="0.25">
      <c r="C6365" s="42"/>
    </row>
    <row r="6366" spans="3:3" x14ac:dyDescent="0.25">
      <c r="C6366" s="42"/>
    </row>
    <row r="6367" spans="3:3" x14ac:dyDescent="0.25">
      <c r="C6367" s="42"/>
    </row>
    <row r="6368" spans="3:3" x14ac:dyDescent="0.25">
      <c r="C6368" s="42"/>
    </row>
    <row r="6369" spans="3:3" x14ac:dyDescent="0.25">
      <c r="C6369" s="42"/>
    </row>
    <row r="6370" spans="3:3" x14ac:dyDescent="0.25">
      <c r="C6370" s="42"/>
    </row>
    <row r="6371" spans="3:3" x14ac:dyDescent="0.25">
      <c r="C6371" s="42"/>
    </row>
    <row r="6372" spans="3:3" x14ac:dyDescent="0.25">
      <c r="C6372" s="42"/>
    </row>
    <row r="6373" spans="3:3" x14ac:dyDescent="0.25">
      <c r="C6373" s="42"/>
    </row>
    <row r="6374" spans="3:3" x14ac:dyDescent="0.25">
      <c r="C6374" s="42"/>
    </row>
    <row r="6375" spans="3:3" x14ac:dyDescent="0.25">
      <c r="C6375" s="42"/>
    </row>
    <row r="6376" spans="3:3" x14ac:dyDescent="0.25">
      <c r="C6376" s="42"/>
    </row>
    <row r="6377" spans="3:3" x14ac:dyDescent="0.25">
      <c r="C6377" s="42"/>
    </row>
    <row r="6378" spans="3:3" x14ac:dyDescent="0.25">
      <c r="C6378" s="42"/>
    </row>
    <row r="6379" spans="3:3" x14ac:dyDescent="0.25">
      <c r="C6379" s="42"/>
    </row>
    <row r="6380" spans="3:3" x14ac:dyDescent="0.25">
      <c r="C6380" s="42"/>
    </row>
    <row r="6381" spans="3:3" x14ac:dyDescent="0.25">
      <c r="C6381" s="42"/>
    </row>
    <row r="6382" spans="3:3" x14ac:dyDescent="0.25">
      <c r="C6382" s="42"/>
    </row>
    <row r="6383" spans="3:3" x14ac:dyDescent="0.25">
      <c r="C6383" s="42"/>
    </row>
    <row r="6384" spans="3:3" x14ac:dyDescent="0.25">
      <c r="C6384" s="42"/>
    </row>
    <row r="6385" spans="3:3" x14ac:dyDescent="0.25">
      <c r="C6385" s="42"/>
    </row>
    <row r="6386" spans="3:3" x14ac:dyDescent="0.25">
      <c r="C6386" s="42"/>
    </row>
    <row r="6387" spans="3:3" x14ac:dyDescent="0.25">
      <c r="C6387" s="42"/>
    </row>
    <row r="6388" spans="3:3" x14ac:dyDescent="0.25">
      <c r="C6388" s="42"/>
    </row>
    <row r="6389" spans="3:3" x14ac:dyDescent="0.25">
      <c r="C6389" s="42"/>
    </row>
    <row r="6390" spans="3:3" x14ac:dyDescent="0.25">
      <c r="C6390" s="42"/>
    </row>
    <row r="6391" spans="3:3" x14ac:dyDescent="0.25">
      <c r="C6391" s="42"/>
    </row>
    <row r="6392" spans="3:3" x14ac:dyDescent="0.25">
      <c r="C6392" s="42"/>
    </row>
    <row r="6393" spans="3:3" x14ac:dyDescent="0.25">
      <c r="C6393" s="42"/>
    </row>
    <row r="6394" spans="3:3" x14ac:dyDescent="0.25">
      <c r="C6394" s="42"/>
    </row>
    <row r="6395" spans="3:3" x14ac:dyDescent="0.25">
      <c r="C6395" s="42"/>
    </row>
    <row r="6396" spans="3:3" x14ac:dyDescent="0.25">
      <c r="C6396" s="42"/>
    </row>
    <row r="6397" spans="3:3" x14ac:dyDescent="0.25">
      <c r="C6397" s="42"/>
    </row>
    <row r="6398" spans="3:3" x14ac:dyDescent="0.25">
      <c r="C6398" s="42"/>
    </row>
    <row r="6399" spans="3:3" x14ac:dyDescent="0.25">
      <c r="C6399" s="42"/>
    </row>
    <row r="6400" spans="3:3" x14ac:dyDescent="0.25">
      <c r="C6400" s="42"/>
    </row>
    <row r="6401" spans="3:3" x14ac:dyDescent="0.25">
      <c r="C6401" s="42"/>
    </row>
    <row r="6402" spans="3:3" x14ac:dyDescent="0.25">
      <c r="C6402" s="42"/>
    </row>
    <row r="6403" spans="3:3" x14ac:dyDescent="0.25">
      <c r="C6403" s="42"/>
    </row>
    <row r="6404" spans="3:3" x14ac:dyDescent="0.25">
      <c r="C6404" s="42"/>
    </row>
    <row r="6405" spans="3:3" x14ac:dyDescent="0.25">
      <c r="C6405" s="42"/>
    </row>
    <row r="6406" spans="3:3" x14ac:dyDescent="0.25">
      <c r="C6406" s="42"/>
    </row>
    <row r="6407" spans="3:3" x14ac:dyDescent="0.25">
      <c r="C6407" s="42"/>
    </row>
    <row r="6408" spans="3:3" x14ac:dyDescent="0.25">
      <c r="C6408" s="42"/>
    </row>
    <row r="6409" spans="3:3" x14ac:dyDescent="0.25">
      <c r="C6409" s="42"/>
    </row>
    <row r="6410" spans="3:3" x14ac:dyDescent="0.25">
      <c r="C6410" s="42"/>
    </row>
    <row r="6411" spans="3:3" x14ac:dyDescent="0.25">
      <c r="C6411" s="42"/>
    </row>
    <row r="6412" spans="3:3" x14ac:dyDescent="0.25">
      <c r="C6412" s="42"/>
    </row>
    <row r="6413" spans="3:3" x14ac:dyDescent="0.25">
      <c r="C6413" s="42"/>
    </row>
    <row r="6414" spans="3:3" x14ac:dyDescent="0.25">
      <c r="C6414" s="42"/>
    </row>
    <row r="6415" spans="3:3" x14ac:dyDescent="0.25">
      <c r="C6415" s="42"/>
    </row>
    <row r="6416" spans="3:3" x14ac:dyDescent="0.25">
      <c r="C6416" s="42"/>
    </row>
    <row r="6417" spans="3:3" x14ac:dyDescent="0.25">
      <c r="C6417" s="42"/>
    </row>
    <row r="6418" spans="3:3" x14ac:dyDescent="0.25">
      <c r="C6418" s="42"/>
    </row>
    <row r="6419" spans="3:3" x14ac:dyDescent="0.25">
      <c r="C6419" s="42"/>
    </row>
    <row r="6420" spans="3:3" x14ac:dyDescent="0.25">
      <c r="C6420" s="42"/>
    </row>
    <row r="6421" spans="3:3" x14ac:dyDescent="0.25">
      <c r="C6421" s="42"/>
    </row>
    <row r="6422" spans="3:3" x14ac:dyDescent="0.25">
      <c r="C6422" s="42"/>
    </row>
    <row r="6423" spans="3:3" x14ac:dyDescent="0.25">
      <c r="C6423" s="42"/>
    </row>
    <row r="6424" spans="3:3" x14ac:dyDescent="0.25">
      <c r="C6424" s="42"/>
    </row>
    <row r="6425" spans="3:3" x14ac:dyDescent="0.25">
      <c r="C6425" s="42"/>
    </row>
    <row r="6426" spans="3:3" x14ac:dyDescent="0.25">
      <c r="C6426" s="42"/>
    </row>
    <row r="6427" spans="3:3" x14ac:dyDescent="0.25">
      <c r="C6427" s="42"/>
    </row>
    <row r="6428" spans="3:3" x14ac:dyDescent="0.25">
      <c r="C6428" s="42"/>
    </row>
    <row r="6429" spans="3:3" x14ac:dyDescent="0.25">
      <c r="C6429" s="42"/>
    </row>
    <row r="6430" spans="3:3" x14ac:dyDescent="0.25">
      <c r="C6430" s="42"/>
    </row>
    <row r="6431" spans="3:3" x14ac:dyDescent="0.25">
      <c r="C6431" s="42"/>
    </row>
    <row r="6432" spans="3:3" x14ac:dyDescent="0.25">
      <c r="C6432" s="42"/>
    </row>
    <row r="6433" spans="3:3" x14ac:dyDescent="0.25">
      <c r="C6433" s="42"/>
    </row>
    <row r="6434" spans="3:3" x14ac:dyDescent="0.25">
      <c r="C6434" s="42"/>
    </row>
    <row r="6435" spans="3:3" x14ac:dyDescent="0.25">
      <c r="C6435" s="42"/>
    </row>
    <row r="6436" spans="3:3" x14ac:dyDescent="0.25">
      <c r="C6436" s="42"/>
    </row>
    <row r="6437" spans="3:3" x14ac:dyDescent="0.25">
      <c r="C6437" s="42"/>
    </row>
    <row r="6438" spans="3:3" x14ac:dyDescent="0.25">
      <c r="C6438" s="42"/>
    </row>
    <row r="6439" spans="3:3" x14ac:dyDescent="0.25">
      <c r="C6439" s="42"/>
    </row>
    <row r="6440" spans="3:3" x14ac:dyDescent="0.25">
      <c r="C6440" s="42"/>
    </row>
    <row r="6441" spans="3:3" x14ac:dyDescent="0.25">
      <c r="C6441" s="42"/>
    </row>
    <row r="6442" spans="3:3" x14ac:dyDescent="0.25">
      <c r="C6442" s="42"/>
    </row>
    <row r="6443" spans="3:3" x14ac:dyDescent="0.25">
      <c r="C6443" s="42"/>
    </row>
    <row r="6444" spans="3:3" x14ac:dyDescent="0.25">
      <c r="C6444" s="42"/>
    </row>
    <row r="6445" spans="3:3" x14ac:dyDescent="0.25">
      <c r="C6445" s="42"/>
    </row>
    <row r="6446" spans="3:3" x14ac:dyDescent="0.25">
      <c r="C6446" s="42"/>
    </row>
    <row r="6447" spans="3:3" x14ac:dyDescent="0.25">
      <c r="C6447" s="42"/>
    </row>
    <row r="6448" spans="3:3" x14ac:dyDescent="0.25">
      <c r="C6448" s="42"/>
    </row>
    <row r="6449" spans="3:3" x14ac:dyDescent="0.25">
      <c r="C6449" s="42"/>
    </row>
    <row r="6450" spans="3:3" x14ac:dyDescent="0.25">
      <c r="C6450" s="42"/>
    </row>
    <row r="6451" spans="3:3" x14ac:dyDescent="0.25">
      <c r="C6451" s="42"/>
    </row>
    <row r="6452" spans="3:3" x14ac:dyDescent="0.25">
      <c r="C6452" s="42"/>
    </row>
    <row r="6453" spans="3:3" x14ac:dyDescent="0.25">
      <c r="C6453" s="42"/>
    </row>
    <row r="6454" spans="3:3" x14ac:dyDescent="0.25">
      <c r="C6454" s="42"/>
    </row>
    <row r="6455" spans="3:3" x14ac:dyDescent="0.25">
      <c r="C6455" s="42"/>
    </row>
    <row r="6456" spans="3:3" x14ac:dyDescent="0.25">
      <c r="C6456" s="42"/>
    </row>
    <row r="6457" spans="3:3" x14ac:dyDescent="0.25">
      <c r="C6457" s="42"/>
    </row>
    <row r="6458" spans="3:3" x14ac:dyDescent="0.25">
      <c r="C6458" s="42"/>
    </row>
    <row r="6459" spans="3:3" x14ac:dyDescent="0.25">
      <c r="C6459" s="42"/>
    </row>
    <row r="6460" spans="3:3" x14ac:dyDescent="0.25">
      <c r="C6460" s="42"/>
    </row>
    <row r="6461" spans="3:3" x14ac:dyDescent="0.25">
      <c r="C6461" s="42"/>
    </row>
    <row r="6462" spans="3:3" x14ac:dyDescent="0.25">
      <c r="C6462" s="42"/>
    </row>
    <row r="6463" spans="3:3" x14ac:dyDescent="0.25">
      <c r="C6463" s="42"/>
    </row>
    <row r="6464" spans="3:3" x14ac:dyDescent="0.25">
      <c r="C6464" s="42"/>
    </row>
    <row r="6465" spans="3:3" x14ac:dyDescent="0.25">
      <c r="C6465" s="42"/>
    </row>
    <row r="6466" spans="3:3" x14ac:dyDescent="0.25">
      <c r="C6466" s="42"/>
    </row>
    <row r="6467" spans="3:3" x14ac:dyDescent="0.25">
      <c r="C6467" s="42"/>
    </row>
    <row r="6468" spans="3:3" x14ac:dyDescent="0.25">
      <c r="C6468" s="42"/>
    </row>
    <row r="6469" spans="3:3" x14ac:dyDescent="0.25">
      <c r="C6469" s="42"/>
    </row>
    <row r="6470" spans="3:3" x14ac:dyDescent="0.25">
      <c r="C6470" s="42"/>
    </row>
    <row r="6471" spans="3:3" x14ac:dyDescent="0.25">
      <c r="C6471" s="42"/>
    </row>
    <row r="6472" spans="3:3" x14ac:dyDescent="0.25">
      <c r="C6472" s="42"/>
    </row>
    <row r="6473" spans="3:3" x14ac:dyDescent="0.25">
      <c r="C6473" s="42"/>
    </row>
    <row r="6474" spans="3:3" x14ac:dyDescent="0.25">
      <c r="C6474" s="42"/>
    </row>
    <row r="6475" spans="3:3" x14ac:dyDescent="0.25">
      <c r="C6475" s="42"/>
    </row>
    <row r="6476" spans="3:3" x14ac:dyDescent="0.25">
      <c r="C6476" s="42"/>
    </row>
    <row r="6477" spans="3:3" x14ac:dyDescent="0.25">
      <c r="C6477" s="42"/>
    </row>
    <row r="6478" spans="3:3" x14ac:dyDescent="0.25">
      <c r="C6478" s="42"/>
    </row>
    <row r="6479" spans="3:3" x14ac:dyDescent="0.25">
      <c r="C6479" s="42"/>
    </row>
    <row r="6480" spans="3:3" x14ac:dyDescent="0.25">
      <c r="C6480" s="42"/>
    </row>
    <row r="6481" spans="3:3" x14ac:dyDescent="0.25">
      <c r="C6481" s="42"/>
    </row>
    <row r="6482" spans="3:3" x14ac:dyDescent="0.25">
      <c r="C6482" s="42"/>
    </row>
    <row r="6483" spans="3:3" x14ac:dyDescent="0.25">
      <c r="C6483" s="42"/>
    </row>
    <row r="6484" spans="3:3" x14ac:dyDescent="0.25">
      <c r="C6484" s="42"/>
    </row>
    <row r="6485" spans="3:3" x14ac:dyDescent="0.25">
      <c r="C6485" s="42"/>
    </row>
    <row r="6486" spans="3:3" x14ac:dyDescent="0.25">
      <c r="C6486" s="42"/>
    </row>
    <row r="6487" spans="3:3" x14ac:dyDescent="0.25">
      <c r="C6487" s="42"/>
    </row>
    <row r="6488" spans="3:3" x14ac:dyDescent="0.25">
      <c r="C6488" s="42"/>
    </row>
    <row r="6489" spans="3:3" x14ac:dyDescent="0.25">
      <c r="C6489" s="42"/>
    </row>
    <row r="6490" spans="3:3" x14ac:dyDescent="0.25">
      <c r="C6490" s="42"/>
    </row>
    <row r="6491" spans="3:3" x14ac:dyDescent="0.25">
      <c r="C6491" s="42"/>
    </row>
    <row r="6492" spans="3:3" x14ac:dyDescent="0.25">
      <c r="C6492" s="42"/>
    </row>
    <row r="6493" spans="3:3" x14ac:dyDescent="0.25">
      <c r="C6493" s="42"/>
    </row>
    <row r="6494" spans="3:3" x14ac:dyDescent="0.25">
      <c r="C6494" s="42"/>
    </row>
    <row r="6495" spans="3:3" x14ac:dyDescent="0.25">
      <c r="C6495" s="42"/>
    </row>
    <row r="6496" spans="3:3" x14ac:dyDescent="0.25">
      <c r="C6496" s="42"/>
    </row>
    <row r="6497" spans="3:3" x14ac:dyDescent="0.25">
      <c r="C6497" s="42"/>
    </row>
    <row r="6498" spans="3:3" x14ac:dyDescent="0.25">
      <c r="C6498" s="42"/>
    </row>
    <row r="6499" spans="3:3" x14ac:dyDescent="0.25">
      <c r="C6499" s="42"/>
    </row>
    <row r="6500" spans="3:3" x14ac:dyDescent="0.25">
      <c r="C6500" s="42"/>
    </row>
    <row r="6501" spans="3:3" x14ac:dyDescent="0.25">
      <c r="C6501" s="42"/>
    </row>
    <row r="6502" spans="3:3" x14ac:dyDescent="0.25">
      <c r="C6502" s="42"/>
    </row>
    <row r="6503" spans="3:3" x14ac:dyDescent="0.25">
      <c r="C6503" s="42"/>
    </row>
    <row r="6504" spans="3:3" x14ac:dyDescent="0.25">
      <c r="C6504" s="42"/>
    </row>
    <row r="6505" spans="3:3" x14ac:dyDescent="0.25">
      <c r="C6505" s="42"/>
    </row>
    <row r="6506" spans="3:3" x14ac:dyDescent="0.25">
      <c r="C6506" s="42"/>
    </row>
    <row r="6507" spans="3:3" x14ac:dyDescent="0.25">
      <c r="C6507" s="42"/>
    </row>
    <row r="6508" spans="3:3" x14ac:dyDescent="0.25">
      <c r="C6508" s="42"/>
    </row>
    <row r="6509" spans="3:3" x14ac:dyDescent="0.25">
      <c r="C6509" s="42"/>
    </row>
    <row r="6510" spans="3:3" x14ac:dyDescent="0.25">
      <c r="C6510" s="42"/>
    </row>
    <row r="6511" spans="3:3" x14ac:dyDescent="0.25">
      <c r="C6511" s="42"/>
    </row>
    <row r="6512" spans="3:3" x14ac:dyDescent="0.25">
      <c r="C6512" s="42"/>
    </row>
    <row r="6513" spans="3:3" x14ac:dyDescent="0.25">
      <c r="C6513" s="42"/>
    </row>
    <row r="6514" spans="3:3" x14ac:dyDescent="0.25">
      <c r="C6514" s="42"/>
    </row>
    <row r="6515" spans="3:3" x14ac:dyDescent="0.25">
      <c r="C6515" s="42"/>
    </row>
    <row r="6516" spans="3:3" x14ac:dyDescent="0.25">
      <c r="C6516" s="42"/>
    </row>
    <row r="6517" spans="3:3" x14ac:dyDescent="0.25">
      <c r="C6517" s="42"/>
    </row>
    <row r="6518" spans="3:3" x14ac:dyDescent="0.25">
      <c r="C6518" s="42"/>
    </row>
    <row r="6519" spans="3:3" x14ac:dyDescent="0.25">
      <c r="C6519" s="42"/>
    </row>
    <row r="6520" spans="3:3" x14ac:dyDescent="0.25">
      <c r="C6520" s="42"/>
    </row>
    <row r="6521" spans="3:3" x14ac:dyDescent="0.25">
      <c r="C6521" s="42"/>
    </row>
    <row r="6522" spans="3:3" x14ac:dyDescent="0.25">
      <c r="C6522" s="42"/>
    </row>
    <row r="6523" spans="3:3" x14ac:dyDescent="0.25">
      <c r="C6523" s="42"/>
    </row>
    <row r="6524" spans="3:3" x14ac:dyDescent="0.25">
      <c r="C6524" s="42"/>
    </row>
    <row r="6525" spans="3:3" x14ac:dyDescent="0.25">
      <c r="C6525" s="42"/>
    </row>
    <row r="6526" spans="3:3" x14ac:dyDescent="0.25">
      <c r="C6526" s="42"/>
    </row>
    <row r="6527" spans="3:3" x14ac:dyDescent="0.25">
      <c r="C6527" s="42"/>
    </row>
    <row r="6528" spans="3:3" x14ac:dyDescent="0.25">
      <c r="C6528" s="42"/>
    </row>
    <row r="6529" spans="3:3" x14ac:dyDescent="0.25">
      <c r="C6529" s="42"/>
    </row>
    <row r="6530" spans="3:3" x14ac:dyDescent="0.25">
      <c r="C6530" s="42"/>
    </row>
    <row r="6531" spans="3:3" x14ac:dyDescent="0.25">
      <c r="C6531" s="42"/>
    </row>
    <row r="6532" spans="3:3" x14ac:dyDescent="0.25">
      <c r="C6532" s="42"/>
    </row>
    <row r="6533" spans="3:3" x14ac:dyDescent="0.25">
      <c r="C6533" s="42"/>
    </row>
    <row r="6534" spans="3:3" x14ac:dyDescent="0.25">
      <c r="C6534" s="42"/>
    </row>
    <row r="6535" spans="3:3" x14ac:dyDescent="0.25">
      <c r="C6535" s="42"/>
    </row>
    <row r="6536" spans="3:3" x14ac:dyDescent="0.25">
      <c r="C6536" s="42"/>
    </row>
    <row r="6537" spans="3:3" x14ac:dyDescent="0.25">
      <c r="C6537" s="42"/>
    </row>
    <row r="6538" spans="3:3" x14ac:dyDescent="0.25">
      <c r="C6538" s="42"/>
    </row>
    <row r="6539" spans="3:3" x14ac:dyDescent="0.25">
      <c r="C6539" s="42"/>
    </row>
    <row r="6540" spans="3:3" x14ac:dyDescent="0.25">
      <c r="C6540" s="42"/>
    </row>
    <row r="6541" spans="3:3" x14ac:dyDescent="0.25">
      <c r="C6541" s="42"/>
    </row>
    <row r="6542" spans="3:3" x14ac:dyDescent="0.25">
      <c r="C6542" s="42"/>
    </row>
    <row r="6543" spans="3:3" x14ac:dyDescent="0.25">
      <c r="C6543" s="42"/>
    </row>
    <row r="6544" spans="3:3" x14ac:dyDescent="0.25">
      <c r="C6544" s="42"/>
    </row>
    <row r="6545" spans="3:3" x14ac:dyDescent="0.25">
      <c r="C6545" s="42"/>
    </row>
    <row r="6546" spans="3:3" x14ac:dyDescent="0.25">
      <c r="C6546" s="42"/>
    </row>
    <row r="6547" spans="3:3" x14ac:dyDescent="0.25">
      <c r="C6547" s="42"/>
    </row>
    <row r="6548" spans="3:3" x14ac:dyDescent="0.25">
      <c r="C6548" s="42"/>
    </row>
    <row r="6549" spans="3:3" x14ac:dyDescent="0.25">
      <c r="C6549" s="42"/>
    </row>
    <row r="6550" spans="3:3" x14ac:dyDescent="0.25">
      <c r="C6550" s="42"/>
    </row>
    <row r="6551" spans="3:3" x14ac:dyDescent="0.25">
      <c r="C6551" s="42"/>
    </row>
    <row r="6552" spans="3:3" x14ac:dyDescent="0.25">
      <c r="C6552" s="42"/>
    </row>
    <row r="6553" spans="3:3" x14ac:dyDescent="0.25">
      <c r="C6553" s="42"/>
    </row>
    <row r="6554" spans="3:3" x14ac:dyDescent="0.25">
      <c r="C6554" s="42"/>
    </row>
    <row r="6555" spans="3:3" x14ac:dyDescent="0.25">
      <c r="C6555" s="42"/>
    </row>
    <row r="6556" spans="3:3" x14ac:dyDescent="0.25">
      <c r="C6556" s="42"/>
    </row>
    <row r="6557" spans="3:3" x14ac:dyDescent="0.25">
      <c r="C6557" s="42"/>
    </row>
    <row r="6558" spans="3:3" x14ac:dyDescent="0.25">
      <c r="C6558" s="42"/>
    </row>
    <row r="6559" spans="3:3" x14ac:dyDescent="0.25">
      <c r="C6559" s="42"/>
    </row>
    <row r="6560" spans="3:3" x14ac:dyDescent="0.25">
      <c r="C6560" s="42"/>
    </row>
    <row r="6561" spans="3:3" x14ac:dyDescent="0.25">
      <c r="C6561" s="42"/>
    </row>
    <row r="6562" spans="3:3" x14ac:dyDescent="0.25">
      <c r="C6562" s="42"/>
    </row>
    <row r="6563" spans="3:3" x14ac:dyDescent="0.25">
      <c r="C6563" s="42"/>
    </row>
    <row r="6564" spans="3:3" x14ac:dyDescent="0.25">
      <c r="C6564" s="42"/>
    </row>
    <row r="6565" spans="3:3" x14ac:dyDescent="0.25">
      <c r="C6565" s="42"/>
    </row>
    <row r="6566" spans="3:3" x14ac:dyDescent="0.25">
      <c r="C6566" s="42"/>
    </row>
    <row r="6567" spans="3:3" x14ac:dyDescent="0.25">
      <c r="C6567" s="42"/>
    </row>
    <row r="6568" spans="3:3" x14ac:dyDescent="0.25">
      <c r="C6568" s="42"/>
    </row>
    <row r="6569" spans="3:3" x14ac:dyDescent="0.25">
      <c r="C6569" s="42"/>
    </row>
    <row r="6570" spans="3:3" x14ac:dyDescent="0.25">
      <c r="C6570" s="42"/>
    </row>
    <row r="6571" spans="3:3" x14ac:dyDescent="0.25">
      <c r="C6571" s="42"/>
    </row>
    <row r="6572" spans="3:3" x14ac:dyDescent="0.25">
      <c r="C6572" s="42"/>
    </row>
    <row r="6573" spans="3:3" x14ac:dyDescent="0.25">
      <c r="C6573" s="42"/>
    </row>
    <row r="6574" spans="3:3" x14ac:dyDescent="0.25">
      <c r="C6574" s="42"/>
    </row>
    <row r="6575" spans="3:3" x14ac:dyDescent="0.25">
      <c r="C6575" s="42"/>
    </row>
    <row r="6576" spans="3:3" x14ac:dyDescent="0.25">
      <c r="C6576" s="42"/>
    </row>
    <row r="6577" spans="3:3" x14ac:dyDescent="0.25">
      <c r="C6577" s="42"/>
    </row>
    <row r="6578" spans="3:3" x14ac:dyDescent="0.25">
      <c r="C6578" s="42"/>
    </row>
    <row r="6579" spans="3:3" x14ac:dyDescent="0.25">
      <c r="C6579" s="42"/>
    </row>
    <row r="6580" spans="3:3" x14ac:dyDescent="0.25">
      <c r="C6580" s="42"/>
    </row>
    <row r="6581" spans="3:3" x14ac:dyDescent="0.25">
      <c r="C6581" s="42"/>
    </row>
    <row r="6582" spans="3:3" x14ac:dyDescent="0.25">
      <c r="C6582" s="42"/>
    </row>
    <row r="6583" spans="3:3" x14ac:dyDescent="0.25">
      <c r="C6583" s="42"/>
    </row>
    <row r="6584" spans="3:3" x14ac:dyDescent="0.25">
      <c r="C6584" s="42"/>
    </row>
    <row r="6585" spans="3:3" x14ac:dyDescent="0.25">
      <c r="C6585" s="42"/>
    </row>
    <row r="6586" spans="3:3" x14ac:dyDescent="0.25">
      <c r="C6586" s="42"/>
    </row>
    <row r="6587" spans="3:3" x14ac:dyDescent="0.25">
      <c r="C6587" s="42"/>
    </row>
    <row r="6588" spans="3:3" x14ac:dyDescent="0.25">
      <c r="C6588" s="42"/>
    </row>
    <row r="6589" spans="3:3" x14ac:dyDescent="0.25">
      <c r="C6589" s="42"/>
    </row>
    <row r="6590" spans="3:3" x14ac:dyDescent="0.25">
      <c r="C6590" s="42"/>
    </row>
    <row r="6591" spans="3:3" x14ac:dyDescent="0.25">
      <c r="C6591" s="42"/>
    </row>
    <row r="6592" spans="3:3" x14ac:dyDescent="0.25">
      <c r="C6592" s="42"/>
    </row>
    <row r="6593" spans="3:3" x14ac:dyDescent="0.25">
      <c r="C6593" s="42"/>
    </row>
    <row r="6594" spans="3:3" x14ac:dyDescent="0.25">
      <c r="C6594" s="42"/>
    </row>
    <row r="6595" spans="3:3" x14ac:dyDescent="0.25">
      <c r="C6595" s="42"/>
    </row>
    <row r="6596" spans="3:3" x14ac:dyDescent="0.25">
      <c r="C6596" s="42"/>
    </row>
    <row r="6597" spans="3:3" x14ac:dyDescent="0.25">
      <c r="C6597" s="42"/>
    </row>
    <row r="6598" spans="3:3" x14ac:dyDescent="0.25">
      <c r="C6598" s="42"/>
    </row>
    <row r="6599" spans="3:3" x14ac:dyDescent="0.25">
      <c r="C6599" s="42"/>
    </row>
    <row r="6600" spans="3:3" x14ac:dyDescent="0.25">
      <c r="C6600" s="42"/>
    </row>
    <row r="6601" spans="3:3" x14ac:dyDescent="0.25">
      <c r="C6601" s="42"/>
    </row>
    <row r="6602" spans="3:3" x14ac:dyDescent="0.25">
      <c r="C6602" s="42"/>
    </row>
    <row r="6603" spans="3:3" x14ac:dyDescent="0.25">
      <c r="C6603" s="42"/>
    </row>
    <row r="6604" spans="3:3" x14ac:dyDescent="0.25">
      <c r="C6604" s="42"/>
    </row>
    <row r="6605" spans="3:3" x14ac:dyDescent="0.25">
      <c r="C6605" s="42"/>
    </row>
    <row r="6606" spans="3:3" x14ac:dyDescent="0.25">
      <c r="C6606" s="42"/>
    </row>
    <row r="6607" spans="3:3" x14ac:dyDescent="0.25">
      <c r="C6607" s="42"/>
    </row>
    <row r="6608" spans="3:3" x14ac:dyDescent="0.25">
      <c r="C6608" s="42"/>
    </row>
    <row r="6609" spans="3:3" x14ac:dyDescent="0.25">
      <c r="C6609" s="42"/>
    </row>
    <row r="6610" spans="3:3" x14ac:dyDescent="0.25">
      <c r="C6610" s="42"/>
    </row>
    <row r="6611" spans="3:3" x14ac:dyDescent="0.25">
      <c r="C6611" s="42"/>
    </row>
    <row r="6612" spans="3:3" x14ac:dyDescent="0.25">
      <c r="C6612" s="42"/>
    </row>
    <row r="6613" spans="3:3" x14ac:dyDescent="0.25">
      <c r="C6613" s="42"/>
    </row>
    <row r="6614" spans="3:3" x14ac:dyDescent="0.25">
      <c r="C6614" s="42"/>
    </row>
    <row r="6615" spans="3:3" x14ac:dyDescent="0.25">
      <c r="C6615" s="42"/>
    </row>
    <row r="6616" spans="3:3" x14ac:dyDescent="0.25">
      <c r="C6616" s="42"/>
    </row>
    <row r="6617" spans="3:3" x14ac:dyDescent="0.25">
      <c r="C6617" s="42"/>
    </row>
    <row r="6618" spans="3:3" x14ac:dyDescent="0.25">
      <c r="C6618" s="42"/>
    </row>
    <row r="6619" spans="3:3" x14ac:dyDescent="0.25">
      <c r="C6619" s="42"/>
    </row>
    <row r="6620" spans="3:3" x14ac:dyDescent="0.25">
      <c r="C6620" s="42"/>
    </row>
    <row r="6621" spans="3:3" x14ac:dyDescent="0.25">
      <c r="C6621" s="42"/>
    </row>
    <row r="6622" spans="3:3" x14ac:dyDescent="0.25">
      <c r="C6622" s="42"/>
    </row>
    <row r="6623" spans="3:3" x14ac:dyDescent="0.25">
      <c r="C6623" s="42"/>
    </row>
    <row r="6624" spans="3:3" x14ac:dyDescent="0.25">
      <c r="C6624" s="42"/>
    </row>
    <row r="6625" spans="3:3" x14ac:dyDescent="0.25">
      <c r="C6625" s="42"/>
    </row>
    <row r="6626" spans="3:3" x14ac:dyDescent="0.25">
      <c r="C6626" s="42"/>
    </row>
    <row r="6627" spans="3:3" x14ac:dyDescent="0.25">
      <c r="C6627" s="42"/>
    </row>
    <row r="6628" spans="3:3" x14ac:dyDescent="0.25">
      <c r="C6628" s="42"/>
    </row>
    <row r="6629" spans="3:3" x14ac:dyDescent="0.25">
      <c r="C6629" s="42"/>
    </row>
    <row r="6630" spans="3:3" x14ac:dyDescent="0.25">
      <c r="C6630" s="42"/>
    </row>
    <row r="6631" spans="3:3" x14ac:dyDescent="0.25">
      <c r="C6631" s="42"/>
    </row>
    <row r="6632" spans="3:3" x14ac:dyDescent="0.25">
      <c r="C6632" s="42"/>
    </row>
    <row r="6633" spans="3:3" x14ac:dyDescent="0.25">
      <c r="C6633" s="42"/>
    </row>
    <row r="6634" spans="3:3" x14ac:dyDescent="0.25">
      <c r="C6634" s="42"/>
    </row>
    <row r="6635" spans="3:3" x14ac:dyDescent="0.25">
      <c r="C6635" s="42"/>
    </row>
    <row r="6636" spans="3:3" x14ac:dyDescent="0.25">
      <c r="C6636" s="42"/>
    </row>
    <row r="6637" spans="3:3" x14ac:dyDescent="0.25">
      <c r="C6637" s="42"/>
    </row>
    <row r="6638" spans="3:3" x14ac:dyDescent="0.25">
      <c r="C6638" s="42"/>
    </row>
    <row r="6639" spans="3:3" x14ac:dyDescent="0.25">
      <c r="C6639" s="42"/>
    </row>
    <row r="6640" spans="3:3" x14ac:dyDescent="0.25">
      <c r="C6640" s="42"/>
    </row>
    <row r="6641" spans="3:3" x14ac:dyDescent="0.25">
      <c r="C6641" s="42"/>
    </row>
    <row r="6642" spans="3:3" x14ac:dyDescent="0.25">
      <c r="C6642" s="42"/>
    </row>
    <row r="6643" spans="3:3" x14ac:dyDescent="0.25">
      <c r="C6643" s="42"/>
    </row>
    <row r="6644" spans="3:3" x14ac:dyDescent="0.25">
      <c r="C6644" s="42"/>
    </row>
    <row r="6645" spans="3:3" x14ac:dyDescent="0.25">
      <c r="C6645" s="42"/>
    </row>
    <row r="6646" spans="3:3" x14ac:dyDescent="0.25">
      <c r="C6646" s="42"/>
    </row>
    <row r="6647" spans="3:3" x14ac:dyDescent="0.25">
      <c r="C6647" s="42"/>
    </row>
    <row r="6648" spans="3:3" x14ac:dyDescent="0.25">
      <c r="C6648" s="42"/>
    </row>
    <row r="6649" spans="3:3" x14ac:dyDescent="0.25">
      <c r="C6649" s="42"/>
    </row>
    <row r="6650" spans="3:3" x14ac:dyDescent="0.25">
      <c r="C6650" s="42"/>
    </row>
    <row r="6651" spans="3:3" x14ac:dyDescent="0.25">
      <c r="C6651" s="42"/>
    </row>
    <row r="6652" spans="3:3" x14ac:dyDescent="0.25">
      <c r="C6652" s="42"/>
    </row>
    <row r="6653" spans="3:3" x14ac:dyDescent="0.25">
      <c r="C6653" s="42"/>
    </row>
    <row r="6654" spans="3:3" x14ac:dyDescent="0.25">
      <c r="C6654" s="42"/>
    </row>
    <row r="6655" spans="3:3" x14ac:dyDescent="0.25">
      <c r="C6655" s="42"/>
    </row>
    <row r="6656" spans="3:3" x14ac:dyDescent="0.25">
      <c r="C6656" s="42"/>
    </row>
    <row r="6657" spans="3:3" x14ac:dyDescent="0.25">
      <c r="C6657" s="42"/>
    </row>
    <row r="6658" spans="3:3" x14ac:dyDescent="0.25">
      <c r="C6658" s="42"/>
    </row>
    <row r="6659" spans="3:3" x14ac:dyDescent="0.25">
      <c r="C6659" s="42"/>
    </row>
    <row r="6660" spans="3:3" x14ac:dyDescent="0.25">
      <c r="C6660" s="42"/>
    </row>
    <row r="6661" spans="3:3" x14ac:dyDescent="0.25">
      <c r="C6661" s="42"/>
    </row>
    <row r="6662" spans="3:3" x14ac:dyDescent="0.25">
      <c r="C6662" s="42"/>
    </row>
    <row r="6663" spans="3:3" x14ac:dyDescent="0.25">
      <c r="C6663" s="42"/>
    </row>
    <row r="6664" spans="3:3" x14ac:dyDescent="0.25">
      <c r="C6664" s="42"/>
    </row>
    <row r="6665" spans="3:3" x14ac:dyDescent="0.25">
      <c r="C6665" s="42"/>
    </row>
    <row r="6666" spans="3:3" x14ac:dyDescent="0.25">
      <c r="C6666" s="42"/>
    </row>
    <row r="6667" spans="3:3" x14ac:dyDescent="0.25">
      <c r="C6667" s="42"/>
    </row>
    <row r="6668" spans="3:3" x14ac:dyDescent="0.25">
      <c r="C6668" s="42"/>
    </row>
    <row r="6669" spans="3:3" x14ac:dyDescent="0.25">
      <c r="C6669" s="42"/>
    </row>
    <row r="6670" spans="3:3" x14ac:dyDescent="0.25">
      <c r="C6670" s="42"/>
    </row>
    <row r="6671" spans="3:3" x14ac:dyDescent="0.25">
      <c r="C6671" s="42"/>
    </row>
    <row r="6672" spans="3:3" x14ac:dyDescent="0.25">
      <c r="C6672" s="42"/>
    </row>
    <row r="6673" spans="3:3" x14ac:dyDescent="0.25">
      <c r="C6673" s="42"/>
    </row>
    <row r="6674" spans="3:3" x14ac:dyDescent="0.25">
      <c r="C6674" s="42"/>
    </row>
    <row r="6675" spans="3:3" x14ac:dyDescent="0.25">
      <c r="C6675" s="42"/>
    </row>
    <row r="6676" spans="3:3" x14ac:dyDescent="0.25">
      <c r="C6676" s="42"/>
    </row>
    <row r="6677" spans="3:3" x14ac:dyDescent="0.25">
      <c r="C6677" s="42"/>
    </row>
    <row r="6678" spans="3:3" x14ac:dyDescent="0.25">
      <c r="C6678" s="42"/>
    </row>
    <row r="6679" spans="3:3" x14ac:dyDescent="0.25">
      <c r="C6679" s="42"/>
    </row>
    <row r="6680" spans="3:3" x14ac:dyDescent="0.25">
      <c r="C6680" s="42"/>
    </row>
    <row r="6681" spans="3:3" x14ac:dyDescent="0.25">
      <c r="C6681" s="42"/>
    </row>
    <row r="6682" spans="3:3" x14ac:dyDescent="0.25">
      <c r="C6682" s="42"/>
    </row>
    <row r="6683" spans="3:3" x14ac:dyDescent="0.25">
      <c r="C6683" s="42"/>
    </row>
    <row r="6684" spans="3:3" x14ac:dyDescent="0.25">
      <c r="C6684" s="42"/>
    </row>
    <row r="6685" spans="3:3" x14ac:dyDescent="0.25">
      <c r="C6685" s="42"/>
    </row>
    <row r="6686" spans="3:3" x14ac:dyDescent="0.25">
      <c r="C6686" s="42"/>
    </row>
    <row r="6687" spans="3:3" x14ac:dyDescent="0.25">
      <c r="C6687" s="42"/>
    </row>
    <row r="6688" spans="3:3" x14ac:dyDescent="0.25">
      <c r="C6688" s="42"/>
    </row>
    <row r="6689" spans="3:3" x14ac:dyDescent="0.25">
      <c r="C6689" s="42"/>
    </row>
    <row r="6690" spans="3:3" x14ac:dyDescent="0.25">
      <c r="C6690" s="42"/>
    </row>
    <row r="6691" spans="3:3" x14ac:dyDescent="0.25">
      <c r="C6691" s="42"/>
    </row>
    <row r="6692" spans="3:3" x14ac:dyDescent="0.25">
      <c r="C6692" s="42"/>
    </row>
    <row r="6693" spans="3:3" x14ac:dyDescent="0.25">
      <c r="C6693" s="42"/>
    </row>
    <row r="6694" spans="3:3" x14ac:dyDescent="0.25">
      <c r="C6694" s="42"/>
    </row>
    <row r="6695" spans="3:3" x14ac:dyDescent="0.25">
      <c r="C6695" s="42"/>
    </row>
    <row r="6696" spans="3:3" x14ac:dyDescent="0.25">
      <c r="C6696" s="42"/>
    </row>
    <row r="6697" spans="3:3" x14ac:dyDescent="0.25">
      <c r="C6697" s="42"/>
    </row>
    <row r="6698" spans="3:3" x14ac:dyDescent="0.25">
      <c r="C6698" s="42"/>
    </row>
    <row r="6699" spans="3:3" x14ac:dyDescent="0.25">
      <c r="C6699" s="42"/>
    </row>
    <row r="6700" spans="3:3" x14ac:dyDescent="0.25">
      <c r="C6700" s="42"/>
    </row>
    <row r="6701" spans="3:3" x14ac:dyDescent="0.25">
      <c r="C6701" s="42"/>
    </row>
    <row r="6702" spans="3:3" x14ac:dyDescent="0.25">
      <c r="C6702" s="42"/>
    </row>
    <row r="6703" spans="3:3" x14ac:dyDescent="0.25">
      <c r="C6703" s="42"/>
    </row>
    <row r="6704" spans="3:3" x14ac:dyDescent="0.25">
      <c r="C6704" s="42"/>
    </row>
    <row r="6705" spans="3:3" x14ac:dyDescent="0.25">
      <c r="C6705" s="42"/>
    </row>
    <row r="6706" spans="3:3" x14ac:dyDescent="0.25">
      <c r="C6706" s="42"/>
    </row>
    <row r="6707" spans="3:3" x14ac:dyDescent="0.25">
      <c r="C6707" s="42"/>
    </row>
    <row r="6708" spans="3:3" x14ac:dyDescent="0.25">
      <c r="C6708" s="42"/>
    </row>
    <row r="6709" spans="3:3" x14ac:dyDescent="0.25">
      <c r="C6709" s="42"/>
    </row>
    <row r="6710" spans="3:3" x14ac:dyDescent="0.25">
      <c r="C6710" s="42"/>
    </row>
    <row r="6711" spans="3:3" x14ac:dyDescent="0.25">
      <c r="C6711" s="42"/>
    </row>
    <row r="6712" spans="3:3" x14ac:dyDescent="0.25">
      <c r="C6712" s="42"/>
    </row>
    <row r="6713" spans="3:3" x14ac:dyDescent="0.25">
      <c r="C6713" s="42"/>
    </row>
    <row r="6714" spans="3:3" x14ac:dyDescent="0.25">
      <c r="C6714" s="42"/>
    </row>
    <row r="6715" spans="3:3" x14ac:dyDescent="0.25">
      <c r="C6715" s="42"/>
    </row>
    <row r="6716" spans="3:3" x14ac:dyDescent="0.25">
      <c r="C6716" s="42"/>
    </row>
    <row r="6717" spans="3:3" x14ac:dyDescent="0.25">
      <c r="C6717" s="42"/>
    </row>
    <row r="6718" spans="3:3" x14ac:dyDescent="0.25">
      <c r="C6718" s="42"/>
    </row>
    <row r="6719" spans="3:3" x14ac:dyDescent="0.25">
      <c r="C6719" s="42"/>
    </row>
    <row r="6720" spans="3:3" x14ac:dyDescent="0.25">
      <c r="C6720" s="42"/>
    </row>
    <row r="6721" spans="3:3" x14ac:dyDescent="0.25">
      <c r="C6721" s="42"/>
    </row>
    <row r="6722" spans="3:3" x14ac:dyDescent="0.25">
      <c r="C6722" s="42"/>
    </row>
    <row r="6723" spans="3:3" x14ac:dyDescent="0.25">
      <c r="C6723" s="42"/>
    </row>
    <row r="6724" spans="3:3" x14ac:dyDescent="0.25">
      <c r="C6724" s="42"/>
    </row>
    <row r="6725" spans="3:3" x14ac:dyDescent="0.25">
      <c r="C6725" s="42"/>
    </row>
    <row r="6726" spans="3:3" x14ac:dyDescent="0.25">
      <c r="C6726" s="42"/>
    </row>
    <row r="6727" spans="3:3" x14ac:dyDescent="0.25">
      <c r="C6727" s="42"/>
    </row>
    <row r="6728" spans="3:3" x14ac:dyDescent="0.25">
      <c r="C6728" s="42"/>
    </row>
    <row r="6729" spans="3:3" x14ac:dyDescent="0.25">
      <c r="C6729" s="42"/>
    </row>
    <row r="6730" spans="3:3" x14ac:dyDescent="0.25">
      <c r="C6730" s="42"/>
    </row>
    <row r="6731" spans="3:3" x14ac:dyDescent="0.25">
      <c r="C6731" s="42"/>
    </row>
    <row r="6732" spans="3:3" x14ac:dyDescent="0.25">
      <c r="C6732" s="42"/>
    </row>
    <row r="6733" spans="3:3" x14ac:dyDescent="0.25">
      <c r="C6733" s="42"/>
    </row>
    <row r="6734" spans="3:3" x14ac:dyDescent="0.25">
      <c r="C6734" s="42"/>
    </row>
    <row r="6735" spans="3:3" x14ac:dyDescent="0.25">
      <c r="C6735" s="42"/>
    </row>
    <row r="6736" spans="3:3" x14ac:dyDescent="0.25">
      <c r="C6736" s="42"/>
    </row>
    <row r="6737" spans="3:3" x14ac:dyDescent="0.25">
      <c r="C6737" s="42"/>
    </row>
    <row r="6738" spans="3:3" x14ac:dyDescent="0.25">
      <c r="C6738" s="42"/>
    </row>
    <row r="6739" spans="3:3" x14ac:dyDescent="0.25">
      <c r="C6739" s="42"/>
    </row>
    <row r="6740" spans="3:3" x14ac:dyDescent="0.25">
      <c r="C6740" s="42"/>
    </row>
    <row r="6741" spans="3:3" x14ac:dyDescent="0.25">
      <c r="C6741" s="42"/>
    </row>
    <row r="6742" spans="3:3" x14ac:dyDescent="0.25">
      <c r="C6742" s="42"/>
    </row>
    <row r="6743" spans="3:3" x14ac:dyDescent="0.25">
      <c r="C6743" s="42"/>
    </row>
    <row r="6744" spans="3:3" x14ac:dyDescent="0.25">
      <c r="C6744" s="42"/>
    </row>
    <row r="6745" spans="3:3" x14ac:dyDescent="0.25">
      <c r="C6745" s="42"/>
    </row>
    <row r="6746" spans="3:3" x14ac:dyDescent="0.25">
      <c r="C6746" s="42"/>
    </row>
    <row r="6747" spans="3:3" x14ac:dyDescent="0.25">
      <c r="C6747" s="42"/>
    </row>
    <row r="6748" spans="3:3" x14ac:dyDescent="0.25">
      <c r="C6748" s="42"/>
    </row>
    <row r="6749" spans="3:3" x14ac:dyDescent="0.25">
      <c r="C6749" s="42"/>
    </row>
    <row r="6750" spans="3:3" x14ac:dyDescent="0.25">
      <c r="C6750" s="42"/>
    </row>
    <row r="6751" spans="3:3" x14ac:dyDescent="0.25">
      <c r="C6751" s="42"/>
    </row>
    <row r="6752" spans="3:3" x14ac:dyDescent="0.25">
      <c r="C6752" s="42"/>
    </row>
    <row r="6753" spans="3:3" x14ac:dyDescent="0.25">
      <c r="C6753" s="42"/>
    </row>
    <row r="6754" spans="3:3" x14ac:dyDescent="0.25">
      <c r="C6754" s="42"/>
    </row>
    <row r="6755" spans="3:3" x14ac:dyDescent="0.25">
      <c r="C6755" s="42"/>
    </row>
    <row r="6756" spans="3:3" x14ac:dyDescent="0.25">
      <c r="C6756" s="42"/>
    </row>
    <row r="6757" spans="3:3" x14ac:dyDescent="0.25">
      <c r="C6757" s="42"/>
    </row>
    <row r="6758" spans="3:3" x14ac:dyDescent="0.25">
      <c r="C6758" s="42"/>
    </row>
    <row r="6759" spans="3:3" x14ac:dyDescent="0.25">
      <c r="C6759" s="42"/>
    </row>
    <row r="6760" spans="3:3" x14ac:dyDescent="0.25">
      <c r="C6760" s="42"/>
    </row>
    <row r="6761" spans="3:3" x14ac:dyDescent="0.25">
      <c r="C6761" s="42"/>
    </row>
    <row r="6762" spans="3:3" x14ac:dyDescent="0.25">
      <c r="C6762" s="42"/>
    </row>
    <row r="6763" spans="3:3" x14ac:dyDescent="0.25">
      <c r="C6763" s="42"/>
    </row>
    <row r="6764" spans="3:3" x14ac:dyDescent="0.25">
      <c r="C6764" s="42"/>
    </row>
    <row r="6765" spans="3:3" x14ac:dyDescent="0.25">
      <c r="C6765" s="42"/>
    </row>
    <row r="6766" spans="3:3" x14ac:dyDescent="0.25">
      <c r="C6766" s="42"/>
    </row>
    <row r="6767" spans="3:3" x14ac:dyDescent="0.25">
      <c r="C6767" s="42"/>
    </row>
    <row r="6768" spans="3:3" x14ac:dyDescent="0.25">
      <c r="C6768" s="42"/>
    </row>
    <row r="6769" spans="3:3" x14ac:dyDescent="0.25">
      <c r="C6769" s="42"/>
    </row>
    <row r="6770" spans="3:3" x14ac:dyDescent="0.25">
      <c r="C6770" s="42"/>
    </row>
    <row r="6771" spans="3:3" x14ac:dyDescent="0.25">
      <c r="C6771" s="42"/>
    </row>
    <row r="6772" spans="3:3" x14ac:dyDescent="0.25">
      <c r="C6772" s="42"/>
    </row>
    <row r="6773" spans="3:3" x14ac:dyDescent="0.25">
      <c r="C6773" s="42"/>
    </row>
    <row r="6774" spans="3:3" x14ac:dyDescent="0.25">
      <c r="C6774" s="42"/>
    </row>
    <row r="6775" spans="3:3" x14ac:dyDescent="0.25">
      <c r="C6775" s="42"/>
    </row>
    <row r="6776" spans="3:3" x14ac:dyDescent="0.25">
      <c r="C6776" s="42"/>
    </row>
    <row r="6777" spans="3:3" x14ac:dyDescent="0.25">
      <c r="C6777" s="42"/>
    </row>
    <row r="6778" spans="3:3" x14ac:dyDescent="0.25">
      <c r="C6778" s="42"/>
    </row>
    <row r="6779" spans="3:3" x14ac:dyDescent="0.25">
      <c r="C6779" s="42"/>
    </row>
    <row r="6780" spans="3:3" x14ac:dyDescent="0.25">
      <c r="C6780" s="42"/>
    </row>
    <row r="6781" spans="3:3" x14ac:dyDescent="0.25">
      <c r="C6781" s="42"/>
    </row>
    <row r="6782" spans="3:3" x14ac:dyDescent="0.25">
      <c r="C6782" s="42"/>
    </row>
    <row r="6783" spans="3:3" x14ac:dyDescent="0.25">
      <c r="C6783" s="42"/>
    </row>
    <row r="6784" spans="3:3" x14ac:dyDescent="0.25">
      <c r="C6784" s="42"/>
    </row>
    <row r="6785" spans="3:3" x14ac:dyDescent="0.25">
      <c r="C6785" s="42"/>
    </row>
    <row r="6786" spans="3:3" x14ac:dyDescent="0.25">
      <c r="C6786" s="42"/>
    </row>
    <row r="6787" spans="3:3" x14ac:dyDescent="0.25">
      <c r="C6787" s="42"/>
    </row>
    <row r="6788" spans="3:3" x14ac:dyDescent="0.25">
      <c r="C6788" s="42"/>
    </row>
    <row r="6789" spans="3:3" x14ac:dyDescent="0.25">
      <c r="C6789" s="42"/>
    </row>
    <row r="6790" spans="3:3" x14ac:dyDescent="0.25">
      <c r="C6790" s="42"/>
    </row>
    <row r="6791" spans="3:3" x14ac:dyDescent="0.25">
      <c r="C6791" s="42"/>
    </row>
    <row r="6792" spans="3:3" x14ac:dyDescent="0.25">
      <c r="C6792" s="42"/>
    </row>
    <row r="6793" spans="3:3" x14ac:dyDescent="0.25">
      <c r="C6793" s="42"/>
    </row>
    <row r="6794" spans="3:3" x14ac:dyDescent="0.25">
      <c r="C6794" s="42"/>
    </row>
    <row r="6795" spans="3:3" x14ac:dyDescent="0.25">
      <c r="C6795" s="42"/>
    </row>
    <row r="6796" spans="3:3" x14ac:dyDescent="0.25">
      <c r="C6796" s="42"/>
    </row>
    <row r="6797" spans="3:3" x14ac:dyDescent="0.25">
      <c r="C6797" s="42"/>
    </row>
    <row r="6798" spans="3:3" x14ac:dyDescent="0.25">
      <c r="C6798" s="42"/>
    </row>
    <row r="6799" spans="3:3" x14ac:dyDescent="0.25">
      <c r="C6799" s="42"/>
    </row>
    <row r="6800" spans="3:3" x14ac:dyDescent="0.25">
      <c r="C6800" s="42"/>
    </row>
    <row r="6801" spans="3:3" x14ac:dyDescent="0.25">
      <c r="C6801" s="42"/>
    </row>
    <row r="6802" spans="3:3" x14ac:dyDescent="0.25">
      <c r="C6802" s="42"/>
    </row>
    <row r="6803" spans="3:3" x14ac:dyDescent="0.25">
      <c r="C6803" s="42"/>
    </row>
    <row r="6804" spans="3:3" x14ac:dyDescent="0.25">
      <c r="C6804" s="42"/>
    </row>
    <row r="6805" spans="3:3" x14ac:dyDescent="0.25">
      <c r="C6805" s="42"/>
    </row>
    <row r="6806" spans="3:3" x14ac:dyDescent="0.25">
      <c r="C6806" s="42"/>
    </row>
    <row r="6807" spans="3:3" x14ac:dyDescent="0.25">
      <c r="C6807" s="42"/>
    </row>
    <row r="6808" spans="3:3" x14ac:dyDescent="0.25">
      <c r="C6808" s="42"/>
    </row>
    <row r="6809" spans="3:3" x14ac:dyDescent="0.25">
      <c r="C6809" s="42"/>
    </row>
    <row r="6810" spans="3:3" x14ac:dyDescent="0.25">
      <c r="C6810" s="42"/>
    </row>
    <row r="6811" spans="3:3" x14ac:dyDescent="0.25">
      <c r="C6811" s="42"/>
    </row>
    <row r="6812" spans="3:3" x14ac:dyDescent="0.25">
      <c r="C6812" s="42"/>
    </row>
    <row r="6813" spans="3:3" x14ac:dyDescent="0.25">
      <c r="C6813" s="42"/>
    </row>
    <row r="6814" spans="3:3" x14ac:dyDescent="0.25">
      <c r="C6814" s="42"/>
    </row>
    <row r="6815" spans="3:3" x14ac:dyDescent="0.25">
      <c r="C6815" s="42"/>
    </row>
    <row r="6816" spans="3:3" x14ac:dyDescent="0.25">
      <c r="C6816" s="42"/>
    </row>
    <row r="6817" spans="3:3" x14ac:dyDescent="0.25">
      <c r="C6817" s="42"/>
    </row>
    <row r="6818" spans="3:3" x14ac:dyDescent="0.25">
      <c r="C6818" s="42"/>
    </row>
    <row r="6819" spans="3:3" x14ac:dyDescent="0.25">
      <c r="C6819" s="42"/>
    </row>
    <row r="6820" spans="3:3" x14ac:dyDescent="0.25">
      <c r="C6820" s="42"/>
    </row>
    <row r="6821" spans="3:3" x14ac:dyDescent="0.25">
      <c r="C6821" s="42"/>
    </row>
    <row r="6822" spans="3:3" x14ac:dyDescent="0.25">
      <c r="C6822" s="42"/>
    </row>
    <row r="6823" spans="3:3" x14ac:dyDescent="0.25">
      <c r="C6823" s="42"/>
    </row>
    <row r="6824" spans="3:3" x14ac:dyDescent="0.25">
      <c r="C6824" s="42"/>
    </row>
    <row r="6825" spans="3:3" x14ac:dyDescent="0.25">
      <c r="C6825" s="42"/>
    </row>
    <row r="6826" spans="3:3" x14ac:dyDescent="0.25">
      <c r="C6826" s="42"/>
    </row>
    <row r="6827" spans="3:3" x14ac:dyDescent="0.25">
      <c r="C6827" s="42"/>
    </row>
    <row r="6828" spans="3:3" x14ac:dyDescent="0.25">
      <c r="C6828" s="42"/>
    </row>
    <row r="6829" spans="3:3" x14ac:dyDescent="0.25">
      <c r="C6829" s="42"/>
    </row>
    <row r="6830" spans="3:3" x14ac:dyDescent="0.25">
      <c r="C6830" s="42"/>
    </row>
    <row r="6831" spans="3:3" x14ac:dyDescent="0.25">
      <c r="C6831" s="42"/>
    </row>
    <row r="6832" spans="3:3" x14ac:dyDescent="0.25">
      <c r="C6832" s="42"/>
    </row>
    <row r="6833" spans="3:3" x14ac:dyDescent="0.25">
      <c r="C6833" s="42"/>
    </row>
    <row r="6834" spans="3:3" x14ac:dyDescent="0.25">
      <c r="C6834" s="42"/>
    </row>
    <row r="6835" spans="3:3" x14ac:dyDescent="0.25">
      <c r="C6835" s="42"/>
    </row>
    <row r="6836" spans="3:3" x14ac:dyDescent="0.25">
      <c r="C6836" s="42"/>
    </row>
    <row r="6837" spans="3:3" x14ac:dyDescent="0.25">
      <c r="C6837" s="42"/>
    </row>
    <row r="6838" spans="3:3" x14ac:dyDescent="0.25">
      <c r="C6838" s="42"/>
    </row>
    <row r="6839" spans="3:3" x14ac:dyDescent="0.25">
      <c r="C6839" s="42"/>
    </row>
    <row r="6840" spans="3:3" x14ac:dyDescent="0.25">
      <c r="C6840" s="42"/>
    </row>
    <row r="6841" spans="3:3" x14ac:dyDescent="0.25">
      <c r="C6841" s="42"/>
    </row>
    <row r="6842" spans="3:3" x14ac:dyDescent="0.25">
      <c r="C6842" s="42"/>
    </row>
    <row r="6843" spans="3:3" x14ac:dyDescent="0.25">
      <c r="C6843" s="42"/>
    </row>
    <row r="6844" spans="3:3" x14ac:dyDescent="0.25">
      <c r="C6844" s="42"/>
    </row>
    <row r="6845" spans="3:3" x14ac:dyDescent="0.25">
      <c r="C6845" s="42"/>
    </row>
    <row r="6846" spans="3:3" x14ac:dyDescent="0.25">
      <c r="C6846" s="42"/>
    </row>
    <row r="6847" spans="3:3" x14ac:dyDescent="0.25">
      <c r="C6847" s="42"/>
    </row>
    <row r="6848" spans="3:3" x14ac:dyDescent="0.25">
      <c r="C6848" s="42"/>
    </row>
    <row r="6849" spans="3:3" x14ac:dyDescent="0.25">
      <c r="C6849" s="42"/>
    </row>
    <row r="6850" spans="3:3" x14ac:dyDescent="0.25">
      <c r="C6850" s="42"/>
    </row>
    <row r="6851" spans="3:3" x14ac:dyDescent="0.25">
      <c r="C6851" s="42"/>
    </row>
    <row r="6852" spans="3:3" x14ac:dyDescent="0.25">
      <c r="C6852" s="42"/>
    </row>
    <row r="6853" spans="3:3" x14ac:dyDescent="0.25">
      <c r="C6853" s="42"/>
    </row>
    <row r="6854" spans="3:3" x14ac:dyDescent="0.25">
      <c r="C6854" s="42"/>
    </row>
    <row r="6855" spans="3:3" x14ac:dyDescent="0.25">
      <c r="C6855" s="42"/>
    </row>
    <row r="6856" spans="3:3" x14ac:dyDescent="0.25">
      <c r="C6856" s="42"/>
    </row>
    <row r="6857" spans="3:3" x14ac:dyDescent="0.25">
      <c r="C6857" s="42"/>
    </row>
    <row r="6858" spans="3:3" x14ac:dyDescent="0.25">
      <c r="C6858" s="42"/>
    </row>
    <row r="6859" spans="3:3" x14ac:dyDescent="0.25">
      <c r="C6859" s="42"/>
    </row>
    <row r="6860" spans="3:3" x14ac:dyDescent="0.25">
      <c r="C6860" s="42"/>
    </row>
    <row r="6861" spans="3:3" x14ac:dyDescent="0.25">
      <c r="C6861" s="42"/>
    </row>
    <row r="6862" spans="3:3" x14ac:dyDescent="0.25">
      <c r="C6862" s="42"/>
    </row>
    <row r="6863" spans="3:3" x14ac:dyDescent="0.25">
      <c r="C6863" s="42"/>
    </row>
    <row r="6864" spans="3:3" x14ac:dyDescent="0.25">
      <c r="C6864" s="42"/>
    </row>
    <row r="6865" spans="3:3" x14ac:dyDescent="0.25">
      <c r="C6865" s="42"/>
    </row>
    <row r="6866" spans="3:3" x14ac:dyDescent="0.25">
      <c r="C6866" s="42"/>
    </row>
    <row r="6867" spans="3:3" x14ac:dyDescent="0.25">
      <c r="C6867" s="42"/>
    </row>
    <row r="6868" spans="3:3" x14ac:dyDescent="0.25">
      <c r="C6868" s="42"/>
    </row>
    <row r="6869" spans="3:3" x14ac:dyDescent="0.25">
      <c r="C6869" s="42"/>
    </row>
    <row r="6870" spans="3:3" x14ac:dyDescent="0.25">
      <c r="C6870" s="42"/>
    </row>
    <row r="6871" spans="3:3" x14ac:dyDescent="0.25">
      <c r="C6871" s="42"/>
    </row>
    <row r="6872" spans="3:3" x14ac:dyDescent="0.25">
      <c r="C6872" s="42"/>
    </row>
    <row r="6873" spans="3:3" x14ac:dyDescent="0.25">
      <c r="C6873" s="42"/>
    </row>
    <row r="6874" spans="3:3" x14ac:dyDescent="0.25">
      <c r="C6874" s="42"/>
    </row>
    <row r="6875" spans="3:3" x14ac:dyDescent="0.25">
      <c r="C6875" s="42"/>
    </row>
    <row r="6876" spans="3:3" x14ac:dyDescent="0.25">
      <c r="C6876" s="42"/>
    </row>
    <row r="6877" spans="3:3" x14ac:dyDescent="0.25">
      <c r="C6877" s="42"/>
    </row>
    <row r="6878" spans="3:3" x14ac:dyDescent="0.25">
      <c r="C6878" s="42"/>
    </row>
    <row r="6879" spans="3:3" x14ac:dyDescent="0.25">
      <c r="C6879" s="42"/>
    </row>
    <row r="6880" spans="3:3" x14ac:dyDescent="0.25">
      <c r="C6880" s="42"/>
    </row>
    <row r="6881" spans="3:3" x14ac:dyDescent="0.25">
      <c r="C6881" s="42"/>
    </row>
    <row r="6882" spans="3:3" x14ac:dyDescent="0.25">
      <c r="C6882" s="42"/>
    </row>
    <row r="6883" spans="3:3" x14ac:dyDescent="0.25">
      <c r="C6883" s="42"/>
    </row>
    <row r="6884" spans="3:3" x14ac:dyDescent="0.25">
      <c r="C6884" s="42"/>
    </row>
    <row r="6885" spans="3:3" x14ac:dyDescent="0.25">
      <c r="C6885" s="42"/>
    </row>
    <row r="6886" spans="3:3" x14ac:dyDescent="0.25">
      <c r="C6886" s="42"/>
    </row>
    <row r="6887" spans="3:3" x14ac:dyDescent="0.25">
      <c r="C6887" s="42"/>
    </row>
    <row r="6888" spans="3:3" x14ac:dyDescent="0.25">
      <c r="C6888" s="42"/>
    </row>
    <row r="6889" spans="3:3" x14ac:dyDescent="0.25">
      <c r="C6889" s="42"/>
    </row>
    <row r="6890" spans="3:3" x14ac:dyDescent="0.25">
      <c r="C6890" s="42"/>
    </row>
    <row r="6891" spans="3:3" x14ac:dyDescent="0.25">
      <c r="C6891" s="42"/>
    </row>
    <row r="6892" spans="3:3" x14ac:dyDescent="0.25">
      <c r="C6892" s="42"/>
    </row>
    <row r="6893" spans="3:3" x14ac:dyDescent="0.25">
      <c r="C6893" s="42"/>
    </row>
    <row r="6894" spans="3:3" x14ac:dyDescent="0.25">
      <c r="C6894" s="42"/>
    </row>
    <row r="6895" spans="3:3" x14ac:dyDescent="0.25">
      <c r="C6895" s="42"/>
    </row>
    <row r="6896" spans="3:3" x14ac:dyDescent="0.25">
      <c r="C6896" s="42"/>
    </row>
    <row r="6897" spans="3:3" x14ac:dyDescent="0.25">
      <c r="C6897" s="42"/>
    </row>
    <row r="6898" spans="3:3" x14ac:dyDescent="0.25">
      <c r="C6898" s="42"/>
    </row>
    <row r="6899" spans="3:3" x14ac:dyDescent="0.25">
      <c r="C6899" s="42"/>
    </row>
    <row r="6900" spans="3:3" x14ac:dyDescent="0.25">
      <c r="C6900" s="42"/>
    </row>
    <row r="6901" spans="3:3" x14ac:dyDescent="0.25">
      <c r="C6901" s="42"/>
    </row>
    <row r="6902" spans="3:3" x14ac:dyDescent="0.25">
      <c r="C6902" s="42"/>
    </row>
    <row r="6903" spans="3:3" x14ac:dyDescent="0.25">
      <c r="C6903" s="42"/>
    </row>
    <row r="6904" spans="3:3" x14ac:dyDescent="0.25">
      <c r="C6904" s="42"/>
    </row>
    <row r="6905" spans="3:3" x14ac:dyDescent="0.25">
      <c r="C6905" s="42"/>
    </row>
    <row r="6906" spans="3:3" x14ac:dyDescent="0.25">
      <c r="C6906" s="42"/>
    </row>
    <row r="6907" spans="3:3" x14ac:dyDescent="0.25">
      <c r="C6907" s="42"/>
    </row>
    <row r="6908" spans="3:3" x14ac:dyDescent="0.25">
      <c r="C6908" s="42"/>
    </row>
    <row r="6909" spans="3:3" x14ac:dyDescent="0.25">
      <c r="C6909" s="42"/>
    </row>
    <row r="6910" spans="3:3" x14ac:dyDescent="0.25">
      <c r="C6910" s="42"/>
    </row>
    <row r="6911" spans="3:3" x14ac:dyDescent="0.25">
      <c r="C6911" s="42"/>
    </row>
    <row r="6912" spans="3:3" x14ac:dyDescent="0.25">
      <c r="C6912" s="42"/>
    </row>
    <row r="6913" spans="3:3" x14ac:dyDescent="0.25">
      <c r="C6913" s="42"/>
    </row>
    <row r="6914" spans="3:3" x14ac:dyDescent="0.25">
      <c r="C6914" s="42"/>
    </row>
    <row r="6915" spans="3:3" x14ac:dyDescent="0.25">
      <c r="C6915" s="42"/>
    </row>
    <row r="6916" spans="3:3" x14ac:dyDescent="0.25">
      <c r="C6916" s="42"/>
    </row>
    <row r="6917" spans="3:3" x14ac:dyDescent="0.25">
      <c r="C6917" s="42"/>
    </row>
    <row r="6918" spans="3:3" x14ac:dyDescent="0.25">
      <c r="C6918" s="42"/>
    </row>
    <row r="6919" spans="3:3" x14ac:dyDescent="0.25">
      <c r="C6919" s="42"/>
    </row>
    <row r="6920" spans="3:3" x14ac:dyDescent="0.25">
      <c r="C6920" s="42"/>
    </row>
    <row r="6921" spans="3:3" x14ac:dyDescent="0.25">
      <c r="C6921" s="42"/>
    </row>
    <row r="6922" spans="3:3" x14ac:dyDescent="0.25">
      <c r="C6922" s="42"/>
    </row>
    <row r="6923" spans="3:3" x14ac:dyDescent="0.25">
      <c r="C6923" s="42"/>
    </row>
    <row r="6924" spans="3:3" x14ac:dyDescent="0.25">
      <c r="C6924" s="42"/>
    </row>
    <row r="6925" spans="3:3" x14ac:dyDescent="0.25">
      <c r="C6925" s="42"/>
    </row>
    <row r="6926" spans="3:3" x14ac:dyDescent="0.25">
      <c r="C6926" s="42"/>
    </row>
    <row r="6927" spans="3:3" x14ac:dyDescent="0.25">
      <c r="C6927" s="42"/>
    </row>
    <row r="6928" spans="3:3" x14ac:dyDescent="0.25">
      <c r="C6928" s="42"/>
    </row>
    <row r="6929" spans="3:3" x14ac:dyDescent="0.25">
      <c r="C6929" s="42"/>
    </row>
    <row r="6930" spans="3:3" x14ac:dyDescent="0.25">
      <c r="C6930" s="42"/>
    </row>
    <row r="6931" spans="3:3" x14ac:dyDescent="0.25">
      <c r="C6931" s="42"/>
    </row>
    <row r="6932" spans="3:3" x14ac:dyDescent="0.25">
      <c r="C6932" s="42"/>
    </row>
    <row r="6933" spans="3:3" x14ac:dyDescent="0.25">
      <c r="C6933" s="42"/>
    </row>
    <row r="6934" spans="3:3" x14ac:dyDescent="0.25">
      <c r="C6934" s="42"/>
    </row>
    <row r="6935" spans="3:3" x14ac:dyDescent="0.25">
      <c r="C6935" s="42"/>
    </row>
    <row r="6936" spans="3:3" x14ac:dyDescent="0.25">
      <c r="C6936" s="42"/>
    </row>
    <row r="6937" spans="3:3" x14ac:dyDescent="0.25">
      <c r="C6937" s="42"/>
    </row>
    <row r="6938" spans="3:3" x14ac:dyDescent="0.25">
      <c r="C6938" s="42"/>
    </row>
    <row r="6939" spans="3:3" x14ac:dyDescent="0.25">
      <c r="C6939" s="42"/>
    </row>
    <row r="6940" spans="3:3" x14ac:dyDescent="0.25">
      <c r="C6940" s="42"/>
    </row>
    <row r="6941" spans="3:3" x14ac:dyDescent="0.25">
      <c r="C6941" s="42"/>
    </row>
    <row r="6942" spans="3:3" x14ac:dyDescent="0.25">
      <c r="C6942" s="42"/>
    </row>
    <row r="6943" spans="3:3" x14ac:dyDescent="0.25">
      <c r="C6943" s="42"/>
    </row>
    <row r="6944" spans="3:3" x14ac:dyDescent="0.25">
      <c r="C6944" s="42"/>
    </row>
    <row r="6945" spans="3:3" x14ac:dyDescent="0.25">
      <c r="C6945" s="42"/>
    </row>
    <row r="6946" spans="3:3" x14ac:dyDescent="0.25">
      <c r="C6946" s="42"/>
    </row>
    <row r="6947" spans="3:3" x14ac:dyDescent="0.25">
      <c r="C6947" s="42"/>
    </row>
    <row r="6948" spans="3:3" x14ac:dyDescent="0.25">
      <c r="C6948" s="42"/>
    </row>
    <row r="6949" spans="3:3" x14ac:dyDescent="0.25">
      <c r="C6949" s="42"/>
    </row>
    <row r="6950" spans="3:3" x14ac:dyDescent="0.25">
      <c r="C6950" s="42"/>
    </row>
    <row r="6951" spans="3:3" x14ac:dyDescent="0.25">
      <c r="C6951" s="42"/>
    </row>
    <row r="6952" spans="3:3" x14ac:dyDescent="0.25">
      <c r="C6952" s="42"/>
    </row>
    <row r="6953" spans="3:3" x14ac:dyDescent="0.25">
      <c r="C6953" s="42"/>
    </row>
    <row r="6954" spans="3:3" x14ac:dyDescent="0.25">
      <c r="C6954" s="42"/>
    </row>
    <row r="6955" spans="3:3" x14ac:dyDescent="0.25">
      <c r="C6955" s="42"/>
    </row>
    <row r="6956" spans="3:3" x14ac:dyDescent="0.25">
      <c r="C6956" s="42"/>
    </row>
    <row r="6957" spans="3:3" x14ac:dyDescent="0.25">
      <c r="C6957" s="42"/>
    </row>
    <row r="6958" spans="3:3" x14ac:dyDescent="0.25">
      <c r="C6958" s="42"/>
    </row>
    <row r="6959" spans="3:3" x14ac:dyDescent="0.25">
      <c r="C6959" s="42"/>
    </row>
    <row r="6960" spans="3:3" x14ac:dyDescent="0.25">
      <c r="C6960" s="42"/>
    </row>
    <row r="6961" spans="3:3" x14ac:dyDescent="0.25">
      <c r="C6961" s="42"/>
    </row>
    <row r="6962" spans="3:3" x14ac:dyDescent="0.25">
      <c r="C6962" s="42"/>
    </row>
    <row r="6963" spans="3:3" x14ac:dyDescent="0.25">
      <c r="C6963" s="42"/>
    </row>
    <row r="6964" spans="3:3" x14ac:dyDescent="0.25">
      <c r="C6964" s="42"/>
    </row>
    <row r="6965" spans="3:3" x14ac:dyDescent="0.25">
      <c r="C6965" s="42"/>
    </row>
    <row r="6966" spans="3:3" x14ac:dyDescent="0.25">
      <c r="C6966" s="42"/>
    </row>
    <row r="6967" spans="3:3" x14ac:dyDescent="0.25">
      <c r="C6967" s="42"/>
    </row>
    <row r="6968" spans="3:3" x14ac:dyDescent="0.25">
      <c r="C6968" s="42"/>
    </row>
    <row r="6969" spans="3:3" x14ac:dyDescent="0.25">
      <c r="C6969" s="42"/>
    </row>
    <row r="6970" spans="3:3" x14ac:dyDescent="0.25">
      <c r="C6970" s="42"/>
    </row>
    <row r="6971" spans="3:3" x14ac:dyDescent="0.25">
      <c r="C6971" s="42"/>
    </row>
    <row r="6972" spans="3:3" x14ac:dyDescent="0.25">
      <c r="C6972" s="42"/>
    </row>
    <row r="6973" spans="3:3" x14ac:dyDescent="0.25">
      <c r="C6973" s="42"/>
    </row>
    <row r="6974" spans="3:3" x14ac:dyDescent="0.25">
      <c r="C6974" s="42"/>
    </row>
    <row r="6975" spans="3:3" x14ac:dyDescent="0.25">
      <c r="C6975" s="42"/>
    </row>
    <row r="6976" spans="3:3" x14ac:dyDescent="0.25">
      <c r="C6976" s="42"/>
    </row>
    <row r="6977" spans="3:3" x14ac:dyDescent="0.25">
      <c r="C6977" s="42"/>
    </row>
    <row r="6978" spans="3:3" x14ac:dyDescent="0.25">
      <c r="C6978" s="42"/>
    </row>
    <row r="6979" spans="3:3" x14ac:dyDescent="0.25">
      <c r="C6979" s="42"/>
    </row>
    <row r="6980" spans="3:3" x14ac:dyDescent="0.25">
      <c r="C6980" s="42"/>
    </row>
    <row r="6981" spans="3:3" x14ac:dyDescent="0.25">
      <c r="C6981" s="42"/>
    </row>
    <row r="6982" spans="3:3" x14ac:dyDescent="0.25">
      <c r="C6982" s="42"/>
    </row>
    <row r="6983" spans="3:3" x14ac:dyDescent="0.25">
      <c r="C6983" s="42"/>
    </row>
    <row r="6984" spans="3:3" x14ac:dyDescent="0.25">
      <c r="C6984" s="42"/>
    </row>
    <row r="6985" spans="3:3" x14ac:dyDescent="0.25">
      <c r="C6985" s="42"/>
    </row>
    <row r="6986" spans="3:3" x14ac:dyDescent="0.25">
      <c r="C6986" s="42"/>
    </row>
    <row r="6987" spans="3:3" x14ac:dyDescent="0.25">
      <c r="C6987" s="42"/>
    </row>
    <row r="6988" spans="3:3" x14ac:dyDescent="0.25">
      <c r="C6988" s="42"/>
    </row>
    <row r="6989" spans="3:3" x14ac:dyDescent="0.25">
      <c r="C6989" s="42"/>
    </row>
    <row r="6990" spans="3:3" x14ac:dyDescent="0.25">
      <c r="C6990" s="42"/>
    </row>
    <row r="6991" spans="3:3" x14ac:dyDescent="0.25">
      <c r="C6991" s="42"/>
    </row>
    <row r="6992" spans="3:3" x14ac:dyDescent="0.25">
      <c r="C6992" s="42"/>
    </row>
    <row r="6993" spans="3:3" x14ac:dyDescent="0.25">
      <c r="C6993" s="42"/>
    </row>
    <row r="6994" spans="3:3" x14ac:dyDescent="0.25">
      <c r="C6994" s="42"/>
    </row>
    <row r="6995" spans="3:3" x14ac:dyDescent="0.25">
      <c r="C6995" s="42"/>
    </row>
    <row r="6996" spans="3:3" x14ac:dyDescent="0.25">
      <c r="C6996" s="42"/>
    </row>
    <row r="6997" spans="3:3" x14ac:dyDescent="0.25">
      <c r="C6997" s="42"/>
    </row>
    <row r="6998" spans="3:3" x14ac:dyDescent="0.25">
      <c r="C6998" s="42"/>
    </row>
    <row r="6999" spans="3:3" x14ac:dyDescent="0.25">
      <c r="C6999" s="42"/>
    </row>
    <row r="7000" spans="3:3" x14ac:dyDescent="0.25">
      <c r="C7000" s="42"/>
    </row>
    <row r="7001" spans="3:3" x14ac:dyDescent="0.25">
      <c r="C7001" s="42"/>
    </row>
    <row r="7002" spans="3:3" x14ac:dyDescent="0.25">
      <c r="C7002" s="42"/>
    </row>
    <row r="7003" spans="3:3" x14ac:dyDescent="0.25">
      <c r="C7003" s="42"/>
    </row>
    <row r="7004" spans="3:3" x14ac:dyDescent="0.25">
      <c r="C7004" s="42"/>
    </row>
    <row r="7005" spans="3:3" x14ac:dyDescent="0.25">
      <c r="C7005" s="42"/>
    </row>
    <row r="7006" spans="3:3" x14ac:dyDescent="0.25">
      <c r="C7006" s="42"/>
    </row>
    <row r="7007" spans="3:3" x14ac:dyDescent="0.25">
      <c r="C7007" s="42"/>
    </row>
    <row r="7008" spans="3:3" x14ac:dyDescent="0.25">
      <c r="C7008" s="42"/>
    </row>
    <row r="7009" spans="3:3" x14ac:dyDescent="0.25">
      <c r="C7009" s="42"/>
    </row>
    <row r="7010" spans="3:3" x14ac:dyDescent="0.25">
      <c r="C7010" s="42"/>
    </row>
    <row r="7011" spans="3:3" x14ac:dyDescent="0.25">
      <c r="C7011" s="42"/>
    </row>
    <row r="7012" spans="3:3" x14ac:dyDescent="0.25">
      <c r="C7012" s="42"/>
    </row>
    <row r="7013" spans="3:3" x14ac:dyDescent="0.25">
      <c r="C7013" s="42"/>
    </row>
    <row r="7014" spans="3:3" x14ac:dyDescent="0.25">
      <c r="C7014" s="42"/>
    </row>
    <row r="7015" spans="3:3" x14ac:dyDescent="0.25">
      <c r="C7015" s="42"/>
    </row>
    <row r="7016" spans="3:3" x14ac:dyDescent="0.25">
      <c r="C7016" s="42"/>
    </row>
    <row r="7017" spans="3:3" x14ac:dyDescent="0.25">
      <c r="C7017" s="42"/>
    </row>
    <row r="7018" spans="3:3" x14ac:dyDescent="0.25">
      <c r="C7018" s="42"/>
    </row>
    <row r="7019" spans="3:3" x14ac:dyDescent="0.25">
      <c r="C7019" s="42"/>
    </row>
    <row r="7020" spans="3:3" x14ac:dyDescent="0.25">
      <c r="C7020" s="42"/>
    </row>
    <row r="7021" spans="3:3" x14ac:dyDescent="0.25">
      <c r="C7021" s="42"/>
    </row>
    <row r="7022" spans="3:3" x14ac:dyDescent="0.25">
      <c r="C7022" s="42"/>
    </row>
    <row r="7023" spans="3:3" x14ac:dyDescent="0.25">
      <c r="C7023" s="42"/>
    </row>
    <row r="7024" spans="3:3" x14ac:dyDescent="0.25">
      <c r="C7024" s="42"/>
    </row>
    <row r="7025" spans="3:3" x14ac:dyDescent="0.25">
      <c r="C7025" s="42"/>
    </row>
    <row r="7026" spans="3:3" x14ac:dyDescent="0.25">
      <c r="C7026" s="42"/>
    </row>
    <row r="7027" spans="3:3" x14ac:dyDescent="0.25">
      <c r="C7027" s="42"/>
    </row>
    <row r="7028" spans="3:3" x14ac:dyDescent="0.25">
      <c r="C7028" s="42"/>
    </row>
    <row r="7029" spans="3:3" x14ac:dyDescent="0.25">
      <c r="C7029" s="42"/>
    </row>
    <row r="7030" spans="3:3" x14ac:dyDescent="0.25">
      <c r="C7030" s="42"/>
    </row>
    <row r="7031" spans="3:3" x14ac:dyDescent="0.25">
      <c r="C7031" s="42"/>
    </row>
    <row r="7032" spans="3:3" x14ac:dyDescent="0.25">
      <c r="C7032" s="42"/>
    </row>
    <row r="7033" spans="3:3" x14ac:dyDescent="0.25">
      <c r="C7033" s="42"/>
    </row>
    <row r="7034" spans="3:3" x14ac:dyDescent="0.25">
      <c r="C7034" s="42"/>
    </row>
    <row r="7035" spans="3:3" x14ac:dyDescent="0.25">
      <c r="C7035" s="42"/>
    </row>
    <row r="7036" spans="3:3" x14ac:dyDescent="0.25">
      <c r="C7036" s="42"/>
    </row>
    <row r="7037" spans="3:3" x14ac:dyDescent="0.25">
      <c r="C7037" s="42"/>
    </row>
    <row r="7038" spans="3:3" x14ac:dyDescent="0.25">
      <c r="C7038" s="42"/>
    </row>
    <row r="7039" spans="3:3" x14ac:dyDescent="0.25">
      <c r="C7039" s="42"/>
    </row>
    <row r="7040" spans="3:3" x14ac:dyDescent="0.25">
      <c r="C7040" s="42"/>
    </row>
    <row r="7041" spans="3:3" x14ac:dyDescent="0.25">
      <c r="C7041" s="42"/>
    </row>
    <row r="7042" spans="3:3" x14ac:dyDescent="0.25">
      <c r="C7042" s="42"/>
    </row>
    <row r="7043" spans="3:3" x14ac:dyDescent="0.25">
      <c r="C7043" s="42"/>
    </row>
    <row r="7044" spans="3:3" x14ac:dyDescent="0.25">
      <c r="C7044" s="42"/>
    </row>
    <row r="7045" spans="3:3" x14ac:dyDescent="0.25">
      <c r="C7045" s="42"/>
    </row>
    <row r="7046" spans="3:3" x14ac:dyDescent="0.25">
      <c r="C7046" s="42"/>
    </row>
    <row r="7047" spans="3:3" x14ac:dyDescent="0.25">
      <c r="C7047" s="42"/>
    </row>
    <row r="7048" spans="3:3" x14ac:dyDescent="0.25">
      <c r="C7048" s="42"/>
    </row>
    <row r="7049" spans="3:3" x14ac:dyDescent="0.25">
      <c r="C7049" s="42"/>
    </row>
    <row r="7050" spans="3:3" x14ac:dyDescent="0.25">
      <c r="C7050" s="42"/>
    </row>
    <row r="7051" spans="3:3" x14ac:dyDescent="0.25">
      <c r="C7051" s="42"/>
    </row>
    <row r="7052" spans="3:3" x14ac:dyDescent="0.25">
      <c r="C7052" s="42"/>
    </row>
    <row r="7053" spans="3:3" x14ac:dyDescent="0.25">
      <c r="C7053" s="42"/>
    </row>
    <row r="7054" spans="3:3" x14ac:dyDescent="0.25">
      <c r="C7054" s="42"/>
    </row>
    <row r="7055" spans="3:3" x14ac:dyDescent="0.25">
      <c r="C7055" s="42"/>
    </row>
    <row r="7056" spans="3:3" x14ac:dyDescent="0.25">
      <c r="C7056" s="42"/>
    </row>
    <row r="7057" spans="3:3" x14ac:dyDescent="0.25">
      <c r="C7057" s="42"/>
    </row>
    <row r="7058" spans="3:3" x14ac:dyDescent="0.25">
      <c r="C7058" s="42"/>
    </row>
    <row r="7059" spans="3:3" x14ac:dyDescent="0.25">
      <c r="C7059" s="42"/>
    </row>
    <row r="7060" spans="3:3" x14ac:dyDescent="0.25">
      <c r="C7060" s="42"/>
    </row>
    <row r="7061" spans="3:3" x14ac:dyDescent="0.25">
      <c r="C7061" s="42"/>
    </row>
    <row r="7062" spans="3:3" x14ac:dyDescent="0.25">
      <c r="C7062" s="42"/>
    </row>
    <row r="7063" spans="3:3" x14ac:dyDescent="0.25">
      <c r="C7063" s="42"/>
    </row>
    <row r="7064" spans="3:3" x14ac:dyDescent="0.25">
      <c r="C7064" s="42"/>
    </row>
    <row r="7065" spans="3:3" x14ac:dyDescent="0.25">
      <c r="C7065" s="42"/>
    </row>
    <row r="7066" spans="3:3" x14ac:dyDescent="0.25">
      <c r="C7066" s="42"/>
    </row>
    <row r="7067" spans="3:3" x14ac:dyDescent="0.25">
      <c r="C7067" s="42"/>
    </row>
    <row r="7068" spans="3:3" x14ac:dyDescent="0.25">
      <c r="C7068" s="42"/>
    </row>
    <row r="7069" spans="3:3" x14ac:dyDescent="0.25">
      <c r="C7069" s="42"/>
    </row>
    <row r="7070" spans="3:3" x14ac:dyDescent="0.25">
      <c r="C7070" s="42"/>
    </row>
    <row r="7071" spans="3:3" x14ac:dyDescent="0.25">
      <c r="C7071" s="42"/>
    </row>
    <row r="7072" spans="3:3" x14ac:dyDescent="0.25">
      <c r="C7072" s="42"/>
    </row>
    <row r="7073" spans="3:3" x14ac:dyDescent="0.25">
      <c r="C7073" s="42"/>
    </row>
    <row r="7074" spans="3:3" x14ac:dyDescent="0.25">
      <c r="C7074" s="42"/>
    </row>
    <row r="7075" spans="3:3" x14ac:dyDescent="0.25">
      <c r="C7075" s="42"/>
    </row>
    <row r="7076" spans="3:3" x14ac:dyDescent="0.25">
      <c r="C7076" s="42"/>
    </row>
    <row r="7077" spans="3:3" x14ac:dyDescent="0.25">
      <c r="C7077" s="42"/>
    </row>
    <row r="7078" spans="3:3" x14ac:dyDescent="0.25">
      <c r="C7078" s="42"/>
    </row>
    <row r="7079" spans="3:3" x14ac:dyDescent="0.25">
      <c r="C7079" s="42"/>
    </row>
    <row r="7080" spans="3:3" x14ac:dyDescent="0.25">
      <c r="C7080" s="42"/>
    </row>
    <row r="7081" spans="3:3" x14ac:dyDescent="0.25">
      <c r="C7081" s="42"/>
    </row>
    <row r="7082" spans="3:3" x14ac:dyDescent="0.25">
      <c r="C7082" s="42"/>
    </row>
    <row r="7083" spans="3:3" x14ac:dyDescent="0.25">
      <c r="C7083" s="42"/>
    </row>
    <row r="7084" spans="3:3" x14ac:dyDescent="0.25">
      <c r="C7084" s="42"/>
    </row>
    <row r="7085" spans="3:3" x14ac:dyDescent="0.25">
      <c r="C7085" s="42"/>
    </row>
    <row r="7086" spans="3:3" x14ac:dyDescent="0.25">
      <c r="C7086" s="42"/>
    </row>
    <row r="7087" spans="3:3" x14ac:dyDescent="0.25">
      <c r="C7087" s="42"/>
    </row>
    <row r="7088" spans="3:3" x14ac:dyDescent="0.25">
      <c r="C7088" s="42"/>
    </row>
    <row r="7089" spans="3:3" x14ac:dyDescent="0.25">
      <c r="C7089" s="42"/>
    </row>
    <row r="7090" spans="3:3" x14ac:dyDescent="0.25">
      <c r="C7090" s="42"/>
    </row>
    <row r="7091" spans="3:3" x14ac:dyDescent="0.25">
      <c r="C7091" s="42"/>
    </row>
    <row r="7092" spans="3:3" x14ac:dyDescent="0.25">
      <c r="C7092" s="42"/>
    </row>
    <row r="7093" spans="3:3" x14ac:dyDescent="0.25">
      <c r="C7093" s="42"/>
    </row>
    <row r="7094" spans="3:3" x14ac:dyDescent="0.25">
      <c r="C7094" s="42"/>
    </row>
    <row r="7095" spans="3:3" x14ac:dyDescent="0.25">
      <c r="C7095" s="42"/>
    </row>
    <row r="7096" spans="3:3" x14ac:dyDescent="0.25">
      <c r="C7096" s="42"/>
    </row>
    <row r="7097" spans="3:3" x14ac:dyDescent="0.25">
      <c r="C7097" s="42"/>
    </row>
    <row r="7098" spans="3:3" x14ac:dyDescent="0.25">
      <c r="C7098" s="42"/>
    </row>
    <row r="7099" spans="3:3" x14ac:dyDescent="0.25">
      <c r="C7099" s="42"/>
    </row>
    <row r="7100" spans="3:3" x14ac:dyDescent="0.25">
      <c r="C7100" s="42"/>
    </row>
    <row r="7101" spans="3:3" x14ac:dyDescent="0.25">
      <c r="C7101" s="42"/>
    </row>
    <row r="7102" spans="3:3" x14ac:dyDescent="0.25">
      <c r="C7102" s="42"/>
    </row>
    <row r="7103" spans="3:3" x14ac:dyDescent="0.25">
      <c r="C7103" s="42"/>
    </row>
    <row r="7104" spans="3:3" x14ac:dyDescent="0.25">
      <c r="C7104" s="42"/>
    </row>
    <row r="7105" spans="3:3" x14ac:dyDescent="0.25">
      <c r="C7105" s="42"/>
    </row>
    <row r="7106" spans="3:3" x14ac:dyDescent="0.25">
      <c r="C7106" s="42"/>
    </row>
    <row r="7107" spans="3:3" x14ac:dyDescent="0.25">
      <c r="C7107" s="42"/>
    </row>
    <row r="7108" spans="3:3" x14ac:dyDescent="0.25">
      <c r="C7108" s="42"/>
    </row>
    <row r="7109" spans="3:3" x14ac:dyDescent="0.25">
      <c r="C7109" s="42"/>
    </row>
    <row r="7110" spans="3:3" x14ac:dyDescent="0.25">
      <c r="C7110" s="42"/>
    </row>
    <row r="7111" spans="3:3" x14ac:dyDescent="0.25">
      <c r="C7111" s="42"/>
    </row>
    <row r="7112" spans="3:3" x14ac:dyDescent="0.25">
      <c r="C7112" s="42"/>
    </row>
    <row r="7113" spans="3:3" x14ac:dyDescent="0.25">
      <c r="C7113" s="42"/>
    </row>
    <row r="7114" spans="3:3" x14ac:dyDescent="0.25">
      <c r="C7114" s="42"/>
    </row>
    <row r="7115" spans="3:3" x14ac:dyDescent="0.25">
      <c r="C7115" s="42"/>
    </row>
    <row r="7116" spans="3:3" x14ac:dyDescent="0.25">
      <c r="C7116" s="42"/>
    </row>
    <row r="7117" spans="3:3" x14ac:dyDescent="0.25">
      <c r="C7117" s="42"/>
    </row>
    <row r="7118" spans="3:3" x14ac:dyDescent="0.25">
      <c r="C7118" s="42"/>
    </row>
    <row r="7119" spans="3:3" x14ac:dyDescent="0.25">
      <c r="C7119" s="42"/>
    </row>
    <row r="7120" spans="3:3" x14ac:dyDescent="0.25">
      <c r="C7120" s="42"/>
    </row>
    <row r="7121" spans="3:3" x14ac:dyDescent="0.25">
      <c r="C7121" s="42"/>
    </row>
    <row r="7122" spans="3:3" x14ac:dyDescent="0.25">
      <c r="C7122" s="42"/>
    </row>
    <row r="7123" spans="3:3" x14ac:dyDescent="0.25">
      <c r="C7123" s="42"/>
    </row>
    <row r="7124" spans="3:3" x14ac:dyDescent="0.25">
      <c r="C7124" s="42"/>
    </row>
    <row r="7125" spans="3:3" x14ac:dyDescent="0.25">
      <c r="C7125" s="42"/>
    </row>
    <row r="7126" spans="3:3" x14ac:dyDescent="0.25">
      <c r="C7126" s="42"/>
    </row>
    <row r="7127" spans="3:3" x14ac:dyDescent="0.25">
      <c r="C7127" s="42"/>
    </row>
    <row r="7128" spans="3:3" x14ac:dyDescent="0.25">
      <c r="C7128" s="42"/>
    </row>
    <row r="7129" spans="3:3" x14ac:dyDescent="0.25">
      <c r="C7129" s="42"/>
    </row>
    <row r="7130" spans="3:3" x14ac:dyDescent="0.25">
      <c r="C7130" s="42"/>
    </row>
    <row r="7131" spans="3:3" x14ac:dyDescent="0.25">
      <c r="C7131" s="42"/>
    </row>
    <row r="7132" spans="3:3" x14ac:dyDescent="0.25">
      <c r="C7132" s="42"/>
    </row>
    <row r="7133" spans="3:3" x14ac:dyDescent="0.25">
      <c r="C7133" s="42"/>
    </row>
    <row r="7134" spans="3:3" x14ac:dyDescent="0.25">
      <c r="C7134" s="42"/>
    </row>
    <row r="7135" spans="3:3" x14ac:dyDescent="0.25">
      <c r="C7135" s="42"/>
    </row>
    <row r="7136" spans="3:3" x14ac:dyDescent="0.25">
      <c r="C7136" s="42"/>
    </row>
    <row r="7137" spans="3:3" x14ac:dyDescent="0.25">
      <c r="C7137" s="42"/>
    </row>
    <row r="7138" spans="3:3" x14ac:dyDescent="0.25">
      <c r="C7138" s="42"/>
    </row>
    <row r="7139" spans="3:3" x14ac:dyDescent="0.25">
      <c r="C7139" s="42"/>
    </row>
    <row r="7140" spans="3:3" x14ac:dyDescent="0.25">
      <c r="C7140" s="42"/>
    </row>
    <row r="7141" spans="3:3" x14ac:dyDescent="0.25">
      <c r="C7141" s="42"/>
    </row>
    <row r="7142" spans="3:3" x14ac:dyDescent="0.25">
      <c r="C7142" s="42"/>
    </row>
    <row r="7143" spans="3:3" x14ac:dyDescent="0.25">
      <c r="C7143" s="42"/>
    </row>
    <row r="7144" spans="3:3" x14ac:dyDescent="0.25">
      <c r="C7144" s="42"/>
    </row>
    <row r="7145" spans="3:3" x14ac:dyDescent="0.25">
      <c r="C7145" s="42"/>
    </row>
    <row r="7146" spans="3:3" x14ac:dyDescent="0.25">
      <c r="C7146" s="42"/>
    </row>
    <row r="7147" spans="3:3" x14ac:dyDescent="0.25">
      <c r="C7147" s="42"/>
    </row>
    <row r="7148" spans="3:3" x14ac:dyDescent="0.25">
      <c r="C7148" s="42"/>
    </row>
    <row r="7149" spans="3:3" x14ac:dyDescent="0.25">
      <c r="C7149" s="42"/>
    </row>
    <row r="7150" spans="3:3" x14ac:dyDescent="0.25">
      <c r="C7150" s="42"/>
    </row>
    <row r="7151" spans="3:3" x14ac:dyDescent="0.25">
      <c r="C7151" s="42"/>
    </row>
    <row r="7152" spans="3:3" x14ac:dyDescent="0.25">
      <c r="C7152" s="42"/>
    </row>
    <row r="7153" spans="3:3" x14ac:dyDescent="0.25">
      <c r="C7153" s="42"/>
    </row>
    <row r="7154" spans="3:3" x14ac:dyDescent="0.25">
      <c r="C7154" s="42"/>
    </row>
    <row r="7155" spans="3:3" x14ac:dyDescent="0.25">
      <c r="C7155" s="42"/>
    </row>
    <row r="7156" spans="3:3" x14ac:dyDescent="0.25">
      <c r="C7156" s="42"/>
    </row>
    <row r="7157" spans="3:3" x14ac:dyDescent="0.25">
      <c r="C7157" s="42"/>
    </row>
    <row r="7158" spans="3:3" x14ac:dyDescent="0.25">
      <c r="C7158" s="42"/>
    </row>
    <row r="7159" spans="3:3" x14ac:dyDescent="0.25">
      <c r="C7159" s="42"/>
    </row>
    <row r="7160" spans="3:3" x14ac:dyDescent="0.25">
      <c r="C7160" s="42"/>
    </row>
    <row r="7161" spans="3:3" x14ac:dyDescent="0.25">
      <c r="C7161" s="42"/>
    </row>
    <row r="7162" spans="3:3" x14ac:dyDescent="0.25">
      <c r="C7162" s="42"/>
    </row>
    <row r="7163" spans="3:3" x14ac:dyDescent="0.25">
      <c r="C7163" s="42"/>
    </row>
    <row r="7164" spans="3:3" x14ac:dyDescent="0.25">
      <c r="C7164" s="42"/>
    </row>
    <row r="7165" spans="3:3" x14ac:dyDescent="0.25">
      <c r="C7165" s="42"/>
    </row>
    <row r="7166" spans="3:3" x14ac:dyDescent="0.25">
      <c r="C7166" s="42"/>
    </row>
    <row r="7167" spans="3:3" x14ac:dyDescent="0.25">
      <c r="C7167" s="42"/>
    </row>
    <row r="7168" spans="3:3" x14ac:dyDescent="0.25">
      <c r="C7168" s="42"/>
    </row>
    <row r="7169" spans="3:3" x14ac:dyDescent="0.25">
      <c r="C7169" s="42"/>
    </row>
    <row r="7170" spans="3:3" x14ac:dyDescent="0.25">
      <c r="C7170" s="42"/>
    </row>
    <row r="7171" spans="3:3" x14ac:dyDescent="0.25">
      <c r="C7171" s="42"/>
    </row>
    <row r="7172" spans="3:3" x14ac:dyDescent="0.25">
      <c r="C7172" s="42"/>
    </row>
    <row r="7173" spans="3:3" x14ac:dyDescent="0.25">
      <c r="C7173" s="42"/>
    </row>
    <row r="7174" spans="3:3" x14ac:dyDescent="0.25">
      <c r="C7174" s="42"/>
    </row>
    <row r="7175" spans="3:3" x14ac:dyDescent="0.25">
      <c r="C7175" s="42"/>
    </row>
    <row r="7176" spans="3:3" x14ac:dyDescent="0.25">
      <c r="C7176" s="42"/>
    </row>
    <row r="7177" spans="3:3" x14ac:dyDescent="0.25">
      <c r="C7177" s="42"/>
    </row>
    <row r="7178" spans="3:3" x14ac:dyDescent="0.25">
      <c r="C7178" s="42"/>
    </row>
    <row r="7179" spans="3:3" x14ac:dyDescent="0.25">
      <c r="C7179" s="42"/>
    </row>
    <row r="7180" spans="3:3" x14ac:dyDescent="0.25">
      <c r="C7180" s="42"/>
    </row>
    <row r="7181" spans="3:3" x14ac:dyDescent="0.25">
      <c r="C7181" s="42"/>
    </row>
    <row r="7182" spans="3:3" x14ac:dyDescent="0.25">
      <c r="C7182" s="42"/>
    </row>
    <row r="7183" spans="3:3" x14ac:dyDescent="0.25">
      <c r="C7183" s="42"/>
    </row>
    <row r="7184" spans="3:3" x14ac:dyDescent="0.25">
      <c r="C7184" s="42"/>
    </row>
    <row r="7185" spans="3:3" x14ac:dyDescent="0.25">
      <c r="C7185" s="42"/>
    </row>
    <row r="7186" spans="3:3" x14ac:dyDescent="0.25">
      <c r="C7186" s="42"/>
    </row>
    <row r="7187" spans="3:3" x14ac:dyDescent="0.25">
      <c r="C7187" s="42"/>
    </row>
    <row r="7188" spans="3:3" x14ac:dyDescent="0.25">
      <c r="C7188" s="42"/>
    </row>
    <row r="7189" spans="3:3" x14ac:dyDescent="0.25">
      <c r="C7189" s="42"/>
    </row>
    <row r="7190" spans="3:3" x14ac:dyDescent="0.25">
      <c r="C7190" s="42"/>
    </row>
    <row r="7191" spans="3:3" x14ac:dyDescent="0.25">
      <c r="C7191" s="42"/>
    </row>
    <row r="7192" spans="3:3" x14ac:dyDescent="0.25">
      <c r="C7192" s="42"/>
    </row>
    <row r="7193" spans="3:3" x14ac:dyDescent="0.25">
      <c r="C7193" s="42"/>
    </row>
    <row r="7194" spans="3:3" x14ac:dyDescent="0.25">
      <c r="C7194" s="42"/>
    </row>
    <row r="7195" spans="3:3" x14ac:dyDescent="0.25">
      <c r="C7195" s="42"/>
    </row>
    <row r="7196" spans="3:3" x14ac:dyDescent="0.25">
      <c r="C7196" s="42"/>
    </row>
    <row r="7197" spans="3:3" x14ac:dyDescent="0.25">
      <c r="C7197" s="42"/>
    </row>
    <row r="7198" spans="3:3" x14ac:dyDescent="0.25">
      <c r="C7198" s="42"/>
    </row>
    <row r="7199" spans="3:3" x14ac:dyDescent="0.25">
      <c r="C7199" s="42"/>
    </row>
    <row r="7200" spans="3:3" x14ac:dyDescent="0.25">
      <c r="C7200" s="42"/>
    </row>
    <row r="7201" spans="3:3" x14ac:dyDescent="0.25">
      <c r="C7201" s="42"/>
    </row>
    <row r="7202" spans="3:3" x14ac:dyDescent="0.25">
      <c r="C7202" s="42"/>
    </row>
    <row r="7203" spans="3:3" x14ac:dyDescent="0.25">
      <c r="C7203" s="42"/>
    </row>
    <row r="7204" spans="3:3" x14ac:dyDescent="0.25">
      <c r="C7204" s="42"/>
    </row>
    <row r="7205" spans="3:3" x14ac:dyDescent="0.25">
      <c r="C7205" s="42"/>
    </row>
    <row r="7206" spans="3:3" x14ac:dyDescent="0.25">
      <c r="C7206" s="42"/>
    </row>
    <row r="7207" spans="3:3" x14ac:dyDescent="0.25">
      <c r="C7207" s="42"/>
    </row>
    <row r="7208" spans="3:3" x14ac:dyDescent="0.25">
      <c r="C7208" s="42"/>
    </row>
    <row r="7209" spans="3:3" x14ac:dyDescent="0.25">
      <c r="C7209" s="42"/>
    </row>
    <row r="7210" spans="3:3" x14ac:dyDescent="0.25">
      <c r="C7210" s="42"/>
    </row>
    <row r="7211" spans="3:3" x14ac:dyDescent="0.25">
      <c r="C7211" s="42"/>
    </row>
    <row r="7212" spans="3:3" x14ac:dyDescent="0.25">
      <c r="C7212" s="42"/>
    </row>
    <row r="7213" spans="3:3" x14ac:dyDescent="0.25">
      <c r="C7213" s="42"/>
    </row>
    <row r="7214" spans="3:3" x14ac:dyDescent="0.25">
      <c r="C7214" s="42"/>
    </row>
    <row r="7215" spans="3:3" x14ac:dyDescent="0.25">
      <c r="C7215" s="42"/>
    </row>
    <row r="7216" spans="3:3" x14ac:dyDescent="0.25">
      <c r="C7216" s="42"/>
    </row>
    <row r="7217" spans="3:3" x14ac:dyDescent="0.25">
      <c r="C7217" s="42"/>
    </row>
    <row r="7218" spans="3:3" x14ac:dyDescent="0.25">
      <c r="C7218" s="42"/>
    </row>
    <row r="7219" spans="3:3" x14ac:dyDescent="0.25">
      <c r="C7219" s="42"/>
    </row>
    <row r="7220" spans="3:3" x14ac:dyDescent="0.25">
      <c r="C7220" s="42"/>
    </row>
    <row r="7221" spans="3:3" x14ac:dyDescent="0.25">
      <c r="C7221" s="42"/>
    </row>
    <row r="7222" spans="3:3" x14ac:dyDescent="0.25">
      <c r="C7222" s="42"/>
    </row>
    <row r="7223" spans="3:3" x14ac:dyDescent="0.25">
      <c r="C7223" s="42"/>
    </row>
    <row r="7224" spans="3:3" x14ac:dyDescent="0.25">
      <c r="C7224" s="42"/>
    </row>
    <row r="7225" spans="3:3" x14ac:dyDescent="0.25">
      <c r="C7225" s="42"/>
    </row>
    <row r="7226" spans="3:3" x14ac:dyDescent="0.25">
      <c r="C7226" s="42"/>
    </row>
    <row r="7227" spans="3:3" x14ac:dyDescent="0.25">
      <c r="C7227" s="42"/>
    </row>
    <row r="7228" spans="3:3" x14ac:dyDescent="0.25">
      <c r="C7228" s="42"/>
    </row>
    <row r="7229" spans="3:3" x14ac:dyDescent="0.25">
      <c r="C7229" s="42"/>
    </row>
    <row r="7230" spans="3:3" x14ac:dyDescent="0.25">
      <c r="C7230" s="42"/>
    </row>
    <row r="7231" spans="3:3" x14ac:dyDescent="0.25">
      <c r="C7231" s="42"/>
    </row>
    <row r="7232" spans="3:3" x14ac:dyDescent="0.25">
      <c r="C7232" s="42"/>
    </row>
    <row r="7233" spans="3:3" x14ac:dyDescent="0.25">
      <c r="C7233" s="42"/>
    </row>
    <row r="7234" spans="3:3" x14ac:dyDescent="0.25">
      <c r="C7234" s="42"/>
    </row>
    <row r="7235" spans="3:3" x14ac:dyDescent="0.25">
      <c r="C7235" s="42"/>
    </row>
    <row r="7236" spans="3:3" x14ac:dyDescent="0.25">
      <c r="C7236" s="42"/>
    </row>
    <row r="7237" spans="3:3" x14ac:dyDescent="0.25">
      <c r="C7237" s="42"/>
    </row>
    <row r="7238" spans="3:3" x14ac:dyDescent="0.25">
      <c r="C7238" s="42"/>
    </row>
    <row r="7239" spans="3:3" x14ac:dyDescent="0.25">
      <c r="C7239" s="42"/>
    </row>
    <row r="7240" spans="3:3" x14ac:dyDescent="0.25">
      <c r="C7240" s="42"/>
    </row>
    <row r="7241" spans="3:3" x14ac:dyDescent="0.25">
      <c r="C7241" s="42"/>
    </row>
    <row r="7242" spans="3:3" x14ac:dyDescent="0.25">
      <c r="C7242" s="42"/>
    </row>
    <row r="7243" spans="3:3" x14ac:dyDescent="0.25">
      <c r="C7243" s="42"/>
    </row>
    <row r="7244" spans="3:3" x14ac:dyDescent="0.25">
      <c r="C7244" s="42"/>
    </row>
    <row r="7245" spans="3:3" x14ac:dyDescent="0.25">
      <c r="C7245" s="42"/>
    </row>
    <row r="7246" spans="3:3" x14ac:dyDescent="0.25">
      <c r="C7246" s="42"/>
    </row>
    <row r="7247" spans="3:3" x14ac:dyDescent="0.25">
      <c r="C7247" s="42"/>
    </row>
    <row r="7248" spans="3:3" x14ac:dyDescent="0.25">
      <c r="C7248" s="42"/>
    </row>
    <row r="7249" spans="3:3" x14ac:dyDescent="0.25">
      <c r="C7249" s="42"/>
    </row>
    <row r="7250" spans="3:3" x14ac:dyDescent="0.25">
      <c r="C7250" s="42"/>
    </row>
    <row r="7251" spans="3:3" x14ac:dyDescent="0.25">
      <c r="C7251" s="42"/>
    </row>
    <row r="7252" spans="3:3" x14ac:dyDescent="0.25">
      <c r="C7252" s="42"/>
    </row>
    <row r="7253" spans="3:3" x14ac:dyDescent="0.25">
      <c r="C7253" s="42"/>
    </row>
    <row r="7254" spans="3:3" x14ac:dyDescent="0.25">
      <c r="C7254" s="42"/>
    </row>
    <row r="7255" spans="3:3" x14ac:dyDescent="0.25">
      <c r="C7255" s="42"/>
    </row>
    <row r="7256" spans="3:3" x14ac:dyDescent="0.25">
      <c r="C7256" s="42"/>
    </row>
    <row r="7257" spans="3:3" x14ac:dyDescent="0.25">
      <c r="C7257" s="42"/>
    </row>
    <row r="7258" spans="3:3" x14ac:dyDescent="0.25">
      <c r="C7258" s="42"/>
    </row>
    <row r="7259" spans="3:3" x14ac:dyDescent="0.25">
      <c r="C7259" s="42"/>
    </row>
    <row r="7260" spans="3:3" x14ac:dyDescent="0.25">
      <c r="C7260" s="42"/>
    </row>
    <row r="7261" spans="3:3" x14ac:dyDescent="0.25">
      <c r="C7261" s="42"/>
    </row>
    <row r="7262" spans="3:3" x14ac:dyDescent="0.25">
      <c r="C7262" s="42"/>
    </row>
    <row r="7263" spans="3:3" x14ac:dyDescent="0.25">
      <c r="C7263" s="42"/>
    </row>
    <row r="7264" spans="3:3" x14ac:dyDescent="0.25">
      <c r="C7264" s="42"/>
    </row>
    <row r="7265" spans="3:3" x14ac:dyDescent="0.25">
      <c r="C7265" s="42"/>
    </row>
    <row r="7266" spans="3:3" x14ac:dyDescent="0.25">
      <c r="C7266" s="42"/>
    </row>
    <row r="7267" spans="3:3" x14ac:dyDescent="0.25">
      <c r="C7267" s="42"/>
    </row>
    <row r="7268" spans="3:3" x14ac:dyDescent="0.25">
      <c r="C7268" s="42"/>
    </row>
    <row r="7269" spans="3:3" x14ac:dyDescent="0.25">
      <c r="C7269" s="42"/>
    </row>
    <row r="7270" spans="3:3" x14ac:dyDescent="0.25">
      <c r="C7270" s="42"/>
    </row>
    <row r="7271" spans="3:3" x14ac:dyDescent="0.25">
      <c r="C7271" s="42"/>
    </row>
    <row r="7272" spans="3:3" x14ac:dyDescent="0.25">
      <c r="C7272" s="42"/>
    </row>
    <row r="7273" spans="3:3" x14ac:dyDescent="0.25">
      <c r="C7273" s="42"/>
    </row>
    <row r="7274" spans="3:3" x14ac:dyDescent="0.25">
      <c r="C7274" s="42"/>
    </row>
    <row r="7275" spans="3:3" x14ac:dyDescent="0.25">
      <c r="C7275" s="42"/>
    </row>
    <row r="7276" spans="3:3" x14ac:dyDescent="0.25">
      <c r="C7276" s="42"/>
    </row>
    <row r="7277" spans="3:3" x14ac:dyDescent="0.25">
      <c r="C7277" s="42"/>
    </row>
    <row r="7278" spans="3:3" x14ac:dyDescent="0.25">
      <c r="C7278" s="42"/>
    </row>
    <row r="7279" spans="3:3" x14ac:dyDescent="0.25">
      <c r="C7279" s="42"/>
    </row>
    <row r="7280" spans="3:3" x14ac:dyDescent="0.25">
      <c r="C7280" s="42"/>
    </row>
    <row r="7281" spans="3:3" x14ac:dyDescent="0.25">
      <c r="C7281" s="42"/>
    </row>
    <row r="7282" spans="3:3" x14ac:dyDescent="0.25">
      <c r="C7282" s="42"/>
    </row>
    <row r="7283" spans="3:3" x14ac:dyDescent="0.25">
      <c r="C7283" s="42"/>
    </row>
    <row r="7284" spans="3:3" x14ac:dyDescent="0.25">
      <c r="C7284" s="42"/>
    </row>
    <row r="7285" spans="3:3" x14ac:dyDescent="0.25">
      <c r="C7285" s="42"/>
    </row>
    <row r="7286" spans="3:3" x14ac:dyDescent="0.25">
      <c r="C7286" s="42"/>
    </row>
    <row r="7287" spans="3:3" x14ac:dyDescent="0.25">
      <c r="C7287" s="42"/>
    </row>
    <row r="7288" spans="3:3" x14ac:dyDescent="0.25">
      <c r="C7288" s="42"/>
    </row>
    <row r="7289" spans="3:3" x14ac:dyDescent="0.25">
      <c r="C7289" s="42"/>
    </row>
    <row r="7290" spans="3:3" x14ac:dyDescent="0.25">
      <c r="C7290" s="42"/>
    </row>
    <row r="7291" spans="3:3" x14ac:dyDescent="0.25">
      <c r="C7291" s="42"/>
    </row>
    <row r="7292" spans="3:3" x14ac:dyDescent="0.25">
      <c r="C7292" s="42"/>
    </row>
    <row r="7293" spans="3:3" x14ac:dyDescent="0.25">
      <c r="C7293" s="42"/>
    </row>
    <row r="7294" spans="3:3" x14ac:dyDescent="0.25">
      <c r="C7294" s="42"/>
    </row>
    <row r="7295" spans="3:3" x14ac:dyDescent="0.25">
      <c r="C7295" s="42"/>
    </row>
    <row r="7296" spans="3:3" x14ac:dyDescent="0.25">
      <c r="C7296" s="42"/>
    </row>
    <row r="7297" spans="3:3" x14ac:dyDescent="0.25">
      <c r="C7297" s="42"/>
    </row>
    <row r="7298" spans="3:3" x14ac:dyDescent="0.25">
      <c r="C7298" s="42"/>
    </row>
    <row r="7299" spans="3:3" x14ac:dyDescent="0.25">
      <c r="C7299" s="42"/>
    </row>
    <row r="7300" spans="3:3" x14ac:dyDescent="0.25">
      <c r="C7300" s="42"/>
    </row>
    <row r="7301" spans="3:3" x14ac:dyDescent="0.25">
      <c r="C7301" s="42"/>
    </row>
    <row r="7302" spans="3:3" x14ac:dyDescent="0.25">
      <c r="C7302" s="42"/>
    </row>
    <row r="7303" spans="3:3" x14ac:dyDescent="0.25">
      <c r="C7303" s="42"/>
    </row>
    <row r="7304" spans="3:3" x14ac:dyDescent="0.25">
      <c r="C7304" s="42"/>
    </row>
    <row r="7305" spans="3:3" x14ac:dyDescent="0.25">
      <c r="C7305" s="42"/>
    </row>
    <row r="7306" spans="3:3" x14ac:dyDescent="0.25">
      <c r="C7306" s="42"/>
    </row>
    <row r="7307" spans="3:3" x14ac:dyDescent="0.25">
      <c r="C7307" s="42"/>
    </row>
    <row r="7308" spans="3:3" x14ac:dyDescent="0.25">
      <c r="C7308" s="42"/>
    </row>
    <row r="7309" spans="3:3" x14ac:dyDescent="0.25">
      <c r="C7309" s="42"/>
    </row>
    <row r="7310" spans="3:3" x14ac:dyDescent="0.25">
      <c r="C7310" s="42"/>
    </row>
    <row r="7311" spans="3:3" x14ac:dyDescent="0.25">
      <c r="C7311" s="42"/>
    </row>
    <row r="7312" spans="3:3" x14ac:dyDescent="0.25">
      <c r="C7312" s="42"/>
    </row>
    <row r="7313" spans="3:3" x14ac:dyDescent="0.25">
      <c r="C7313" s="42"/>
    </row>
    <row r="7314" spans="3:3" x14ac:dyDescent="0.25">
      <c r="C7314" s="42"/>
    </row>
    <row r="7315" spans="3:3" x14ac:dyDescent="0.25">
      <c r="C7315" s="42"/>
    </row>
    <row r="7316" spans="3:3" x14ac:dyDescent="0.25">
      <c r="C7316" s="42"/>
    </row>
    <row r="7317" spans="3:3" x14ac:dyDescent="0.25">
      <c r="C7317" s="42"/>
    </row>
    <row r="7318" spans="3:3" x14ac:dyDescent="0.25">
      <c r="C7318" s="42"/>
    </row>
    <row r="7319" spans="3:3" x14ac:dyDescent="0.25">
      <c r="C7319" s="42"/>
    </row>
    <row r="7320" spans="3:3" x14ac:dyDescent="0.25">
      <c r="C7320" s="42"/>
    </row>
    <row r="7321" spans="3:3" x14ac:dyDescent="0.25">
      <c r="C7321" s="42"/>
    </row>
    <row r="7322" spans="3:3" x14ac:dyDescent="0.25">
      <c r="C7322" s="42"/>
    </row>
    <row r="7323" spans="3:3" x14ac:dyDescent="0.25">
      <c r="C7323" s="42"/>
    </row>
    <row r="7324" spans="3:3" x14ac:dyDescent="0.25">
      <c r="C7324" s="42"/>
    </row>
    <row r="7325" spans="3:3" x14ac:dyDescent="0.25">
      <c r="C7325" s="42"/>
    </row>
    <row r="7326" spans="3:3" x14ac:dyDescent="0.25">
      <c r="C7326" s="42"/>
    </row>
    <row r="7327" spans="3:3" x14ac:dyDescent="0.25">
      <c r="C7327" s="42"/>
    </row>
    <row r="7328" spans="3:3" x14ac:dyDescent="0.25">
      <c r="C7328" s="42"/>
    </row>
    <row r="7329" spans="3:3" x14ac:dyDescent="0.25">
      <c r="C7329" s="42"/>
    </row>
    <row r="7330" spans="3:3" x14ac:dyDescent="0.25">
      <c r="C7330" s="42"/>
    </row>
    <row r="7331" spans="3:3" x14ac:dyDescent="0.25">
      <c r="C7331" s="42"/>
    </row>
    <row r="7332" spans="3:3" x14ac:dyDescent="0.25">
      <c r="C7332" s="42"/>
    </row>
    <row r="7333" spans="3:3" x14ac:dyDescent="0.25">
      <c r="C7333" s="42"/>
    </row>
    <row r="7334" spans="3:3" x14ac:dyDescent="0.25">
      <c r="C7334" s="42"/>
    </row>
    <row r="7335" spans="3:3" x14ac:dyDescent="0.25">
      <c r="C7335" s="42"/>
    </row>
    <row r="7336" spans="3:3" x14ac:dyDescent="0.25">
      <c r="C7336" s="42"/>
    </row>
    <row r="7337" spans="3:3" x14ac:dyDescent="0.25">
      <c r="C7337" s="42"/>
    </row>
    <row r="7338" spans="3:3" x14ac:dyDescent="0.25">
      <c r="C7338" s="42"/>
    </row>
    <row r="7339" spans="3:3" x14ac:dyDescent="0.25">
      <c r="C7339" s="42"/>
    </row>
    <row r="7340" spans="3:3" x14ac:dyDescent="0.25">
      <c r="C7340" s="42"/>
    </row>
    <row r="7341" spans="3:3" x14ac:dyDescent="0.25">
      <c r="C7341" s="42"/>
    </row>
    <row r="7342" spans="3:3" x14ac:dyDescent="0.25">
      <c r="C7342" s="42"/>
    </row>
    <row r="7343" spans="3:3" x14ac:dyDescent="0.25">
      <c r="C7343" s="42"/>
    </row>
    <row r="7344" spans="3:3" x14ac:dyDescent="0.25">
      <c r="C7344" s="42"/>
    </row>
    <row r="7345" spans="3:3" x14ac:dyDescent="0.25">
      <c r="C7345" s="42"/>
    </row>
    <row r="7346" spans="3:3" x14ac:dyDescent="0.25">
      <c r="C7346" s="42"/>
    </row>
    <row r="7347" spans="3:3" x14ac:dyDescent="0.25">
      <c r="C7347" s="42"/>
    </row>
    <row r="7348" spans="3:3" x14ac:dyDescent="0.25">
      <c r="C7348" s="42"/>
    </row>
    <row r="7349" spans="3:3" x14ac:dyDescent="0.25">
      <c r="C7349" s="42"/>
    </row>
    <row r="7350" spans="3:3" x14ac:dyDescent="0.25">
      <c r="C7350" s="42"/>
    </row>
    <row r="7351" spans="3:3" x14ac:dyDescent="0.25">
      <c r="C7351" s="42"/>
    </row>
    <row r="7352" spans="3:3" x14ac:dyDescent="0.25">
      <c r="C7352" s="42"/>
    </row>
    <row r="7353" spans="3:3" x14ac:dyDescent="0.25">
      <c r="C7353" s="42"/>
    </row>
    <row r="7354" spans="3:3" x14ac:dyDescent="0.25">
      <c r="C7354" s="42"/>
    </row>
    <row r="7355" spans="3:3" x14ac:dyDescent="0.25">
      <c r="C7355" s="42"/>
    </row>
    <row r="7356" spans="3:3" x14ac:dyDescent="0.25">
      <c r="C7356" s="42"/>
    </row>
    <row r="7357" spans="3:3" x14ac:dyDescent="0.25">
      <c r="C7357" s="42"/>
    </row>
    <row r="7358" spans="3:3" x14ac:dyDescent="0.25">
      <c r="C7358" s="42"/>
    </row>
    <row r="7359" spans="3:3" x14ac:dyDescent="0.25">
      <c r="C7359" s="42"/>
    </row>
    <row r="7360" spans="3:3" x14ac:dyDescent="0.25">
      <c r="C7360" s="42"/>
    </row>
    <row r="7361" spans="3:3" x14ac:dyDescent="0.25">
      <c r="C7361" s="42"/>
    </row>
    <row r="7362" spans="3:3" x14ac:dyDescent="0.25">
      <c r="C7362" s="42"/>
    </row>
    <row r="7363" spans="3:3" x14ac:dyDescent="0.25">
      <c r="C7363" s="42"/>
    </row>
    <row r="7364" spans="3:3" x14ac:dyDescent="0.25">
      <c r="C7364" s="42"/>
    </row>
    <row r="7365" spans="3:3" x14ac:dyDescent="0.25">
      <c r="C7365" s="42"/>
    </row>
    <row r="7366" spans="3:3" x14ac:dyDescent="0.25">
      <c r="C7366" s="42"/>
    </row>
    <row r="7367" spans="3:3" x14ac:dyDescent="0.25">
      <c r="C7367" s="42"/>
    </row>
    <row r="7368" spans="3:3" x14ac:dyDescent="0.25">
      <c r="C7368" s="42"/>
    </row>
    <row r="7369" spans="3:3" x14ac:dyDescent="0.25">
      <c r="C7369" s="42"/>
    </row>
    <row r="7370" spans="3:3" x14ac:dyDescent="0.25">
      <c r="C7370" s="42"/>
    </row>
    <row r="7371" spans="3:3" x14ac:dyDescent="0.25">
      <c r="C7371" s="42"/>
    </row>
    <row r="7372" spans="3:3" x14ac:dyDescent="0.25">
      <c r="C7372" s="42"/>
    </row>
    <row r="7373" spans="3:3" x14ac:dyDescent="0.25">
      <c r="C7373" s="42"/>
    </row>
    <row r="7374" spans="3:3" x14ac:dyDescent="0.25">
      <c r="C7374" s="42"/>
    </row>
    <row r="7375" spans="3:3" x14ac:dyDescent="0.25">
      <c r="C7375" s="42"/>
    </row>
    <row r="7376" spans="3:3" x14ac:dyDescent="0.25">
      <c r="C7376" s="42"/>
    </row>
    <row r="7377" spans="3:3" x14ac:dyDescent="0.25">
      <c r="C7377" s="42"/>
    </row>
    <row r="7378" spans="3:3" x14ac:dyDescent="0.25">
      <c r="C7378" s="42"/>
    </row>
    <row r="7379" spans="3:3" x14ac:dyDescent="0.25">
      <c r="C7379" s="42"/>
    </row>
    <row r="7380" spans="3:3" x14ac:dyDescent="0.25">
      <c r="C7380" s="42"/>
    </row>
    <row r="7381" spans="3:3" x14ac:dyDescent="0.25">
      <c r="C7381" s="42"/>
    </row>
    <row r="7382" spans="3:3" x14ac:dyDescent="0.25">
      <c r="C7382" s="42"/>
    </row>
    <row r="7383" spans="3:3" x14ac:dyDescent="0.25">
      <c r="C7383" s="42"/>
    </row>
    <row r="7384" spans="3:3" x14ac:dyDescent="0.25">
      <c r="C7384" s="42"/>
    </row>
    <row r="7385" spans="3:3" x14ac:dyDescent="0.25">
      <c r="C7385" s="42"/>
    </row>
    <row r="7386" spans="3:3" x14ac:dyDescent="0.25">
      <c r="C7386" s="42"/>
    </row>
    <row r="7387" spans="3:3" x14ac:dyDescent="0.25">
      <c r="C7387" s="42"/>
    </row>
    <row r="7388" spans="3:3" x14ac:dyDescent="0.25">
      <c r="C7388" s="42"/>
    </row>
    <row r="7389" spans="3:3" x14ac:dyDescent="0.25">
      <c r="C7389" s="42"/>
    </row>
    <row r="7390" spans="3:3" x14ac:dyDescent="0.25">
      <c r="C7390" s="42"/>
    </row>
    <row r="7391" spans="3:3" x14ac:dyDescent="0.25">
      <c r="C7391" s="42"/>
    </row>
    <row r="7392" spans="3:3" x14ac:dyDescent="0.25">
      <c r="C7392" s="42"/>
    </row>
    <row r="7393" spans="3:3" x14ac:dyDescent="0.25">
      <c r="C7393" s="42"/>
    </row>
    <row r="7394" spans="3:3" x14ac:dyDescent="0.25">
      <c r="C7394" s="42"/>
    </row>
    <row r="7395" spans="3:3" x14ac:dyDescent="0.25">
      <c r="C7395" s="42"/>
    </row>
    <row r="7396" spans="3:3" x14ac:dyDescent="0.25">
      <c r="C7396" s="42"/>
    </row>
    <row r="7397" spans="3:3" x14ac:dyDescent="0.25">
      <c r="C7397" s="42"/>
    </row>
    <row r="7398" spans="3:3" x14ac:dyDescent="0.25">
      <c r="C7398" s="42"/>
    </row>
    <row r="7399" spans="3:3" x14ac:dyDescent="0.25">
      <c r="C7399" s="42"/>
    </row>
    <row r="7400" spans="3:3" x14ac:dyDescent="0.25">
      <c r="C7400" s="42"/>
    </row>
    <row r="7401" spans="3:3" x14ac:dyDescent="0.25">
      <c r="C7401" s="42"/>
    </row>
    <row r="7402" spans="3:3" x14ac:dyDescent="0.25">
      <c r="C7402" s="42"/>
    </row>
    <row r="7403" spans="3:3" x14ac:dyDescent="0.25">
      <c r="C7403" s="42"/>
    </row>
    <row r="7404" spans="3:3" x14ac:dyDescent="0.25">
      <c r="C7404" s="42"/>
    </row>
    <row r="7405" spans="3:3" x14ac:dyDescent="0.25">
      <c r="C7405" s="42"/>
    </row>
    <row r="7406" spans="3:3" x14ac:dyDescent="0.25">
      <c r="C7406" s="42"/>
    </row>
    <row r="7407" spans="3:3" x14ac:dyDescent="0.25">
      <c r="C7407" s="42"/>
    </row>
    <row r="7408" spans="3:3" x14ac:dyDescent="0.25">
      <c r="C7408" s="42"/>
    </row>
    <row r="7409" spans="3:3" x14ac:dyDescent="0.25">
      <c r="C7409" s="42"/>
    </row>
    <row r="7410" spans="3:3" x14ac:dyDescent="0.25">
      <c r="C7410" s="42"/>
    </row>
    <row r="7411" spans="3:3" x14ac:dyDescent="0.25">
      <c r="C7411" s="42"/>
    </row>
    <row r="7412" spans="3:3" x14ac:dyDescent="0.25">
      <c r="C7412" s="42"/>
    </row>
    <row r="7413" spans="3:3" x14ac:dyDescent="0.25">
      <c r="C7413" s="42"/>
    </row>
    <row r="7414" spans="3:3" x14ac:dyDescent="0.25">
      <c r="C7414" s="42"/>
    </row>
    <row r="7415" spans="3:3" x14ac:dyDescent="0.25">
      <c r="C7415" s="42"/>
    </row>
    <row r="7416" spans="3:3" x14ac:dyDescent="0.25">
      <c r="C7416" s="42"/>
    </row>
    <row r="7417" spans="3:3" x14ac:dyDescent="0.25">
      <c r="C7417" s="42"/>
    </row>
    <row r="7418" spans="3:3" x14ac:dyDescent="0.25">
      <c r="C7418" s="42"/>
    </row>
    <row r="7419" spans="3:3" x14ac:dyDescent="0.25">
      <c r="C7419" s="42"/>
    </row>
    <row r="7420" spans="3:3" x14ac:dyDescent="0.25">
      <c r="C7420" s="42"/>
    </row>
    <row r="7421" spans="3:3" x14ac:dyDescent="0.25">
      <c r="C7421" s="42"/>
    </row>
    <row r="7422" spans="3:3" x14ac:dyDescent="0.25">
      <c r="C7422" s="42"/>
    </row>
    <row r="7423" spans="3:3" x14ac:dyDescent="0.25">
      <c r="C7423" s="42"/>
    </row>
    <row r="7424" spans="3:3" x14ac:dyDescent="0.25">
      <c r="C7424" s="42"/>
    </row>
    <row r="7425" spans="3:3" x14ac:dyDescent="0.25">
      <c r="C7425" s="42"/>
    </row>
    <row r="7426" spans="3:3" x14ac:dyDescent="0.25">
      <c r="C7426" s="42"/>
    </row>
    <row r="7427" spans="3:3" x14ac:dyDescent="0.25">
      <c r="C7427" s="42"/>
    </row>
    <row r="7428" spans="3:3" x14ac:dyDescent="0.25">
      <c r="C7428" s="42"/>
    </row>
    <row r="7429" spans="3:3" x14ac:dyDescent="0.25">
      <c r="C7429" s="42"/>
    </row>
    <row r="7430" spans="3:3" x14ac:dyDescent="0.25">
      <c r="C7430" s="42"/>
    </row>
    <row r="7431" spans="3:3" x14ac:dyDescent="0.25">
      <c r="C7431" s="42"/>
    </row>
    <row r="7432" spans="3:3" x14ac:dyDescent="0.25">
      <c r="C7432" s="42"/>
    </row>
    <row r="7433" spans="3:3" x14ac:dyDescent="0.25">
      <c r="C7433" s="42"/>
    </row>
    <row r="7434" spans="3:3" x14ac:dyDescent="0.25">
      <c r="C7434" s="42"/>
    </row>
    <row r="7435" spans="3:3" x14ac:dyDescent="0.25">
      <c r="C7435" s="42"/>
    </row>
    <row r="7436" spans="3:3" x14ac:dyDescent="0.25">
      <c r="C7436" s="42"/>
    </row>
    <row r="7437" spans="3:3" x14ac:dyDescent="0.25">
      <c r="C7437" s="42"/>
    </row>
    <row r="7438" spans="3:3" x14ac:dyDescent="0.25">
      <c r="C7438" s="42"/>
    </row>
    <row r="7439" spans="3:3" x14ac:dyDescent="0.25">
      <c r="C7439" s="42"/>
    </row>
    <row r="7440" spans="3:3" x14ac:dyDescent="0.25">
      <c r="C7440" s="42"/>
    </row>
    <row r="7441" spans="3:3" x14ac:dyDescent="0.25">
      <c r="C7441" s="42"/>
    </row>
    <row r="7442" spans="3:3" x14ac:dyDescent="0.25">
      <c r="C7442" s="42"/>
    </row>
    <row r="7443" spans="3:3" x14ac:dyDescent="0.25">
      <c r="C7443" s="42"/>
    </row>
    <row r="7444" spans="3:3" x14ac:dyDescent="0.25">
      <c r="C7444" s="42"/>
    </row>
    <row r="7445" spans="3:3" x14ac:dyDescent="0.25">
      <c r="C7445" s="42"/>
    </row>
    <row r="7446" spans="3:3" x14ac:dyDescent="0.25">
      <c r="C7446" s="42"/>
    </row>
    <row r="7447" spans="3:3" x14ac:dyDescent="0.25">
      <c r="C7447" s="42"/>
    </row>
    <row r="7448" spans="3:3" x14ac:dyDescent="0.25">
      <c r="C7448" s="42"/>
    </row>
    <row r="7449" spans="3:3" x14ac:dyDescent="0.25">
      <c r="C7449" s="42"/>
    </row>
    <row r="7450" spans="3:3" x14ac:dyDescent="0.25">
      <c r="C7450" s="42"/>
    </row>
    <row r="7451" spans="3:3" x14ac:dyDescent="0.25">
      <c r="C7451" s="42"/>
    </row>
    <row r="7452" spans="3:3" x14ac:dyDescent="0.25">
      <c r="C7452" s="42"/>
    </row>
    <row r="7453" spans="3:3" x14ac:dyDescent="0.25">
      <c r="C7453" s="42"/>
    </row>
    <row r="7454" spans="3:3" x14ac:dyDescent="0.25">
      <c r="C7454" s="42"/>
    </row>
    <row r="7455" spans="3:3" x14ac:dyDescent="0.25">
      <c r="C7455" s="42"/>
    </row>
    <row r="7456" spans="3:3" x14ac:dyDescent="0.25">
      <c r="C7456" s="42"/>
    </row>
    <row r="7457" spans="3:3" x14ac:dyDescent="0.25">
      <c r="C7457" s="42"/>
    </row>
    <row r="7458" spans="3:3" x14ac:dyDescent="0.25">
      <c r="C7458" s="42"/>
    </row>
    <row r="7459" spans="3:3" x14ac:dyDescent="0.25">
      <c r="C7459" s="42"/>
    </row>
    <row r="7460" spans="3:3" x14ac:dyDescent="0.25">
      <c r="C7460" s="42"/>
    </row>
    <row r="7461" spans="3:3" x14ac:dyDescent="0.25">
      <c r="C7461" s="42"/>
    </row>
    <row r="7462" spans="3:3" x14ac:dyDescent="0.25">
      <c r="C7462" s="42"/>
    </row>
    <row r="7463" spans="3:3" x14ac:dyDescent="0.25">
      <c r="C7463" s="42"/>
    </row>
    <row r="7464" spans="3:3" x14ac:dyDescent="0.25">
      <c r="C7464" s="42"/>
    </row>
    <row r="7465" spans="3:3" x14ac:dyDescent="0.25">
      <c r="C7465" s="42"/>
    </row>
    <row r="7466" spans="3:3" x14ac:dyDescent="0.25">
      <c r="C7466" s="42"/>
    </row>
    <row r="7467" spans="3:3" x14ac:dyDescent="0.25">
      <c r="C7467" s="42"/>
    </row>
    <row r="7468" spans="3:3" x14ac:dyDescent="0.25">
      <c r="C7468" s="42"/>
    </row>
    <row r="7469" spans="3:3" x14ac:dyDescent="0.25">
      <c r="C7469" s="42"/>
    </row>
    <row r="7470" spans="3:3" x14ac:dyDescent="0.25">
      <c r="C7470" s="42"/>
    </row>
    <row r="7471" spans="3:3" x14ac:dyDescent="0.25">
      <c r="C7471" s="42"/>
    </row>
    <row r="7472" spans="3:3" x14ac:dyDescent="0.25">
      <c r="C7472" s="42"/>
    </row>
    <row r="7473" spans="3:3" x14ac:dyDescent="0.25">
      <c r="C7473" s="42"/>
    </row>
    <row r="7474" spans="3:3" x14ac:dyDescent="0.25">
      <c r="C7474" s="42"/>
    </row>
    <row r="7475" spans="3:3" x14ac:dyDescent="0.25">
      <c r="C7475" s="42"/>
    </row>
    <row r="7476" spans="3:3" x14ac:dyDescent="0.25">
      <c r="C7476" s="42"/>
    </row>
    <row r="7477" spans="3:3" x14ac:dyDescent="0.25">
      <c r="C7477" s="42"/>
    </row>
    <row r="7478" spans="3:3" x14ac:dyDescent="0.25">
      <c r="C7478" s="42"/>
    </row>
    <row r="7479" spans="3:3" x14ac:dyDescent="0.25">
      <c r="C7479" s="42"/>
    </row>
    <row r="7480" spans="3:3" x14ac:dyDescent="0.25">
      <c r="C7480" s="42"/>
    </row>
    <row r="7481" spans="3:3" x14ac:dyDescent="0.25">
      <c r="C7481" s="42"/>
    </row>
    <row r="7482" spans="3:3" x14ac:dyDescent="0.25">
      <c r="C7482" s="42"/>
    </row>
    <row r="7483" spans="3:3" x14ac:dyDescent="0.25">
      <c r="C7483" s="42"/>
    </row>
    <row r="7484" spans="3:3" x14ac:dyDescent="0.25">
      <c r="C7484" s="42"/>
    </row>
    <row r="7485" spans="3:3" x14ac:dyDescent="0.25">
      <c r="C7485" s="42"/>
    </row>
    <row r="7486" spans="3:3" x14ac:dyDescent="0.25">
      <c r="C7486" s="42"/>
    </row>
    <row r="7487" spans="3:3" x14ac:dyDescent="0.25">
      <c r="C7487" s="42"/>
    </row>
    <row r="7488" spans="3:3" x14ac:dyDescent="0.25">
      <c r="C7488" s="42"/>
    </row>
    <row r="7489" spans="3:3" x14ac:dyDescent="0.25">
      <c r="C7489" s="42"/>
    </row>
    <row r="7490" spans="3:3" x14ac:dyDescent="0.25">
      <c r="C7490" s="42"/>
    </row>
    <row r="7491" spans="3:3" x14ac:dyDescent="0.25">
      <c r="C7491" s="42"/>
    </row>
    <row r="7492" spans="3:3" x14ac:dyDescent="0.25">
      <c r="C7492" s="42"/>
    </row>
    <row r="7493" spans="3:3" x14ac:dyDescent="0.25">
      <c r="C7493" s="42"/>
    </row>
    <row r="7494" spans="3:3" x14ac:dyDescent="0.25">
      <c r="C7494" s="42"/>
    </row>
    <row r="7495" spans="3:3" x14ac:dyDescent="0.25">
      <c r="C7495" s="42"/>
    </row>
    <row r="7496" spans="3:3" x14ac:dyDescent="0.25">
      <c r="C7496" s="42"/>
    </row>
    <row r="7497" spans="3:3" x14ac:dyDescent="0.25">
      <c r="C7497" s="42"/>
    </row>
    <row r="7498" spans="3:3" x14ac:dyDescent="0.25">
      <c r="C7498" s="42"/>
    </row>
    <row r="7499" spans="3:3" x14ac:dyDescent="0.25">
      <c r="C7499" s="42"/>
    </row>
    <row r="7500" spans="3:3" x14ac:dyDescent="0.25">
      <c r="C7500" s="42"/>
    </row>
    <row r="7501" spans="3:3" x14ac:dyDescent="0.25">
      <c r="C7501" s="42"/>
    </row>
    <row r="7502" spans="3:3" x14ac:dyDescent="0.25">
      <c r="C7502" s="42"/>
    </row>
    <row r="7503" spans="3:3" x14ac:dyDescent="0.25">
      <c r="C7503" s="42"/>
    </row>
    <row r="7504" spans="3:3" x14ac:dyDescent="0.25">
      <c r="C7504" s="42"/>
    </row>
    <row r="7505" spans="3:3" x14ac:dyDescent="0.25">
      <c r="C7505" s="42"/>
    </row>
    <row r="7506" spans="3:3" x14ac:dyDescent="0.25">
      <c r="C7506" s="42"/>
    </row>
    <row r="7507" spans="3:3" x14ac:dyDescent="0.25">
      <c r="C7507" s="42"/>
    </row>
    <row r="7508" spans="3:3" x14ac:dyDescent="0.25">
      <c r="C7508" s="42"/>
    </row>
    <row r="7509" spans="3:3" x14ac:dyDescent="0.25">
      <c r="C7509" s="42"/>
    </row>
    <row r="7510" spans="3:3" x14ac:dyDescent="0.25">
      <c r="C7510" s="42"/>
    </row>
    <row r="7511" spans="3:3" x14ac:dyDescent="0.25">
      <c r="C7511" s="42"/>
    </row>
    <row r="7512" spans="3:3" x14ac:dyDescent="0.25">
      <c r="C7512" s="42"/>
    </row>
    <row r="7513" spans="3:3" x14ac:dyDescent="0.25">
      <c r="C7513" s="42"/>
    </row>
    <row r="7514" spans="3:3" x14ac:dyDescent="0.25">
      <c r="C7514" s="42"/>
    </row>
    <row r="7515" spans="3:3" x14ac:dyDescent="0.25">
      <c r="C7515" s="42"/>
    </row>
    <row r="7516" spans="3:3" x14ac:dyDescent="0.25">
      <c r="C7516" s="42"/>
    </row>
    <row r="7517" spans="3:3" x14ac:dyDescent="0.25">
      <c r="C7517" s="42"/>
    </row>
    <row r="7518" spans="3:3" x14ac:dyDescent="0.25">
      <c r="C7518" s="42"/>
    </row>
    <row r="7519" spans="3:3" x14ac:dyDescent="0.25">
      <c r="C7519" s="42"/>
    </row>
    <row r="7520" spans="3:3" x14ac:dyDescent="0.25">
      <c r="C7520" s="42"/>
    </row>
    <row r="7521" spans="3:3" x14ac:dyDescent="0.25">
      <c r="C7521" s="42"/>
    </row>
    <row r="7522" spans="3:3" x14ac:dyDescent="0.25">
      <c r="C7522" s="42"/>
    </row>
    <row r="7523" spans="3:3" x14ac:dyDescent="0.25">
      <c r="C7523" s="42"/>
    </row>
    <row r="7524" spans="3:3" x14ac:dyDescent="0.25">
      <c r="C7524" s="42"/>
    </row>
    <row r="7525" spans="3:3" x14ac:dyDescent="0.25">
      <c r="C7525" s="42"/>
    </row>
    <row r="7526" spans="3:3" x14ac:dyDescent="0.25">
      <c r="C7526" s="42"/>
    </row>
    <row r="7527" spans="3:3" x14ac:dyDescent="0.25">
      <c r="C7527" s="42"/>
    </row>
    <row r="7528" spans="3:3" x14ac:dyDescent="0.25">
      <c r="C7528" s="42"/>
    </row>
    <row r="7529" spans="3:3" x14ac:dyDescent="0.25">
      <c r="C7529" s="42"/>
    </row>
    <row r="7530" spans="3:3" x14ac:dyDescent="0.25">
      <c r="C7530" s="42"/>
    </row>
    <row r="7531" spans="3:3" x14ac:dyDescent="0.25">
      <c r="C7531" s="42"/>
    </row>
    <row r="7532" spans="3:3" x14ac:dyDescent="0.25">
      <c r="C7532" s="42"/>
    </row>
    <row r="7533" spans="3:3" x14ac:dyDescent="0.25">
      <c r="C7533" s="42"/>
    </row>
    <row r="7534" spans="3:3" x14ac:dyDescent="0.25">
      <c r="C7534" s="42"/>
    </row>
    <row r="7535" spans="3:3" x14ac:dyDescent="0.25">
      <c r="C7535" s="42"/>
    </row>
    <row r="7536" spans="3:3" x14ac:dyDescent="0.25">
      <c r="C7536" s="42"/>
    </row>
    <row r="7537" spans="3:3" x14ac:dyDescent="0.25">
      <c r="C7537" s="42"/>
    </row>
    <row r="7538" spans="3:3" x14ac:dyDescent="0.25">
      <c r="C7538" s="42"/>
    </row>
    <row r="7539" spans="3:3" x14ac:dyDescent="0.25">
      <c r="C7539" s="42"/>
    </row>
    <row r="7540" spans="3:3" x14ac:dyDescent="0.25">
      <c r="C7540" s="42"/>
    </row>
    <row r="7541" spans="3:3" x14ac:dyDescent="0.25">
      <c r="C7541" s="42"/>
    </row>
    <row r="7542" spans="3:3" x14ac:dyDescent="0.25">
      <c r="C7542" s="42"/>
    </row>
    <row r="7543" spans="3:3" x14ac:dyDescent="0.25">
      <c r="C7543" s="42"/>
    </row>
    <row r="7544" spans="3:3" x14ac:dyDescent="0.25">
      <c r="C7544" s="42"/>
    </row>
    <row r="7545" spans="3:3" x14ac:dyDescent="0.25">
      <c r="C7545" s="42"/>
    </row>
    <row r="7546" spans="3:3" x14ac:dyDescent="0.25">
      <c r="C7546" s="42"/>
    </row>
    <row r="7547" spans="3:3" x14ac:dyDescent="0.25">
      <c r="C7547" s="42"/>
    </row>
    <row r="7548" spans="3:3" x14ac:dyDescent="0.25">
      <c r="C7548" s="42"/>
    </row>
    <row r="7549" spans="3:3" x14ac:dyDescent="0.25">
      <c r="C7549" s="42"/>
    </row>
    <row r="7550" spans="3:3" x14ac:dyDescent="0.25">
      <c r="C7550" s="42"/>
    </row>
    <row r="7551" spans="3:3" x14ac:dyDescent="0.25">
      <c r="C7551" s="42"/>
    </row>
    <row r="7552" spans="3:3" x14ac:dyDescent="0.25">
      <c r="C7552" s="42"/>
    </row>
    <row r="7553" spans="3:3" x14ac:dyDescent="0.25">
      <c r="C7553" s="42"/>
    </row>
    <row r="7554" spans="3:3" x14ac:dyDescent="0.25">
      <c r="C7554" s="42"/>
    </row>
    <row r="7555" spans="3:3" x14ac:dyDescent="0.25">
      <c r="C7555" s="42"/>
    </row>
    <row r="7556" spans="3:3" x14ac:dyDescent="0.25">
      <c r="C7556" s="42"/>
    </row>
    <row r="7557" spans="3:3" x14ac:dyDescent="0.25">
      <c r="C7557" s="42"/>
    </row>
    <row r="7558" spans="3:3" x14ac:dyDescent="0.25">
      <c r="C7558" s="42"/>
    </row>
    <row r="7559" spans="3:3" x14ac:dyDescent="0.25">
      <c r="C7559" s="42"/>
    </row>
    <row r="7560" spans="3:3" x14ac:dyDescent="0.25">
      <c r="C7560" s="42"/>
    </row>
    <row r="7561" spans="3:3" x14ac:dyDescent="0.25">
      <c r="C7561" s="42"/>
    </row>
    <row r="7562" spans="3:3" x14ac:dyDescent="0.25">
      <c r="C7562" s="42"/>
    </row>
    <row r="7563" spans="3:3" x14ac:dyDescent="0.25">
      <c r="C7563" s="42"/>
    </row>
    <row r="7564" spans="3:3" x14ac:dyDescent="0.25">
      <c r="C7564" s="42"/>
    </row>
    <row r="7565" spans="3:3" x14ac:dyDescent="0.25">
      <c r="C7565" s="42"/>
    </row>
    <row r="7566" spans="3:3" x14ac:dyDescent="0.25">
      <c r="C7566" s="42"/>
    </row>
    <row r="7567" spans="3:3" x14ac:dyDescent="0.25">
      <c r="C7567" s="42"/>
    </row>
    <row r="7568" spans="3:3" x14ac:dyDescent="0.25">
      <c r="C7568" s="42"/>
    </row>
    <row r="7569" spans="3:3" x14ac:dyDescent="0.25">
      <c r="C7569" s="42"/>
    </row>
    <row r="7570" spans="3:3" x14ac:dyDescent="0.25">
      <c r="C7570" s="42"/>
    </row>
    <row r="7571" spans="3:3" x14ac:dyDescent="0.25">
      <c r="C7571" s="42"/>
    </row>
    <row r="7572" spans="3:3" x14ac:dyDescent="0.25">
      <c r="C7572" s="42"/>
    </row>
    <row r="7573" spans="3:3" x14ac:dyDescent="0.25">
      <c r="C7573" s="42"/>
    </row>
    <row r="7574" spans="3:3" x14ac:dyDescent="0.25">
      <c r="C7574" s="42"/>
    </row>
    <row r="7575" spans="3:3" x14ac:dyDescent="0.25">
      <c r="C7575" s="42"/>
    </row>
    <row r="7576" spans="3:3" x14ac:dyDescent="0.25">
      <c r="C7576" s="42"/>
    </row>
    <row r="7577" spans="3:3" x14ac:dyDescent="0.25">
      <c r="C7577" s="42"/>
    </row>
    <row r="7578" spans="3:3" x14ac:dyDescent="0.25">
      <c r="C7578" s="42"/>
    </row>
    <row r="7579" spans="3:3" x14ac:dyDescent="0.25">
      <c r="C7579" s="42"/>
    </row>
    <row r="7580" spans="3:3" x14ac:dyDescent="0.25">
      <c r="C7580" s="42"/>
    </row>
    <row r="7581" spans="3:3" x14ac:dyDescent="0.25">
      <c r="C7581" s="42"/>
    </row>
    <row r="7582" spans="3:3" x14ac:dyDescent="0.25">
      <c r="C7582" s="42"/>
    </row>
    <row r="7583" spans="3:3" x14ac:dyDescent="0.25">
      <c r="C7583" s="42"/>
    </row>
    <row r="7584" spans="3:3" x14ac:dyDescent="0.25">
      <c r="C7584" s="42"/>
    </row>
    <row r="7585" spans="3:3" x14ac:dyDescent="0.25">
      <c r="C7585" s="42"/>
    </row>
    <row r="7586" spans="3:3" x14ac:dyDescent="0.25">
      <c r="C7586" s="42"/>
    </row>
    <row r="7587" spans="3:3" x14ac:dyDescent="0.25">
      <c r="C7587" s="42"/>
    </row>
    <row r="7588" spans="3:3" x14ac:dyDescent="0.25">
      <c r="C7588" s="42"/>
    </row>
    <row r="7589" spans="3:3" x14ac:dyDescent="0.25">
      <c r="C7589" s="42"/>
    </row>
    <row r="7590" spans="3:3" x14ac:dyDescent="0.25">
      <c r="C7590" s="42"/>
    </row>
    <row r="7591" spans="3:3" x14ac:dyDescent="0.25">
      <c r="C7591" s="42"/>
    </row>
    <row r="7592" spans="3:3" x14ac:dyDescent="0.25">
      <c r="C7592" s="42"/>
    </row>
    <row r="7593" spans="3:3" x14ac:dyDescent="0.25">
      <c r="C7593" s="42"/>
    </row>
    <row r="7594" spans="3:3" x14ac:dyDescent="0.25">
      <c r="C7594" s="42"/>
    </row>
    <row r="7595" spans="3:3" x14ac:dyDescent="0.25">
      <c r="C7595" s="42"/>
    </row>
    <row r="7596" spans="3:3" x14ac:dyDescent="0.25">
      <c r="C7596" s="42"/>
    </row>
    <row r="7597" spans="3:3" x14ac:dyDescent="0.25">
      <c r="C7597" s="42"/>
    </row>
    <row r="7598" spans="3:3" x14ac:dyDescent="0.25">
      <c r="C7598" s="42"/>
    </row>
    <row r="7599" spans="3:3" x14ac:dyDescent="0.25">
      <c r="C7599" s="42"/>
    </row>
    <row r="7600" spans="3:3" x14ac:dyDescent="0.25">
      <c r="C7600" s="42"/>
    </row>
    <row r="7601" spans="3:3" x14ac:dyDescent="0.25">
      <c r="C7601" s="42"/>
    </row>
    <row r="7602" spans="3:3" x14ac:dyDescent="0.25">
      <c r="C7602" s="42"/>
    </row>
    <row r="7603" spans="3:3" x14ac:dyDescent="0.25">
      <c r="C7603" s="42"/>
    </row>
    <row r="7604" spans="3:3" x14ac:dyDescent="0.25">
      <c r="C7604" s="42"/>
    </row>
    <row r="7605" spans="3:3" x14ac:dyDescent="0.25">
      <c r="C7605" s="42"/>
    </row>
    <row r="7606" spans="3:3" x14ac:dyDescent="0.25">
      <c r="C7606" s="42"/>
    </row>
    <row r="7607" spans="3:3" x14ac:dyDescent="0.25">
      <c r="C7607" s="42"/>
    </row>
    <row r="7608" spans="3:3" x14ac:dyDescent="0.25">
      <c r="C7608" s="42"/>
    </row>
    <row r="7609" spans="3:3" x14ac:dyDescent="0.25">
      <c r="C7609" s="42"/>
    </row>
    <row r="7610" spans="3:3" x14ac:dyDescent="0.25">
      <c r="C7610" s="42"/>
    </row>
    <row r="7611" spans="3:3" x14ac:dyDescent="0.25">
      <c r="C7611" s="42"/>
    </row>
    <row r="7612" spans="3:3" x14ac:dyDescent="0.25">
      <c r="C7612" s="42"/>
    </row>
    <row r="7613" spans="3:3" x14ac:dyDescent="0.25">
      <c r="C7613" s="42"/>
    </row>
    <row r="7614" spans="3:3" x14ac:dyDescent="0.25">
      <c r="C7614" s="42"/>
    </row>
    <row r="7615" spans="3:3" x14ac:dyDescent="0.25">
      <c r="C7615" s="42"/>
    </row>
    <row r="7616" spans="3:3" x14ac:dyDescent="0.25">
      <c r="C7616" s="42"/>
    </row>
    <row r="7617" spans="3:3" x14ac:dyDescent="0.25">
      <c r="C7617" s="42"/>
    </row>
    <row r="7618" spans="3:3" x14ac:dyDescent="0.25">
      <c r="C7618" s="42"/>
    </row>
    <row r="7619" spans="3:3" x14ac:dyDescent="0.25">
      <c r="C7619" s="42"/>
    </row>
    <row r="7620" spans="3:3" x14ac:dyDescent="0.25">
      <c r="C7620" s="42"/>
    </row>
    <row r="7621" spans="3:3" x14ac:dyDescent="0.25">
      <c r="C7621" s="42"/>
    </row>
    <row r="7622" spans="3:3" x14ac:dyDescent="0.25">
      <c r="C7622" s="42"/>
    </row>
    <row r="7623" spans="3:3" x14ac:dyDescent="0.25">
      <c r="C7623" s="42"/>
    </row>
    <row r="7624" spans="3:3" x14ac:dyDescent="0.25">
      <c r="C7624" s="42"/>
    </row>
    <row r="7625" spans="3:3" x14ac:dyDescent="0.25">
      <c r="C7625" s="42"/>
    </row>
    <row r="7626" spans="3:3" x14ac:dyDescent="0.25">
      <c r="C7626" s="42"/>
    </row>
    <row r="7627" spans="3:3" x14ac:dyDescent="0.25">
      <c r="C7627" s="42"/>
    </row>
    <row r="7628" spans="3:3" x14ac:dyDescent="0.25">
      <c r="C7628" s="42"/>
    </row>
    <row r="7629" spans="3:3" x14ac:dyDescent="0.25">
      <c r="C7629" s="42"/>
    </row>
    <row r="7630" spans="3:3" x14ac:dyDescent="0.25">
      <c r="C7630" s="42"/>
    </row>
    <row r="7631" spans="3:3" x14ac:dyDescent="0.25">
      <c r="C7631" s="42"/>
    </row>
    <row r="7632" spans="3:3" x14ac:dyDescent="0.25">
      <c r="C7632" s="42"/>
    </row>
    <row r="7633" spans="3:3" x14ac:dyDescent="0.25">
      <c r="C7633" s="42"/>
    </row>
    <row r="7634" spans="3:3" x14ac:dyDescent="0.25">
      <c r="C7634" s="42"/>
    </row>
    <row r="7635" spans="3:3" x14ac:dyDescent="0.25">
      <c r="C7635" s="42"/>
    </row>
    <row r="7636" spans="3:3" x14ac:dyDescent="0.25">
      <c r="C7636" s="42"/>
    </row>
    <row r="7637" spans="3:3" x14ac:dyDescent="0.25">
      <c r="C7637" s="42"/>
    </row>
    <row r="7638" spans="3:3" x14ac:dyDescent="0.25">
      <c r="C7638" s="42"/>
    </row>
    <row r="7639" spans="3:3" x14ac:dyDescent="0.25">
      <c r="C7639" s="42"/>
    </row>
    <row r="7640" spans="3:3" x14ac:dyDescent="0.25">
      <c r="C7640" s="42"/>
    </row>
    <row r="7641" spans="3:3" x14ac:dyDescent="0.25">
      <c r="C7641" s="42"/>
    </row>
    <row r="7642" spans="3:3" x14ac:dyDescent="0.25">
      <c r="C7642" s="42"/>
    </row>
    <row r="7643" spans="3:3" x14ac:dyDescent="0.25">
      <c r="C7643" s="42"/>
    </row>
    <row r="7644" spans="3:3" x14ac:dyDescent="0.25">
      <c r="C7644" s="42"/>
    </row>
    <row r="7645" spans="3:3" x14ac:dyDescent="0.25">
      <c r="C7645" s="42"/>
    </row>
    <row r="7646" spans="3:3" x14ac:dyDescent="0.25">
      <c r="C7646" s="42"/>
    </row>
    <row r="7647" spans="3:3" x14ac:dyDescent="0.25">
      <c r="C7647" s="42"/>
    </row>
    <row r="7648" spans="3:3" x14ac:dyDescent="0.25">
      <c r="C7648" s="42"/>
    </row>
    <row r="7649" spans="3:3" x14ac:dyDescent="0.25">
      <c r="C7649" s="42"/>
    </row>
    <row r="7650" spans="3:3" x14ac:dyDescent="0.25">
      <c r="C7650" s="42"/>
    </row>
    <row r="7651" spans="3:3" x14ac:dyDescent="0.25">
      <c r="C7651" s="42"/>
    </row>
    <row r="7652" spans="3:3" x14ac:dyDescent="0.25">
      <c r="C7652" s="42"/>
    </row>
    <row r="7653" spans="3:3" x14ac:dyDescent="0.25">
      <c r="C7653" s="42"/>
    </row>
    <row r="7654" spans="3:3" x14ac:dyDescent="0.25">
      <c r="C7654" s="42"/>
    </row>
    <row r="7655" spans="3:3" x14ac:dyDescent="0.25">
      <c r="C7655" s="42"/>
    </row>
    <row r="7656" spans="3:3" x14ac:dyDescent="0.25">
      <c r="C7656" s="42"/>
    </row>
    <row r="7657" spans="3:3" x14ac:dyDescent="0.25">
      <c r="C7657" s="42"/>
    </row>
    <row r="7658" spans="3:3" x14ac:dyDescent="0.25">
      <c r="C7658" s="42"/>
    </row>
    <row r="7659" spans="3:3" x14ac:dyDescent="0.25">
      <c r="C7659" s="42"/>
    </row>
    <row r="7660" spans="3:3" x14ac:dyDescent="0.25">
      <c r="C7660" s="42"/>
    </row>
    <row r="7661" spans="3:3" x14ac:dyDescent="0.25">
      <c r="C7661" s="42"/>
    </row>
    <row r="7662" spans="3:3" x14ac:dyDescent="0.25">
      <c r="C7662" s="42"/>
    </row>
    <row r="7663" spans="3:3" x14ac:dyDescent="0.25">
      <c r="C7663" s="42"/>
    </row>
    <row r="7664" spans="3:3" x14ac:dyDescent="0.25">
      <c r="C7664" s="42"/>
    </row>
    <row r="7665" spans="3:3" x14ac:dyDescent="0.25">
      <c r="C7665" s="42"/>
    </row>
    <row r="7666" spans="3:3" x14ac:dyDescent="0.25">
      <c r="C7666" s="42"/>
    </row>
    <row r="7667" spans="3:3" x14ac:dyDescent="0.25">
      <c r="C7667" s="42"/>
    </row>
    <row r="7668" spans="3:3" x14ac:dyDescent="0.25">
      <c r="C7668" s="42"/>
    </row>
    <row r="7669" spans="3:3" x14ac:dyDescent="0.25">
      <c r="C7669" s="42"/>
    </row>
    <row r="7670" spans="3:3" x14ac:dyDescent="0.25">
      <c r="C7670" s="42"/>
    </row>
    <row r="7671" spans="3:3" x14ac:dyDescent="0.25">
      <c r="C7671" s="42"/>
    </row>
    <row r="7672" spans="3:3" x14ac:dyDescent="0.25">
      <c r="C7672" s="42"/>
    </row>
    <row r="7673" spans="3:3" x14ac:dyDescent="0.25">
      <c r="C7673" s="42"/>
    </row>
    <row r="7674" spans="3:3" x14ac:dyDescent="0.25">
      <c r="C7674" s="42"/>
    </row>
    <row r="7675" spans="3:3" x14ac:dyDescent="0.25">
      <c r="C7675" s="42"/>
    </row>
    <row r="7676" spans="3:3" x14ac:dyDescent="0.25">
      <c r="C7676" s="42"/>
    </row>
    <row r="7677" spans="3:3" x14ac:dyDescent="0.25">
      <c r="C7677" s="42"/>
    </row>
    <row r="7678" spans="3:3" x14ac:dyDescent="0.25">
      <c r="C7678" s="42"/>
    </row>
    <row r="7679" spans="3:3" x14ac:dyDescent="0.25">
      <c r="C7679" s="42"/>
    </row>
    <row r="7680" spans="3:3" x14ac:dyDescent="0.25">
      <c r="C7680" s="42"/>
    </row>
    <row r="7681" spans="3:3" x14ac:dyDescent="0.25">
      <c r="C7681" s="42"/>
    </row>
    <row r="7682" spans="3:3" x14ac:dyDescent="0.25">
      <c r="C7682" s="42"/>
    </row>
    <row r="7683" spans="3:3" x14ac:dyDescent="0.25">
      <c r="C7683" s="42"/>
    </row>
    <row r="7684" spans="3:3" x14ac:dyDescent="0.25">
      <c r="C7684" s="42"/>
    </row>
    <row r="7685" spans="3:3" x14ac:dyDescent="0.25">
      <c r="C7685" s="42"/>
    </row>
    <row r="7686" spans="3:3" x14ac:dyDescent="0.25">
      <c r="C7686" s="42"/>
    </row>
    <row r="7687" spans="3:3" x14ac:dyDescent="0.25">
      <c r="C7687" s="42"/>
    </row>
    <row r="7688" spans="3:3" x14ac:dyDescent="0.25">
      <c r="C7688" s="42"/>
    </row>
    <row r="7689" spans="3:3" x14ac:dyDescent="0.25">
      <c r="C7689" s="42"/>
    </row>
    <row r="7690" spans="3:3" x14ac:dyDescent="0.25">
      <c r="C7690" s="42"/>
    </row>
    <row r="7691" spans="3:3" x14ac:dyDescent="0.25">
      <c r="C7691" s="42"/>
    </row>
    <row r="7692" spans="3:3" x14ac:dyDescent="0.25">
      <c r="C7692" s="42"/>
    </row>
    <row r="7693" spans="3:3" x14ac:dyDescent="0.25">
      <c r="C7693" s="42"/>
    </row>
    <row r="7694" spans="3:3" x14ac:dyDescent="0.25">
      <c r="C7694" s="42"/>
    </row>
    <row r="7695" spans="3:3" x14ac:dyDescent="0.25">
      <c r="C7695" s="42"/>
    </row>
    <row r="7696" spans="3:3" x14ac:dyDescent="0.25">
      <c r="C7696" s="42"/>
    </row>
    <row r="7697" spans="3:3" x14ac:dyDescent="0.25">
      <c r="C7697" s="42"/>
    </row>
    <row r="7698" spans="3:3" x14ac:dyDescent="0.25">
      <c r="C7698" s="42"/>
    </row>
    <row r="7699" spans="3:3" x14ac:dyDescent="0.25">
      <c r="C7699" s="42"/>
    </row>
    <row r="7700" spans="3:3" x14ac:dyDescent="0.25">
      <c r="C7700" s="42"/>
    </row>
    <row r="7701" spans="3:3" x14ac:dyDescent="0.25">
      <c r="C7701" s="42"/>
    </row>
    <row r="7702" spans="3:3" x14ac:dyDescent="0.25">
      <c r="C7702" s="42"/>
    </row>
    <row r="7703" spans="3:3" x14ac:dyDescent="0.25">
      <c r="C7703" s="42"/>
    </row>
    <row r="7704" spans="3:3" x14ac:dyDescent="0.25">
      <c r="C7704" s="42"/>
    </row>
    <row r="7705" spans="3:3" x14ac:dyDescent="0.25">
      <c r="C7705" s="42"/>
    </row>
    <row r="7706" spans="3:3" x14ac:dyDescent="0.25">
      <c r="C7706" s="42"/>
    </row>
    <row r="7707" spans="3:3" x14ac:dyDescent="0.25">
      <c r="C7707" s="42"/>
    </row>
    <row r="7708" spans="3:3" x14ac:dyDescent="0.25">
      <c r="C7708" s="42"/>
    </row>
    <row r="7709" spans="3:3" x14ac:dyDescent="0.25">
      <c r="C7709" s="42"/>
    </row>
    <row r="7710" spans="3:3" x14ac:dyDescent="0.25">
      <c r="C7710" s="42"/>
    </row>
    <row r="7711" spans="3:3" x14ac:dyDescent="0.25">
      <c r="C7711" s="42"/>
    </row>
    <row r="7712" spans="3:3" x14ac:dyDescent="0.25">
      <c r="C7712" s="42"/>
    </row>
    <row r="7713" spans="3:3" x14ac:dyDescent="0.25">
      <c r="C7713" s="42"/>
    </row>
    <row r="7714" spans="3:3" x14ac:dyDescent="0.25">
      <c r="C7714" s="42"/>
    </row>
    <row r="7715" spans="3:3" x14ac:dyDescent="0.25">
      <c r="C7715" s="42"/>
    </row>
    <row r="7716" spans="3:3" x14ac:dyDescent="0.25">
      <c r="C7716" s="42"/>
    </row>
    <row r="7717" spans="3:3" x14ac:dyDescent="0.25">
      <c r="C7717" s="42"/>
    </row>
    <row r="7718" spans="3:3" x14ac:dyDescent="0.25">
      <c r="C7718" s="42"/>
    </row>
    <row r="7719" spans="3:3" x14ac:dyDescent="0.25">
      <c r="C7719" s="42"/>
    </row>
    <row r="7720" spans="3:3" x14ac:dyDescent="0.25">
      <c r="C7720" s="42"/>
    </row>
    <row r="7721" spans="3:3" x14ac:dyDescent="0.25">
      <c r="C7721" s="42"/>
    </row>
    <row r="7722" spans="3:3" x14ac:dyDescent="0.25">
      <c r="C7722" s="42"/>
    </row>
    <row r="7723" spans="3:3" x14ac:dyDescent="0.25">
      <c r="C7723" s="42"/>
    </row>
    <row r="7724" spans="3:3" x14ac:dyDescent="0.25">
      <c r="C7724" s="42"/>
    </row>
    <row r="7725" spans="3:3" x14ac:dyDescent="0.25">
      <c r="C7725" s="42"/>
    </row>
    <row r="7726" spans="3:3" x14ac:dyDescent="0.25">
      <c r="C7726" s="42"/>
    </row>
    <row r="7727" spans="3:3" x14ac:dyDescent="0.25">
      <c r="C7727" s="42"/>
    </row>
    <row r="7728" spans="3:3" x14ac:dyDescent="0.25">
      <c r="C7728" s="42"/>
    </row>
    <row r="7729" spans="3:3" x14ac:dyDescent="0.25">
      <c r="C7729" s="42"/>
    </row>
    <row r="7730" spans="3:3" x14ac:dyDescent="0.25">
      <c r="C7730" s="42"/>
    </row>
    <row r="7731" spans="3:3" x14ac:dyDescent="0.25">
      <c r="C7731" s="42"/>
    </row>
    <row r="7732" spans="3:3" x14ac:dyDescent="0.25">
      <c r="C7732" s="42"/>
    </row>
    <row r="7733" spans="3:3" x14ac:dyDescent="0.25">
      <c r="C7733" s="42"/>
    </row>
    <row r="7734" spans="3:3" x14ac:dyDescent="0.25">
      <c r="C7734" s="42"/>
    </row>
    <row r="7735" spans="3:3" x14ac:dyDescent="0.25">
      <c r="C7735" s="42"/>
    </row>
    <row r="7736" spans="3:3" x14ac:dyDescent="0.25">
      <c r="C7736" s="42"/>
    </row>
    <row r="7737" spans="3:3" x14ac:dyDescent="0.25">
      <c r="C7737" s="42"/>
    </row>
    <row r="7738" spans="3:3" x14ac:dyDescent="0.25">
      <c r="C7738" s="42"/>
    </row>
    <row r="7739" spans="3:3" x14ac:dyDescent="0.25">
      <c r="C7739" s="42"/>
    </row>
    <row r="7740" spans="3:3" x14ac:dyDescent="0.25">
      <c r="C7740" s="42"/>
    </row>
    <row r="7741" spans="3:3" x14ac:dyDescent="0.25">
      <c r="C7741" s="42"/>
    </row>
    <row r="7742" spans="3:3" x14ac:dyDescent="0.25">
      <c r="C7742" s="42"/>
    </row>
    <row r="7743" spans="3:3" x14ac:dyDescent="0.25">
      <c r="C7743" s="42"/>
    </row>
    <row r="7744" spans="3:3" x14ac:dyDescent="0.25">
      <c r="C7744" s="42"/>
    </row>
    <row r="7745" spans="3:3" x14ac:dyDescent="0.25">
      <c r="C7745" s="42"/>
    </row>
    <row r="7746" spans="3:3" x14ac:dyDescent="0.25">
      <c r="C7746" s="42"/>
    </row>
    <row r="7747" spans="3:3" x14ac:dyDescent="0.25">
      <c r="C7747" s="42"/>
    </row>
    <row r="7748" spans="3:3" x14ac:dyDescent="0.25">
      <c r="C7748" s="42"/>
    </row>
    <row r="7749" spans="3:3" x14ac:dyDescent="0.25">
      <c r="C7749" s="42"/>
    </row>
    <row r="7750" spans="3:3" x14ac:dyDescent="0.25">
      <c r="C7750" s="42"/>
    </row>
    <row r="7751" spans="3:3" x14ac:dyDescent="0.25">
      <c r="C7751" s="42"/>
    </row>
    <row r="7752" spans="3:3" x14ac:dyDescent="0.25">
      <c r="C7752" s="42"/>
    </row>
    <row r="7753" spans="3:3" x14ac:dyDescent="0.25">
      <c r="C7753" s="42"/>
    </row>
    <row r="7754" spans="3:3" x14ac:dyDescent="0.25">
      <c r="C7754" s="42"/>
    </row>
    <row r="7755" spans="3:3" x14ac:dyDescent="0.25">
      <c r="C7755" s="42"/>
    </row>
    <row r="7756" spans="3:3" x14ac:dyDescent="0.25">
      <c r="C7756" s="42"/>
    </row>
    <row r="7757" spans="3:3" x14ac:dyDescent="0.25">
      <c r="C7757" s="42"/>
    </row>
    <row r="7758" spans="3:3" x14ac:dyDescent="0.25">
      <c r="C7758" s="42"/>
    </row>
    <row r="7759" spans="3:3" x14ac:dyDescent="0.25">
      <c r="C7759" s="42"/>
    </row>
    <row r="7760" spans="3:3" x14ac:dyDescent="0.25">
      <c r="C7760" s="42"/>
    </row>
    <row r="7761" spans="3:3" x14ac:dyDescent="0.25">
      <c r="C7761" s="42"/>
    </row>
    <row r="7762" spans="3:3" x14ac:dyDescent="0.25">
      <c r="C7762" s="42"/>
    </row>
    <row r="7763" spans="3:3" x14ac:dyDescent="0.25">
      <c r="C7763" s="42"/>
    </row>
    <row r="7764" spans="3:3" x14ac:dyDescent="0.25">
      <c r="C7764" s="42"/>
    </row>
    <row r="7765" spans="3:3" x14ac:dyDescent="0.25">
      <c r="C7765" s="42"/>
    </row>
    <row r="7766" spans="3:3" x14ac:dyDescent="0.25">
      <c r="C7766" s="42"/>
    </row>
    <row r="7767" spans="3:3" x14ac:dyDescent="0.25">
      <c r="C7767" s="42"/>
    </row>
    <row r="7768" spans="3:3" x14ac:dyDescent="0.25">
      <c r="C7768" s="42"/>
    </row>
    <row r="7769" spans="3:3" x14ac:dyDescent="0.25">
      <c r="C7769" s="42"/>
    </row>
    <row r="7770" spans="3:3" x14ac:dyDescent="0.25">
      <c r="C7770" s="42"/>
    </row>
    <row r="7771" spans="3:3" x14ac:dyDescent="0.25">
      <c r="C7771" s="42"/>
    </row>
    <row r="7772" spans="3:3" x14ac:dyDescent="0.25">
      <c r="C7772" s="42"/>
    </row>
    <row r="7773" spans="3:3" x14ac:dyDescent="0.25">
      <c r="C7773" s="42"/>
    </row>
    <row r="7774" spans="3:3" x14ac:dyDescent="0.25">
      <c r="C7774" s="42"/>
    </row>
    <row r="7775" spans="3:3" x14ac:dyDescent="0.25">
      <c r="C7775" s="42"/>
    </row>
    <row r="7776" spans="3:3" x14ac:dyDescent="0.25">
      <c r="C7776" s="42"/>
    </row>
    <row r="7777" spans="3:3" x14ac:dyDescent="0.25">
      <c r="C7777" s="42"/>
    </row>
    <row r="7778" spans="3:3" x14ac:dyDescent="0.25">
      <c r="C7778" s="42"/>
    </row>
    <row r="7779" spans="3:3" x14ac:dyDescent="0.25">
      <c r="C7779" s="42"/>
    </row>
    <row r="7780" spans="3:3" x14ac:dyDescent="0.25">
      <c r="C7780" s="42"/>
    </row>
    <row r="7781" spans="3:3" x14ac:dyDescent="0.25">
      <c r="C7781" s="42"/>
    </row>
    <row r="7782" spans="3:3" x14ac:dyDescent="0.25">
      <c r="C7782" s="42"/>
    </row>
    <row r="7783" spans="3:3" x14ac:dyDescent="0.25">
      <c r="C7783" s="42"/>
    </row>
    <row r="7784" spans="3:3" x14ac:dyDescent="0.25">
      <c r="C7784" s="42"/>
    </row>
    <row r="7785" spans="3:3" x14ac:dyDescent="0.25">
      <c r="C7785" s="42"/>
    </row>
    <row r="7786" spans="3:3" x14ac:dyDescent="0.25">
      <c r="C7786" s="42"/>
    </row>
    <row r="7787" spans="3:3" x14ac:dyDescent="0.25">
      <c r="C7787" s="42"/>
    </row>
    <row r="7788" spans="3:3" x14ac:dyDescent="0.25">
      <c r="C7788" s="42"/>
    </row>
    <row r="7789" spans="3:3" x14ac:dyDescent="0.25">
      <c r="C7789" s="42"/>
    </row>
    <row r="7790" spans="3:3" x14ac:dyDescent="0.25">
      <c r="C7790" s="42"/>
    </row>
    <row r="7791" spans="3:3" x14ac:dyDescent="0.25">
      <c r="C7791" s="42"/>
    </row>
    <row r="7792" spans="3:3" x14ac:dyDescent="0.25">
      <c r="C7792" s="42"/>
    </row>
    <row r="7793" spans="3:3" x14ac:dyDescent="0.25">
      <c r="C7793" s="42"/>
    </row>
    <row r="7794" spans="3:3" x14ac:dyDescent="0.25">
      <c r="C7794" s="42"/>
    </row>
    <row r="7795" spans="3:3" x14ac:dyDescent="0.25">
      <c r="C7795" s="42"/>
    </row>
    <row r="7796" spans="3:3" x14ac:dyDescent="0.25">
      <c r="C7796" s="42"/>
    </row>
    <row r="7797" spans="3:3" x14ac:dyDescent="0.25">
      <c r="C7797" s="42"/>
    </row>
    <row r="7798" spans="3:3" x14ac:dyDescent="0.25">
      <c r="C7798" s="42"/>
    </row>
    <row r="7799" spans="3:3" x14ac:dyDescent="0.25">
      <c r="C7799" s="42"/>
    </row>
    <row r="7800" spans="3:3" x14ac:dyDescent="0.25">
      <c r="C7800" s="42"/>
    </row>
    <row r="7801" spans="3:3" x14ac:dyDescent="0.25">
      <c r="C7801" s="42"/>
    </row>
    <row r="7802" spans="3:3" x14ac:dyDescent="0.25">
      <c r="C7802" s="42"/>
    </row>
    <row r="7803" spans="3:3" x14ac:dyDescent="0.25">
      <c r="C7803" s="42"/>
    </row>
    <row r="7804" spans="3:3" x14ac:dyDescent="0.25">
      <c r="C7804" s="42"/>
    </row>
    <row r="7805" spans="3:3" x14ac:dyDescent="0.25">
      <c r="C7805" s="42"/>
    </row>
    <row r="7806" spans="3:3" x14ac:dyDescent="0.25">
      <c r="C7806" s="42"/>
    </row>
    <row r="7807" spans="3:3" x14ac:dyDescent="0.25">
      <c r="C7807" s="42"/>
    </row>
    <row r="7808" spans="3:3" x14ac:dyDescent="0.25">
      <c r="C7808" s="42"/>
    </row>
    <row r="7809" spans="3:3" x14ac:dyDescent="0.25">
      <c r="C7809" s="42"/>
    </row>
    <row r="7810" spans="3:3" x14ac:dyDescent="0.25">
      <c r="C7810" s="42"/>
    </row>
    <row r="7811" spans="3:3" x14ac:dyDescent="0.25">
      <c r="C7811" s="42"/>
    </row>
    <row r="7812" spans="3:3" x14ac:dyDescent="0.25">
      <c r="C7812" s="42"/>
    </row>
    <row r="7813" spans="3:3" x14ac:dyDescent="0.25">
      <c r="C7813" s="42"/>
    </row>
    <row r="7814" spans="3:3" x14ac:dyDescent="0.25">
      <c r="C7814" s="42"/>
    </row>
    <row r="7815" spans="3:3" x14ac:dyDescent="0.25">
      <c r="C7815" s="42"/>
    </row>
    <row r="7816" spans="3:3" x14ac:dyDescent="0.25">
      <c r="C7816" s="42"/>
    </row>
    <row r="7817" spans="3:3" x14ac:dyDescent="0.25">
      <c r="C7817" s="42"/>
    </row>
    <row r="7818" spans="3:3" x14ac:dyDescent="0.25">
      <c r="C7818" s="42"/>
    </row>
    <row r="7819" spans="3:3" x14ac:dyDescent="0.25">
      <c r="C7819" s="42"/>
    </row>
    <row r="7820" spans="3:3" x14ac:dyDescent="0.25">
      <c r="C7820" s="42"/>
    </row>
    <row r="7821" spans="3:3" x14ac:dyDescent="0.25">
      <c r="C7821" s="42"/>
    </row>
    <row r="7822" spans="3:3" x14ac:dyDescent="0.25">
      <c r="C7822" s="42"/>
    </row>
    <row r="7823" spans="3:3" x14ac:dyDescent="0.25">
      <c r="C7823" s="42"/>
    </row>
    <row r="7824" spans="3:3" x14ac:dyDescent="0.25">
      <c r="C7824" s="42"/>
    </row>
    <row r="7825" spans="3:3" x14ac:dyDescent="0.25">
      <c r="C7825" s="42"/>
    </row>
    <row r="7826" spans="3:3" x14ac:dyDescent="0.25">
      <c r="C7826" s="42"/>
    </row>
    <row r="7827" spans="3:3" x14ac:dyDescent="0.25">
      <c r="C7827" s="42"/>
    </row>
    <row r="7828" spans="3:3" x14ac:dyDescent="0.25">
      <c r="C7828" s="42"/>
    </row>
    <row r="7829" spans="3:3" x14ac:dyDescent="0.25">
      <c r="C7829" s="42"/>
    </row>
    <row r="7830" spans="3:3" x14ac:dyDescent="0.25">
      <c r="C7830" s="42"/>
    </row>
    <row r="7831" spans="3:3" x14ac:dyDescent="0.25">
      <c r="C7831" s="42"/>
    </row>
    <row r="7832" spans="3:3" x14ac:dyDescent="0.25">
      <c r="C7832" s="42"/>
    </row>
    <row r="7833" spans="3:3" x14ac:dyDescent="0.25">
      <c r="C7833" s="42"/>
    </row>
    <row r="7834" spans="3:3" x14ac:dyDescent="0.25">
      <c r="C7834" s="42"/>
    </row>
    <row r="7835" spans="3:3" x14ac:dyDescent="0.25">
      <c r="C7835" s="42"/>
    </row>
    <row r="7836" spans="3:3" x14ac:dyDescent="0.25">
      <c r="C7836" s="42"/>
    </row>
    <row r="7837" spans="3:3" x14ac:dyDescent="0.25">
      <c r="C7837" s="42"/>
    </row>
    <row r="7838" spans="3:3" x14ac:dyDescent="0.25">
      <c r="C7838" s="42"/>
    </row>
    <row r="7839" spans="3:3" x14ac:dyDescent="0.25">
      <c r="C7839" s="42"/>
    </row>
    <row r="7840" spans="3:3" x14ac:dyDescent="0.25">
      <c r="C7840" s="42"/>
    </row>
    <row r="7841" spans="3:3" x14ac:dyDescent="0.25">
      <c r="C7841" s="42"/>
    </row>
    <row r="7842" spans="3:3" x14ac:dyDescent="0.25">
      <c r="C7842" s="42"/>
    </row>
    <row r="7843" spans="3:3" x14ac:dyDescent="0.25">
      <c r="C7843" s="42"/>
    </row>
    <row r="7844" spans="3:3" x14ac:dyDescent="0.25">
      <c r="C7844" s="42"/>
    </row>
    <row r="7845" spans="3:3" x14ac:dyDescent="0.25">
      <c r="C7845" s="42"/>
    </row>
    <row r="7846" spans="3:3" x14ac:dyDescent="0.25">
      <c r="C7846" s="42"/>
    </row>
    <row r="7847" spans="3:3" x14ac:dyDescent="0.25">
      <c r="C7847" s="42"/>
    </row>
    <row r="7848" spans="3:3" x14ac:dyDescent="0.25">
      <c r="C7848" s="42"/>
    </row>
    <row r="7849" spans="3:3" x14ac:dyDescent="0.25">
      <c r="C7849" s="42"/>
    </row>
    <row r="7850" spans="3:3" x14ac:dyDescent="0.25">
      <c r="C7850" s="42"/>
    </row>
    <row r="7851" spans="3:3" x14ac:dyDescent="0.25">
      <c r="C7851" s="42"/>
    </row>
    <row r="7852" spans="3:3" x14ac:dyDescent="0.25">
      <c r="C7852" s="42"/>
    </row>
    <row r="7853" spans="3:3" x14ac:dyDescent="0.25">
      <c r="C7853" s="42"/>
    </row>
    <row r="7854" spans="3:3" x14ac:dyDescent="0.25">
      <c r="C7854" s="42"/>
    </row>
    <row r="7855" spans="3:3" x14ac:dyDescent="0.25">
      <c r="C7855" s="42"/>
    </row>
    <row r="7856" spans="3:3" x14ac:dyDescent="0.25">
      <c r="C7856" s="42"/>
    </row>
    <row r="7857" spans="3:3" x14ac:dyDescent="0.25">
      <c r="C7857" s="42"/>
    </row>
    <row r="7858" spans="3:3" x14ac:dyDescent="0.25">
      <c r="C7858" s="42"/>
    </row>
    <row r="7859" spans="3:3" x14ac:dyDescent="0.25">
      <c r="C7859" s="42"/>
    </row>
    <row r="7860" spans="3:3" x14ac:dyDescent="0.25">
      <c r="C7860" s="42"/>
    </row>
    <row r="7861" spans="3:3" x14ac:dyDescent="0.25">
      <c r="C7861" s="42"/>
    </row>
    <row r="7862" spans="3:3" x14ac:dyDescent="0.25">
      <c r="C7862" s="42"/>
    </row>
    <row r="7863" spans="3:3" x14ac:dyDescent="0.25">
      <c r="C7863" s="42"/>
    </row>
    <row r="7864" spans="3:3" x14ac:dyDescent="0.25">
      <c r="C7864" s="42"/>
    </row>
    <row r="7865" spans="3:3" x14ac:dyDescent="0.25">
      <c r="C7865" s="42"/>
    </row>
    <row r="7866" spans="3:3" x14ac:dyDescent="0.25">
      <c r="C7866" s="42"/>
    </row>
    <row r="7867" spans="3:3" x14ac:dyDescent="0.25">
      <c r="C7867" s="42"/>
    </row>
    <row r="7868" spans="3:3" x14ac:dyDescent="0.25">
      <c r="C7868" s="42"/>
    </row>
    <row r="7869" spans="3:3" x14ac:dyDescent="0.25">
      <c r="C7869" s="42"/>
    </row>
    <row r="7870" spans="3:3" x14ac:dyDescent="0.25">
      <c r="C7870" s="42"/>
    </row>
    <row r="7871" spans="3:3" x14ac:dyDescent="0.25">
      <c r="C7871" s="42"/>
    </row>
    <row r="7872" spans="3:3" x14ac:dyDescent="0.25">
      <c r="C7872" s="42"/>
    </row>
    <row r="7873" spans="3:3" x14ac:dyDescent="0.25">
      <c r="C7873" s="42"/>
    </row>
    <row r="7874" spans="3:3" x14ac:dyDescent="0.25">
      <c r="C7874" s="42"/>
    </row>
    <row r="7875" spans="3:3" x14ac:dyDescent="0.25">
      <c r="C7875" s="42"/>
    </row>
    <row r="7876" spans="3:3" x14ac:dyDescent="0.25">
      <c r="C7876" s="42"/>
    </row>
    <row r="7877" spans="3:3" x14ac:dyDescent="0.25">
      <c r="C7877" s="42"/>
    </row>
    <row r="7878" spans="3:3" x14ac:dyDescent="0.25">
      <c r="C7878" s="42"/>
    </row>
    <row r="7879" spans="3:3" x14ac:dyDescent="0.25">
      <c r="C7879" s="42"/>
    </row>
    <row r="7880" spans="3:3" x14ac:dyDescent="0.25">
      <c r="C7880" s="42"/>
    </row>
    <row r="7881" spans="3:3" x14ac:dyDescent="0.25">
      <c r="C7881" s="42"/>
    </row>
    <row r="7882" spans="3:3" x14ac:dyDescent="0.25">
      <c r="C7882" s="42"/>
    </row>
    <row r="7883" spans="3:3" x14ac:dyDescent="0.25">
      <c r="C7883" s="42"/>
    </row>
    <row r="7884" spans="3:3" x14ac:dyDescent="0.25">
      <c r="C7884" s="42"/>
    </row>
    <row r="7885" spans="3:3" x14ac:dyDescent="0.25">
      <c r="C7885" s="42"/>
    </row>
    <row r="7886" spans="3:3" x14ac:dyDescent="0.25">
      <c r="C7886" s="42"/>
    </row>
    <row r="7887" spans="3:3" x14ac:dyDescent="0.25">
      <c r="C7887" s="42"/>
    </row>
    <row r="7888" spans="3:3" x14ac:dyDescent="0.25">
      <c r="C7888" s="42"/>
    </row>
    <row r="7889" spans="3:3" x14ac:dyDescent="0.25">
      <c r="C7889" s="42"/>
    </row>
    <row r="7890" spans="3:3" x14ac:dyDescent="0.25">
      <c r="C7890" s="42"/>
    </row>
    <row r="7891" spans="3:3" x14ac:dyDescent="0.25">
      <c r="C7891" s="42"/>
    </row>
    <row r="7892" spans="3:3" x14ac:dyDescent="0.25">
      <c r="C7892" s="42"/>
    </row>
    <row r="7893" spans="3:3" x14ac:dyDescent="0.25">
      <c r="C7893" s="42"/>
    </row>
    <row r="7894" spans="3:3" x14ac:dyDescent="0.25">
      <c r="C7894" s="42"/>
    </row>
    <row r="7895" spans="3:3" x14ac:dyDescent="0.25">
      <c r="C7895" s="42"/>
    </row>
    <row r="7896" spans="3:3" x14ac:dyDescent="0.25">
      <c r="C7896" s="42"/>
    </row>
    <row r="7897" spans="3:3" x14ac:dyDescent="0.25">
      <c r="C7897" s="42"/>
    </row>
    <row r="7898" spans="3:3" x14ac:dyDescent="0.25">
      <c r="C7898" s="42"/>
    </row>
    <row r="7899" spans="3:3" x14ac:dyDescent="0.25">
      <c r="C7899" s="42"/>
    </row>
    <row r="7900" spans="3:3" x14ac:dyDescent="0.25">
      <c r="C7900" s="42"/>
    </row>
    <row r="7901" spans="3:3" x14ac:dyDescent="0.25">
      <c r="C7901" s="42"/>
    </row>
    <row r="7902" spans="3:3" x14ac:dyDescent="0.25">
      <c r="C7902" s="42"/>
    </row>
    <row r="7903" spans="3:3" x14ac:dyDescent="0.25">
      <c r="C7903" s="42"/>
    </row>
    <row r="7904" spans="3:3" x14ac:dyDescent="0.25">
      <c r="C7904" s="42"/>
    </row>
    <row r="7905" spans="3:3" x14ac:dyDescent="0.25">
      <c r="C7905" s="42"/>
    </row>
    <row r="7906" spans="3:3" x14ac:dyDescent="0.25">
      <c r="C7906" s="42"/>
    </row>
    <row r="7907" spans="3:3" x14ac:dyDescent="0.25">
      <c r="C7907" s="42"/>
    </row>
    <row r="7908" spans="3:3" x14ac:dyDescent="0.25">
      <c r="C7908" s="42"/>
    </row>
    <row r="7909" spans="3:3" x14ac:dyDescent="0.25">
      <c r="C7909" s="42"/>
    </row>
    <row r="7910" spans="3:3" x14ac:dyDescent="0.25">
      <c r="C7910" s="42"/>
    </row>
    <row r="7911" spans="3:3" x14ac:dyDescent="0.25">
      <c r="C7911" s="42"/>
    </row>
    <row r="7912" spans="3:3" x14ac:dyDescent="0.25">
      <c r="C7912" s="42"/>
    </row>
    <row r="7913" spans="3:3" x14ac:dyDescent="0.25">
      <c r="C7913" s="42"/>
    </row>
    <row r="7914" spans="3:3" x14ac:dyDescent="0.25">
      <c r="C7914" s="42"/>
    </row>
    <row r="7915" spans="3:3" x14ac:dyDescent="0.25">
      <c r="C7915" s="42"/>
    </row>
    <row r="7916" spans="3:3" x14ac:dyDescent="0.25">
      <c r="C7916" s="42"/>
    </row>
    <row r="7917" spans="3:3" x14ac:dyDescent="0.25">
      <c r="C7917" s="42"/>
    </row>
    <row r="7918" spans="3:3" x14ac:dyDescent="0.25">
      <c r="C7918" s="42"/>
    </row>
    <row r="7919" spans="3:3" x14ac:dyDescent="0.25">
      <c r="C7919" s="42"/>
    </row>
    <row r="7920" spans="3:3" x14ac:dyDescent="0.25">
      <c r="C7920" s="42"/>
    </row>
    <row r="7921" spans="3:3" x14ac:dyDescent="0.25">
      <c r="C7921" s="42"/>
    </row>
    <row r="7922" spans="3:3" x14ac:dyDescent="0.25">
      <c r="C7922" s="42"/>
    </row>
    <row r="7923" spans="3:3" x14ac:dyDescent="0.25">
      <c r="C7923" s="42"/>
    </row>
    <row r="7924" spans="3:3" x14ac:dyDescent="0.25">
      <c r="C7924" s="42"/>
    </row>
    <row r="7925" spans="3:3" x14ac:dyDescent="0.25">
      <c r="C7925" s="42"/>
    </row>
    <row r="7926" spans="3:3" x14ac:dyDescent="0.25">
      <c r="C7926" s="42"/>
    </row>
    <row r="7927" spans="3:3" x14ac:dyDescent="0.25">
      <c r="C7927" s="42"/>
    </row>
    <row r="7928" spans="3:3" x14ac:dyDescent="0.25">
      <c r="C7928" s="42"/>
    </row>
    <row r="7929" spans="3:3" x14ac:dyDescent="0.25">
      <c r="C7929" s="42"/>
    </row>
    <row r="7930" spans="3:3" x14ac:dyDescent="0.25">
      <c r="C7930" s="42"/>
    </row>
    <row r="7931" spans="3:3" x14ac:dyDescent="0.25">
      <c r="C7931" s="42"/>
    </row>
    <row r="7932" spans="3:3" x14ac:dyDescent="0.25">
      <c r="C7932" s="42"/>
    </row>
    <row r="7933" spans="3:3" x14ac:dyDescent="0.25">
      <c r="C7933" s="42"/>
    </row>
    <row r="7934" spans="3:3" x14ac:dyDescent="0.25">
      <c r="C7934" s="42"/>
    </row>
    <row r="7935" spans="3:3" x14ac:dyDescent="0.25">
      <c r="C7935" s="42"/>
    </row>
    <row r="7936" spans="3:3" x14ac:dyDescent="0.25">
      <c r="C7936" s="42"/>
    </row>
    <row r="7937" spans="3:3" x14ac:dyDescent="0.25">
      <c r="C7937" s="42"/>
    </row>
    <row r="7938" spans="3:3" x14ac:dyDescent="0.25">
      <c r="C7938" s="42"/>
    </row>
    <row r="7939" spans="3:3" x14ac:dyDescent="0.25">
      <c r="C7939" s="42"/>
    </row>
    <row r="7940" spans="3:3" x14ac:dyDescent="0.25">
      <c r="C7940" s="42"/>
    </row>
    <row r="7941" spans="3:3" x14ac:dyDescent="0.25">
      <c r="C7941" s="42"/>
    </row>
    <row r="7942" spans="3:3" x14ac:dyDescent="0.25">
      <c r="C7942" s="42"/>
    </row>
    <row r="7943" spans="3:3" x14ac:dyDescent="0.25">
      <c r="C7943" s="42"/>
    </row>
    <row r="7944" spans="3:3" x14ac:dyDescent="0.25">
      <c r="C7944" s="42"/>
    </row>
    <row r="7945" spans="3:3" x14ac:dyDescent="0.25">
      <c r="C7945" s="42"/>
    </row>
    <row r="7946" spans="3:3" x14ac:dyDescent="0.25">
      <c r="C7946" s="42"/>
    </row>
    <row r="7947" spans="3:3" x14ac:dyDescent="0.25">
      <c r="C7947" s="42"/>
    </row>
    <row r="7948" spans="3:3" x14ac:dyDescent="0.25">
      <c r="C7948" s="42"/>
    </row>
    <row r="7949" spans="3:3" x14ac:dyDescent="0.25">
      <c r="C7949" s="42"/>
    </row>
    <row r="7950" spans="3:3" x14ac:dyDescent="0.25">
      <c r="C7950" s="42"/>
    </row>
    <row r="7951" spans="3:3" x14ac:dyDescent="0.25">
      <c r="C7951" s="42"/>
    </row>
    <row r="7952" spans="3:3" x14ac:dyDescent="0.25">
      <c r="C7952" s="42"/>
    </row>
    <row r="7953" spans="3:3" x14ac:dyDescent="0.25">
      <c r="C7953" s="42"/>
    </row>
    <row r="7954" spans="3:3" x14ac:dyDescent="0.25">
      <c r="C7954" s="42"/>
    </row>
    <row r="7955" spans="3:3" x14ac:dyDescent="0.25">
      <c r="C7955" s="42"/>
    </row>
    <row r="7956" spans="3:3" x14ac:dyDescent="0.25">
      <c r="C7956" s="42"/>
    </row>
    <row r="7957" spans="3:3" x14ac:dyDescent="0.25">
      <c r="C7957" s="42"/>
    </row>
    <row r="7958" spans="3:3" x14ac:dyDescent="0.25">
      <c r="C7958" s="42"/>
    </row>
    <row r="7959" spans="3:3" x14ac:dyDescent="0.25">
      <c r="C7959" s="42"/>
    </row>
    <row r="7960" spans="3:3" x14ac:dyDescent="0.25">
      <c r="C7960" s="42"/>
    </row>
    <row r="7961" spans="3:3" x14ac:dyDescent="0.25">
      <c r="C7961" s="42"/>
    </row>
    <row r="7962" spans="3:3" x14ac:dyDescent="0.25">
      <c r="C7962" s="42"/>
    </row>
    <row r="7963" spans="3:3" x14ac:dyDescent="0.25">
      <c r="C7963" s="42"/>
    </row>
    <row r="7964" spans="3:3" x14ac:dyDescent="0.25">
      <c r="C7964" s="42"/>
    </row>
    <row r="7965" spans="3:3" x14ac:dyDescent="0.25">
      <c r="C7965" s="42"/>
    </row>
    <row r="7966" spans="3:3" x14ac:dyDescent="0.25">
      <c r="C7966" s="42"/>
    </row>
    <row r="7967" spans="3:3" x14ac:dyDescent="0.25">
      <c r="C7967" s="42"/>
    </row>
    <row r="7968" spans="3:3" x14ac:dyDescent="0.25">
      <c r="C7968" s="42"/>
    </row>
    <row r="7969" spans="3:3" x14ac:dyDescent="0.25">
      <c r="C7969" s="42"/>
    </row>
    <row r="7970" spans="3:3" x14ac:dyDescent="0.25">
      <c r="C7970" s="42"/>
    </row>
    <row r="7971" spans="3:3" x14ac:dyDescent="0.25">
      <c r="C7971" s="42"/>
    </row>
    <row r="7972" spans="3:3" x14ac:dyDescent="0.25">
      <c r="C7972" s="42"/>
    </row>
    <row r="7973" spans="3:3" x14ac:dyDescent="0.25">
      <c r="C7973" s="42"/>
    </row>
    <row r="7974" spans="3:3" x14ac:dyDescent="0.25">
      <c r="C7974" s="42"/>
    </row>
    <row r="7975" spans="3:3" x14ac:dyDescent="0.25">
      <c r="C7975" s="42"/>
    </row>
    <row r="7976" spans="3:3" x14ac:dyDescent="0.25">
      <c r="C7976" s="42"/>
    </row>
    <row r="7977" spans="3:3" x14ac:dyDescent="0.25">
      <c r="C7977" s="42"/>
    </row>
    <row r="7978" spans="3:3" x14ac:dyDescent="0.25">
      <c r="C7978" s="42"/>
    </row>
    <row r="7979" spans="3:3" x14ac:dyDescent="0.25">
      <c r="C7979" s="42"/>
    </row>
    <row r="7980" spans="3:3" x14ac:dyDescent="0.25">
      <c r="C7980" s="42"/>
    </row>
    <row r="7981" spans="3:3" x14ac:dyDescent="0.25">
      <c r="C7981" s="42"/>
    </row>
    <row r="7982" spans="3:3" x14ac:dyDescent="0.25">
      <c r="C7982" s="42"/>
    </row>
    <row r="7983" spans="3:3" x14ac:dyDescent="0.25">
      <c r="C7983" s="42"/>
    </row>
    <row r="7984" spans="3:3" x14ac:dyDescent="0.25">
      <c r="C7984" s="42"/>
    </row>
    <row r="7985" spans="3:3" x14ac:dyDescent="0.25">
      <c r="C7985" s="42"/>
    </row>
    <row r="7986" spans="3:3" x14ac:dyDescent="0.25">
      <c r="C7986" s="42"/>
    </row>
    <row r="7987" spans="3:3" x14ac:dyDescent="0.25">
      <c r="C7987" s="42"/>
    </row>
    <row r="7988" spans="3:3" x14ac:dyDescent="0.25">
      <c r="C7988" s="42"/>
    </row>
    <row r="7989" spans="3:3" x14ac:dyDescent="0.25">
      <c r="C7989" s="42"/>
    </row>
    <row r="7990" spans="3:3" x14ac:dyDescent="0.25">
      <c r="C7990" s="42"/>
    </row>
    <row r="7991" spans="3:3" x14ac:dyDescent="0.25">
      <c r="C7991" s="42"/>
    </row>
    <row r="7992" spans="3:3" x14ac:dyDescent="0.25">
      <c r="C7992" s="42"/>
    </row>
    <row r="7993" spans="3:3" x14ac:dyDescent="0.25">
      <c r="C7993" s="42"/>
    </row>
    <row r="7994" spans="3:3" x14ac:dyDescent="0.25">
      <c r="C7994" s="42"/>
    </row>
    <row r="7995" spans="3:3" x14ac:dyDescent="0.25">
      <c r="C7995" s="42"/>
    </row>
    <row r="7996" spans="3:3" x14ac:dyDescent="0.25">
      <c r="C7996" s="42"/>
    </row>
    <row r="7997" spans="3:3" x14ac:dyDescent="0.25">
      <c r="C7997" s="42"/>
    </row>
    <row r="7998" spans="3:3" x14ac:dyDescent="0.25">
      <c r="C7998" s="42"/>
    </row>
    <row r="7999" spans="3:3" x14ac:dyDescent="0.25">
      <c r="C7999" s="42"/>
    </row>
    <row r="8000" spans="3:3" x14ac:dyDescent="0.25">
      <c r="C8000" s="42"/>
    </row>
    <row r="8001" spans="3:3" x14ac:dyDescent="0.25">
      <c r="C8001" s="42"/>
    </row>
    <row r="8002" spans="3:3" x14ac:dyDescent="0.25">
      <c r="C8002" s="42"/>
    </row>
    <row r="8003" spans="3:3" x14ac:dyDescent="0.25">
      <c r="C8003" s="42"/>
    </row>
    <row r="8004" spans="3:3" x14ac:dyDescent="0.25">
      <c r="C8004" s="42"/>
    </row>
    <row r="8005" spans="3:3" x14ac:dyDescent="0.25">
      <c r="C8005" s="42"/>
    </row>
    <row r="8006" spans="3:3" x14ac:dyDescent="0.25">
      <c r="C8006" s="42"/>
    </row>
    <row r="8007" spans="3:3" x14ac:dyDescent="0.25">
      <c r="C8007" s="42"/>
    </row>
    <row r="8008" spans="3:3" x14ac:dyDescent="0.25">
      <c r="C8008" s="42"/>
    </row>
    <row r="8009" spans="3:3" x14ac:dyDescent="0.25">
      <c r="C8009" s="42"/>
    </row>
    <row r="8010" spans="3:3" x14ac:dyDescent="0.25">
      <c r="C8010" s="42"/>
    </row>
    <row r="8011" spans="3:3" x14ac:dyDescent="0.25">
      <c r="C8011" s="42"/>
    </row>
    <row r="8012" spans="3:3" x14ac:dyDescent="0.25">
      <c r="C8012" s="42"/>
    </row>
    <row r="8013" spans="3:3" x14ac:dyDescent="0.25">
      <c r="C8013" s="42"/>
    </row>
    <row r="8014" spans="3:3" x14ac:dyDescent="0.25">
      <c r="C8014" s="42"/>
    </row>
    <row r="8015" spans="3:3" x14ac:dyDescent="0.25">
      <c r="C8015" s="42"/>
    </row>
    <row r="8016" spans="3:3" x14ac:dyDescent="0.25">
      <c r="C8016" s="42"/>
    </row>
    <row r="8017" spans="3:3" x14ac:dyDescent="0.25">
      <c r="C8017" s="42"/>
    </row>
    <row r="8018" spans="3:3" x14ac:dyDescent="0.25">
      <c r="C8018" s="42"/>
    </row>
    <row r="8019" spans="3:3" x14ac:dyDescent="0.25">
      <c r="C8019" s="42"/>
    </row>
    <row r="8020" spans="3:3" x14ac:dyDescent="0.25">
      <c r="C8020" s="42"/>
    </row>
    <row r="8021" spans="3:3" x14ac:dyDescent="0.25">
      <c r="C8021" s="42"/>
    </row>
    <row r="8022" spans="3:3" x14ac:dyDescent="0.25">
      <c r="C8022" s="42"/>
    </row>
    <row r="8023" spans="3:3" x14ac:dyDescent="0.25">
      <c r="C8023" s="42"/>
    </row>
    <row r="8024" spans="3:3" x14ac:dyDescent="0.25">
      <c r="C8024" s="42"/>
    </row>
    <row r="8025" spans="3:3" x14ac:dyDescent="0.25">
      <c r="C8025" s="42"/>
    </row>
    <row r="8026" spans="3:3" x14ac:dyDescent="0.25">
      <c r="C8026" s="42"/>
    </row>
    <row r="8027" spans="3:3" x14ac:dyDescent="0.25">
      <c r="C8027" s="42"/>
    </row>
    <row r="8028" spans="3:3" x14ac:dyDescent="0.25">
      <c r="C8028" s="42"/>
    </row>
    <row r="8029" spans="3:3" x14ac:dyDescent="0.25">
      <c r="C8029" s="42"/>
    </row>
    <row r="8030" spans="3:3" x14ac:dyDescent="0.25">
      <c r="C8030" s="42"/>
    </row>
    <row r="8031" spans="3:3" x14ac:dyDescent="0.25">
      <c r="C8031" s="42"/>
    </row>
    <row r="8032" spans="3:3" x14ac:dyDescent="0.25">
      <c r="C8032" s="42"/>
    </row>
    <row r="8033" spans="3:3" x14ac:dyDescent="0.25">
      <c r="C8033" s="42"/>
    </row>
    <row r="8034" spans="3:3" x14ac:dyDescent="0.25">
      <c r="C8034" s="42"/>
    </row>
    <row r="8035" spans="3:3" x14ac:dyDescent="0.25">
      <c r="C8035" s="42"/>
    </row>
    <row r="8036" spans="3:3" x14ac:dyDescent="0.25">
      <c r="C8036" s="42"/>
    </row>
    <row r="8037" spans="3:3" x14ac:dyDescent="0.25">
      <c r="C8037" s="42"/>
    </row>
    <row r="8038" spans="3:3" x14ac:dyDescent="0.25">
      <c r="C8038" s="42"/>
    </row>
    <row r="8039" spans="3:3" x14ac:dyDescent="0.25">
      <c r="C8039" s="42"/>
    </row>
    <row r="8040" spans="3:3" x14ac:dyDescent="0.25">
      <c r="C8040" s="42"/>
    </row>
    <row r="8041" spans="3:3" x14ac:dyDescent="0.25">
      <c r="C8041" s="42"/>
    </row>
    <row r="8042" spans="3:3" x14ac:dyDescent="0.25">
      <c r="C8042" s="42"/>
    </row>
    <row r="8043" spans="3:3" x14ac:dyDescent="0.25">
      <c r="C8043" s="42"/>
    </row>
    <row r="8044" spans="3:3" x14ac:dyDescent="0.25">
      <c r="C8044" s="42"/>
    </row>
    <row r="8045" spans="3:3" x14ac:dyDescent="0.25">
      <c r="C8045" s="42"/>
    </row>
    <row r="8046" spans="3:3" x14ac:dyDescent="0.25">
      <c r="C8046" s="42"/>
    </row>
    <row r="8047" spans="3:3" x14ac:dyDescent="0.25">
      <c r="C8047" s="42"/>
    </row>
    <row r="8048" spans="3:3" x14ac:dyDescent="0.25">
      <c r="C8048" s="42"/>
    </row>
    <row r="8049" spans="3:3" x14ac:dyDescent="0.25">
      <c r="C8049" s="42"/>
    </row>
    <row r="8050" spans="3:3" x14ac:dyDescent="0.25">
      <c r="C8050" s="42"/>
    </row>
    <row r="8051" spans="3:3" x14ac:dyDescent="0.25">
      <c r="C8051" s="42"/>
    </row>
    <row r="8052" spans="3:3" x14ac:dyDescent="0.25">
      <c r="C8052" s="42"/>
    </row>
    <row r="8053" spans="3:3" x14ac:dyDescent="0.25">
      <c r="C8053" s="42"/>
    </row>
    <row r="8054" spans="3:3" x14ac:dyDescent="0.25">
      <c r="C8054" s="42"/>
    </row>
    <row r="8055" spans="3:3" x14ac:dyDescent="0.25">
      <c r="C8055" s="42"/>
    </row>
    <row r="8056" spans="3:3" x14ac:dyDescent="0.25">
      <c r="C8056" s="42"/>
    </row>
    <row r="8057" spans="3:3" x14ac:dyDescent="0.25">
      <c r="C8057" s="42"/>
    </row>
    <row r="8058" spans="3:3" x14ac:dyDescent="0.25">
      <c r="C8058" s="42"/>
    </row>
    <row r="8059" spans="3:3" x14ac:dyDescent="0.25">
      <c r="C8059" s="42"/>
    </row>
    <row r="8060" spans="3:3" x14ac:dyDescent="0.25">
      <c r="C8060" s="42"/>
    </row>
    <row r="8061" spans="3:3" x14ac:dyDescent="0.25">
      <c r="C8061" s="42"/>
    </row>
    <row r="8062" spans="3:3" x14ac:dyDescent="0.25">
      <c r="C8062" s="42"/>
    </row>
    <row r="8063" spans="3:3" x14ac:dyDescent="0.25">
      <c r="C8063" s="42"/>
    </row>
    <row r="8064" spans="3:3" x14ac:dyDescent="0.25">
      <c r="C8064" s="42"/>
    </row>
    <row r="8065" spans="3:3" x14ac:dyDescent="0.25">
      <c r="C8065" s="42"/>
    </row>
    <row r="8066" spans="3:3" x14ac:dyDescent="0.25">
      <c r="C8066" s="42"/>
    </row>
    <row r="8067" spans="3:3" x14ac:dyDescent="0.25">
      <c r="C8067" s="42"/>
    </row>
    <row r="8068" spans="3:3" x14ac:dyDescent="0.25">
      <c r="C8068" s="42"/>
    </row>
    <row r="8069" spans="3:3" x14ac:dyDescent="0.25">
      <c r="C8069" s="42"/>
    </row>
    <row r="8070" spans="3:3" x14ac:dyDescent="0.25">
      <c r="C8070" s="42"/>
    </row>
    <row r="8071" spans="3:3" x14ac:dyDescent="0.25">
      <c r="C8071" s="42"/>
    </row>
    <row r="8072" spans="3:3" x14ac:dyDescent="0.25">
      <c r="C8072" s="42"/>
    </row>
    <row r="8073" spans="3:3" x14ac:dyDescent="0.25">
      <c r="C8073" s="42"/>
    </row>
    <row r="8074" spans="3:3" x14ac:dyDescent="0.25">
      <c r="C8074" s="42"/>
    </row>
    <row r="8075" spans="3:3" x14ac:dyDescent="0.25">
      <c r="C8075" s="42"/>
    </row>
    <row r="8076" spans="3:3" x14ac:dyDescent="0.25">
      <c r="C8076" s="42"/>
    </row>
    <row r="8077" spans="3:3" x14ac:dyDescent="0.25">
      <c r="C8077" s="42"/>
    </row>
    <row r="8078" spans="3:3" x14ac:dyDescent="0.25">
      <c r="C8078" s="42"/>
    </row>
    <row r="8079" spans="3:3" x14ac:dyDescent="0.25">
      <c r="C8079" s="42"/>
    </row>
    <row r="8080" spans="3:3" x14ac:dyDescent="0.25">
      <c r="C8080" s="42"/>
    </row>
    <row r="8081" spans="3:3" x14ac:dyDescent="0.25">
      <c r="C8081" s="42"/>
    </row>
    <row r="8082" spans="3:3" x14ac:dyDescent="0.25">
      <c r="C8082" s="42"/>
    </row>
    <row r="8083" spans="3:3" x14ac:dyDescent="0.25">
      <c r="C8083" s="42"/>
    </row>
    <row r="8084" spans="3:3" x14ac:dyDescent="0.25">
      <c r="C8084" s="42"/>
    </row>
    <row r="8085" spans="3:3" x14ac:dyDescent="0.25">
      <c r="C8085" s="42"/>
    </row>
    <row r="8086" spans="3:3" x14ac:dyDescent="0.25">
      <c r="C8086" s="42"/>
    </row>
    <row r="8087" spans="3:3" x14ac:dyDescent="0.25">
      <c r="C8087" s="42"/>
    </row>
    <row r="8088" spans="3:3" x14ac:dyDescent="0.25">
      <c r="C8088" s="42"/>
    </row>
    <row r="8089" spans="3:3" x14ac:dyDescent="0.25">
      <c r="C8089" s="42"/>
    </row>
    <row r="8090" spans="3:3" x14ac:dyDescent="0.25">
      <c r="C8090" s="42"/>
    </row>
    <row r="8091" spans="3:3" x14ac:dyDescent="0.25">
      <c r="C8091" s="42"/>
    </row>
    <row r="8092" spans="3:3" x14ac:dyDescent="0.25">
      <c r="C8092" s="42"/>
    </row>
    <row r="8093" spans="3:3" x14ac:dyDescent="0.25">
      <c r="C8093" s="42"/>
    </row>
    <row r="8094" spans="3:3" x14ac:dyDescent="0.25">
      <c r="C8094" s="42"/>
    </row>
    <row r="8095" spans="3:3" x14ac:dyDescent="0.25">
      <c r="C8095" s="42"/>
    </row>
    <row r="8096" spans="3:3" x14ac:dyDescent="0.25">
      <c r="C8096" s="42"/>
    </row>
    <row r="8097" spans="3:3" x14ac:dyDescent="0.25">
      <c r="C8097" s="42"/>
    </row>
    <row r="8098" spans="3:3" x14ac:dyDescent="0.25">
      <c r="C8098" s="42"/>
    </row>
    <row r="8099" spans="3:3" x14ac:dyDescent="0.25">
      <c r="C8099" s="42"/>
    </row>
    <row r="8100" spans="3:3" x14ac:dyDescent="0.25">
      <c r="C8100" s="42"/>
    </row>
    <row r="8101" spans="3:3" x14ac:dyDescent="0.25">
      <c r="C8101" s="42"/>
    </row>
    <row r="8102" spans="3:3" x14ac:dyDescent="0.25">
      <c r="C8102" s="42"/>
    </row>
    <row r="8103" spans="3:3" x14ac:dyDescent="0.25">
      <c r="C8103" s="42"/>
    </row>
    <row r="8104" spans="3:3" x14ac:dyDescent="0.25">
      <c r="C8104" s="42"/>
    </row>
    <row r="8105" spans="3:3" x14ac:dyDescent="0.25">
      <c r="C8105" s="42"/>
    </row>
    <row r="8106" spans="3:3" x14ac:dyDescent="0.25">
      <c r="C8106" s="42"/>
    </row>
    <row r="8107" spans="3:3" x14ac:dyDescent="0.25">
      <c r="C8107" s="42"/>
    </row>
    <row r="8108" spans="3:3" x14ac:dyDescent="0.25">
      <c r="C8108" s="42"/>
    </row>
    <row r="8109" spans="3:3" x14ac:dyDescent="0.25">
      <c r="C8109" s="42"/>
    </row>
    <row r="8110" spans="3:3" x14ac:dyDescent="0.25">
      <c r="C8110" s="42"/>
    </row>
    <row r="8111" spans="3:3" x14ac:dyDescent="0.25">
      <c r="C8111" s="42"/>
    </row>
    <row r="8112" spans="3:3" x14ac:dyDescent="0.25">
      <c r="C8112" s="42"/>
    </row>
    <row r="8113" spans="3:3" x14ac:dyDescent="0.25">
      <c r="C8113" s="42"/>
    </row>
    <row r="8114" spans="3:3" x14ac:dyDescent="0.25">
      <c r="C8114" s="42"/>
    </row>
    <row r="8115" spans="3:3" x14ac:dyDescent="0.25">
      <c r="C8115" s="42"/>
    </row>
    <row r="8116" spans="3:3" x14ac:dyDescent="0.25">
      <c r="C8116" s="42"/>
    </row>
    <row r="8117" spans="3:3" x14ac:dyDescent="0.25">
      <c r="C8117" s="42"/>
    </row>
    <row r="8118" spans="3:3" x14ac:dyDescent="0.25">
      <c r="C8118" s="42"/>
    </row>
    <row r="8119" spans="3:3" x14ac:dyDescent="0.25">
      <c r="C8119" s="42"/>
    </row>
    <row r="8120" spans="3:3" x14ac:dyDescent="0.25">
      <c r="C8120" s="42"/>
    </row>
    <row r="8121" spans="3:3" x14ac:dyDescent="0.25">
      <c r="C8121" s="42"/>
    </row>
    <row r="8122" spans="3:3" x14ac:dyDescent="0.25">
      <c r="C8122" s="42"/>
    </row>
    <row r="8123" spans="3:3" x14ac:dyDescent="0.25">
      <c r="C8123" s="42"/>
    </row>
    <row r="8124" spans="3:3" x14ac:dyDescent="0.25">
      <c r="C8124" s="42"/>
    </row>
    <row r="8125" spans="3:3" x14ac:dyDescent="0.25">
      <c r="C8125" s="42"/>
    </row>
    <row r="8126" spans="3:3" x14ac:dyDescent="0.25">
      <c r="C8126" s="42"/>
    </row>
    <row r="8127" spans="3:3" x14ac:dyDescent="0.25">
      <c r="C8127" s="42"/>
    </row>
    <row r="8128" spans="3:3" x14ac:dyDescent="0.25">
      <c r="C8128" s="42"/>
    </row>
    <row r="8129" spans="3:3" x14ac:dyDescent="0.25">
      <c r="C8129" s="42"/>
    </row>
    <row r="8130" spans="3:3" x14ac:dyDescent="0.25">
      <c r="C8130" s="42"/>
    </row>
    <row r="8131" spans="3:3" x14ac:dyDescent="0.25">
      <c r="C8131" s="42"/>
    </row>
    <row r="8132" spans="3:3" x14ac:dyDescent="0.25">
      <c r="C8132" s="42"/>
    </row>
    <row r="8133" spans="3:3" x14ac:dyDescent="0.25">
      <c r="C8133" s="42"/>
    </row>
    <row r="8134" spans="3:3" x14ac:dyDescent="0.25">
      <c r="C8134" s="42"/>
    </row>
    <row r="8135" spans="3:3" x14ac:dyDescent="0.25">
      <c r="C8135" s="42"/>
    </row>
    <row r="8136" spans="3:3" x14ac:dyDescent="0.25">
      <c r="C8136" s="42"/>
    </row>
    <row r="8137" spans="3:3" x14ac:dyDescent="0.25">
      <c r="C8137" s="42"/>
    </row>
    <row r="8138" spans="3:3" x14ac:dyDescent="0.25">
      <c r="C8138" s="42"/>
    </row>
    <row r="8139" spans="3:3" x14ac:dyDescent="0.25">
      <c r="C8139" s="42"/>
    </row>
    <row r="8140" spans="3:3" x14ac:dyDescent="0.25">
      <c r="C8140" s="42"/>
    </row>
    <row r="8141" spans="3:3" x14ac:dyDescent="0.25">
      <c r="C8141" s="42"/>
    </row>
    <row r="8142" spans="3:3" x14ac:dyDescent="0.25">
      <c r="C8142" s="42"/>
    </row>
    <row r="8143" spans="3:3" x14ac:dyDescent="0.25">
      <c r="C8143" s="42"/>
    </row>
    <row r="8144" spans="3:3" x14ac:dyDescent="0.25">
      <c r="C8144" s="42"/>
    </row>
    <row r="8145" spans="3:3" x14ac:dyDescent="0.25">
      <c r="C8145" s="42"/>
    </row>
    <row r="8146" spans="3:3" x14ac:dyDescent="0.25">
      <c r="C8146" s="42"/>
    </row>
    <row r="8147" spans="3:3" x14ac:dyDescent="0.25">
      <c r="C8147" s="42"/>
    </row>
    <row r="8148" spans="3:3" x14ac:dyDescent="0.25">
      <c r="C8148" s="42"/>
    </row>
    <row r="8149" spans="3:3" x14ac:dyDescent="0.25">
      <c r="C8149" s="42"/>
    </row>
    <row r="8150" spans="3:3" x14ac:dyDescent="0.25">
      <c r="C8150" s="42"/>
    </row>
    <row r="8151" spans="3:3" x14ac:dyDescent="0.25">
      <c r="C8151" s="42"/>
    </row>
    <row r="8152" spans="3:3" x14ac:dyDescent="0.25">
      <c r="C8152" s="42"/>
    </row>
    <row r="8153" spans="3:3" x14ac:dyDescent="0.25">
      <c r="C8153" s="42"/>
    </row>
    <row r="8154" spans="3:3" x14ac:dyDescent="0.25">
      <c r="C8154" s="42"/>
    </row>
    <row r="8155" spans="3:3" x14ac:dyDescent="0.25">
      <c r="C8155" s="42"/>
    </row>
    <row r="8156" spans="3:3" x14ac:dyDescent="0.25">
      <c r="C8156" s="42"/>
    </row>
    <row r="8157" spans="3:3" x14ac:dyDescent="0.25">
      <c r="C8157" s="42"/>
    </row>
    <row r="8158" spans="3:3" x14ac:dyDescent="0.25">
      <c r="C8158" s="42"/>
    </row>
    <row r="8159" spans="3:3" x14ac:dyDescent="0.25">
      <c r="C8159" s="42"/>
    </row>
    <row r="8160" spans="3:3" x14ac:dyDescent="0.25">
      <c r="C8160" s="42"/>
    </row>
    <row r="8161" spans="3:3" x14ac:dyDescent="0.25">
      <c r="C8161" s="42"/>
    </row>
    <row r="8162" spans="3:3" x14ac:dyDescent="0.25">
      <c r="C8162" s="42"/>
    </row>
    <row r="8163" spans="3:3" x14ac:dyDescent="0.25">
      <c r="C8163" s="42"/>
    </row>
    <row r="8164" spans="3:3" x14ac:dyDescent="0.25">
      <c r="C8164" s="42"/>
    </row>
    <row r="8165" spans="3:3" x14ac:dyDescent="0.25">
      <c r="C8165" s="42"/>
    </row>
    <row r="8166" spans="3:3" x14ac:dyDescent="0.25">
      <c r="C8166" s="42"/>
    </row>
    <row r="8167" spans="3:3" x14ac:dyDescent="0.25">
      <c r="C8167" s="42"/>
    </row>
    <row r="8168" spans="3:3" x14ac:dyDescent="0.25">
      <c r="C8168" s="42"/>
    </row>
    <row r="8169" spans="3:3" x14ac:dyDescent="0.25">
      <c r="C8169" s="42"/>
    </row>
    <row r="8170" spans="3:3" x14ac:dyDescent="0.25">
      <c r="C8170" s="42"/>
    </row>
    <row r="8171" spans="3:3" x14ac:dyDescent="0.25">
      <c r="C8171" s="42"/>
    </row>
    <row r="8172" spans="3:3" x14ac:dyDescent="0.25">
      <c r="C8172" s="42"/>
    </row>
    <row r="8173" spans="3:3" x14ac:dyDescent="0.25">
      <c r="C8173" s="42"/>
    </row>
    <row r="8174" spans="3:3" x14ac:dyDescent="0.25">
      <c r="C8174" s="42"/>
    </row>
    <row r="8175" spans="3:3" x14ac:dyDescent="0.25">
      <c r="C8175" s="42"/>
    </row>
    <row r="8176" spans="3:3" x14ac:dyDescent="0.25">
      <c r="C8176" s="42"/>
    </row>
    <row r="8177" spans="3:3" x14ac:dyDescent="0.25">
      <c r="C8177" s="42"/>
    </row>
    <row r="8178" spans="3:3" x14ac:dyDescent="0.25">
      <c r="C8178" s="42"/>
    </row>
    <row r="8179" spans="3:3" x14ac:dyDescent="0.25">
      <c r="C8179" s="42"/>
    </row>
    <row r="8180" spans="3:3" x14ac:dyDescent="0.25">
      <c r="C8180" s="42"/>
    </row>
    <row r="8181" spans="3:3" x14ac:dyDescent="0.25">
      <c r="C8181" s="42"/>
    </row>
    <row r="8182" spans="3:3" x14ac:dyDescent="0.25">
      <c r="C8182" s="42"/>
    </row>
    <row r="8183" spans="3:3" x14ac:dyDescent="0.25">
      <c r="C8183" s="42"/>
    </row>
    <row r="8184" spans="3:3" x14ac:dyDescent="0.25">
      <c r="C8184" s="42"/>
    </row>
    <row r="8185" spans="3:3" x14ac:dyDescent="0.25">
      <c r="C8185" s="42"/>
    </row>
    <row r="8186" spans="3:3" x14ac:dyDescent="0.25">
      <c r="C8186" s="42"/>
    </row>
    <row r="8187" spans="3:3" x14ac:dyDescent="0.25">
      <c r="C8187" s="42"/>
    </row>
    <row r="8188" spans="3:3" x14ac:dyDescent="0.25">
      <c r="C8188" s="42"/>
    </row>
    <row r="8189" spans="3:3" x14ac:dyDescent="0.25">
      <c r="C8189" s="42"/>
    </row>
    <row r="8190" spans="3:3" x14ac:dyDescent="0.25">
      <c r="C8190" s="42"/>
    </row>
    <row r="8191" spans="3:3" x14ac:dyDescent="0.25">
      <c r="C8191" s="42"/>
    </row>
    <row r="8192" spans="3:3" x14ac:dyDescent="0.25">
      <c r="C8192" s="42"/>
    </row>
    <row r="8193" spans="3:3" x14ac:dyDescent="0.25">
      <c r="C8193" s="42"/>
    </row>
    <row r="8194" spans="3:3" x14ac:dyDescent="0.25">
      <c r="C8194" s="42"/>
    </row>
    <row r="8195" spans="3:3" x14ac:dyDescent="0.25">
      <c r="C8195" s="42"/>
    </row>
    <row r="8196" spans="3:3" x14ac:dyDescent="0.25">
      <c r="C8196" s="42"/>
    </row>
    <row r="8197" spans="3:3" x14ac:dyDescent="0.25">
      <c r="C8197" s="42"/>
    </row>
    <row r="8198" spans="3:3" x14ac:dyDescent="0.25">
      <c r="C8198" s="42"/>
    </row>
    <row r="8199" spans="3:3" x14ac:dyDescent="0.25">
      <c r="C8199" s="42"/>
    </row>
    <row r="8200" spans="3:3" x14ac:dyDescent="0.25">
      <c r="C8200" s="42"/>
    </row>
    <row r="8201" spans="3:3" x14ac:dyDescent="0.25">
      <c r="C8201" s="42"/>
    </row>
    <row r="8202" spans="3:3" x14ac:dyDescent="0.25">
      <c r="C8202" s="42"/>
    </row>
    <row r="8203" spans="3:3" x14ac:dyDescent="0.25">
      <c r="C8203" s="42"/>
    </row>
    <row r="8204" spans="3:3" x14ac:dyDescent="0.25">
      <c r="C8204" s="42"/>
    </row>
    <row r="8205" spans="3:3" x14ac:dyDescent="0.25">
      <c r="C8205" s="42"/>
    </row>
    <row r="8206" spans="3:3" x14ac:dyDescent="0.25">
      <c r="C8206" s="42"/>
    </row>
    <row r="8207" spans="3:3" x14ac:dyDescent="0.25">
      <c r="C8207" s="42"/>
    </row>
    <row r="8208" spans="3:3" x14ac:dyDescent="0.25">
      <c r="C8208" s="42"/>
    </row>
    <row r="8209" spans="3:3" x14ac:dyDescent="0.25">
      <c r="C8209" s="42"/>
    </row>
    <row r="8210" spans="3:3" x14ac:dyDescent="0.25">
      <c r="C8210" s="42"/>
    </row>
    <row r="8211" spans="3:3" x14ac:dyDescent="0.25">
      <c r="C8211" s="42"/>
    </row>
    <row r="8212" spans="3:3" x14ac:dyDescent="0.25">
      <c r="C8212" s="42"/>
    </row>
    <row r="8213" spans="3:3" x14ac:dyDescent="0.25">
      <c r="C8213" s="42"/>
    </row>
    <row r="8214" spans="3:3" x14ac:dyDescent="0.25">
      <c r="C8214" s="42"/>
    </row>
    <row r="8215" spans="3:3" x14ac:dyDescent="0.25">
      <c r="C8215" s="42"/>
    </row>
    <row r="8216" spans="3:3" x14ac:dyDescent="0.25">
      <c r="C8216" s="42"/>
    </row>
    <row r="8217" spans="3:3" x14ac:dyDescent="0.25">
      <c r="C8217" s="42"/>
    </row>
    <row r="8218" spans="3:3" x14ac:dyDescent="0.25">
      <c r="C8218" s="42"/>
    </row>
    <row r="8219" spans="3:3" x14ac:dyDescent="0.25">
      <c r="C8219" s="42"/>
    </row>
    <row r="8220" spans="3:3" x14ac:dyDescent="0.25">
      <c r="C8220" s="42"/>
    </row>
    <row r="8221" spans="3:3" x14ac:dyDescent="0.25">
      <c r="C8221" s="42"/>
    </row>
    <row r="8222" spans="3:3" x14ac:dyDescent="0.25">
      <c r="C8222" s="42"/>
    </row>
    <row r="8223" spans="3:3" x14ac:dyDescent="0.25">
      <c r="C8223" s="42"/>
    </row>
    <row r="8224" spans="3:3" x14ac:dyDescent="0.25">
      <c r="C8224" s="42"/>
    </row>
    <row r="8225" spans="3:3" x14ac:dyDescent="0.25">
      <c r="C8225" s="42"/>
    </row>
    <row r="8226" spans="3:3" x14ac:dyDescent="0.25">
      <c r="C8226" s="42"/>
    </row>
    <row r="8227" spans="3:3" x14ac:dyDescent="0.25">
      <c r="C8227" s="42"/>
    </row>
    <row r="8228" spans="3:3" x14ac:dyDescent="0.25">
      <c r="C8228" s="42"/>
    </row>
    <row r="8229" spans="3:3" x14ac:dyDescent="0.25">
      <c r="C8229" s="42"/>
    </row>
    <row r="8230" spans="3:3" x14ac:dyDescent="0.25">
      <c r="C8230" s="42"/>
    </row>
    <row r="8231" spans="3:3" x14ac:dyDescent="0.25">
      <c r="C8231" s="42"/>
    </row>
    <row r="8232" spans="3:3" x14ac:dyDescent="0.25">
      <c r="C8232" s="42"/>
    </row>
    <row r="8233" spans="3:3" x14ac:dyDescent="0.25">
      <c r="C8233" s="42"/>
    </row>
    <row r="8234" spans="3:3" x14ac:dyDescent="0.25">
      <c r="C8234" s="42"/>
    </row>
    <row r="8235" spans="3:3" x14ac:dyDescent="0.25">
      <c r="C8235" s="42"/>
    </row>
    <row r="8236" spans="3:3" x14ac:dyDescent="0.25">
      <c r="C8236" s="42"/>
    </row>
    <row r="8237" spans="3:3" x14ac:dyDescent="0.25">
      <c r="C8237" s="42"/>
    </row>
    <row r="8238" spans="3:3" x14ac:dyDescent="0.25">
      <c r="C8238" s="42"/>
    </row>
    <row r="8239" spans="3:3" x14ac:dyDescent="0.25">
      <c r="C8239" s="42"/>
    </row>
    <row r="8240" spans="3:3" x14ac:dyDescent="0.25">
      <c r="C8240" s="42"/>
    </row>
    <row r="8241" spans="3:3" x14ac:dyDescent="0.25">
      <c r="C8241" s="42"/>
    </row>
    <row r="8242" spans="3:3" x14ac:dyDescent="0.25">
      <c r="C8242" s="42"/>
    </row>
    <row r="8243" spans="3:3" x14ac:dyDescent="0.25">
      <c r="C8243" s="42"/>
    </row>
    <row r="8244" spans="3:3" x14ac:dyDescent="0.25">
      <c r="C8244" s="42"/>
    </row>
    <row r="8245" spans="3:3" x14ac:dyDescent="0.25">
      <c r="C8245" s="42"/>
    </row>
    <row r="8246" spans="3:3" x14ac:dyDescent="0.25">
      <c r="C8246" s="42"/>
    </row>
    <row r="8247" spans="3:3" x14ac:dyDescent="0.25">
      <c r="C8247" s="42"/>
    </row>
    <row r="8248" spans="3:3" x14ac:dyDescent="0.25">
      <c r="C8248" s="42"/>
    </row>
    <row r="8249" spans="3:3" x14ac:dyDescent="0.25">
      <c r="C8249" s="42"/>
    </row>
    <row r="8250" spans="3:3" x14ac:dyDescent="0.25">
      <c r="C8250" s="42"/>
    </row>
    <row r="8251" spans="3:3" x14ac:dyDescent="0.25">
      <c r="C8251" s="42"/>
    </row>
    <row r="8252" spans="3:3" x14ac:dyDescent="0.25">
      <c r="C8252" s="42"/>
    </row>
    <row r="8253" spans="3:3" x14ac:dyDescent="0.25">
      <c r="C8253" s="42"/>
    </row>
    <row r="8254" spans="3:3" x14ac:dyDescent="0.25">
      <c r="C8254" s="42"/>
    </row>
    <row r="8255" spans="3:3" x14ac:dyDescent="0.25">
      <c r="C8255" s="42"/>
    </row>
    <row r="8256" spans="3:3" x14ac:dyDescent="0.25">
      <c r="C8256" s="42"/>
    </row>
    <row r="8257" spans="3:3" x14ac:dyDescent="0.25">
      <c r="C8257" s="42"/>
    </row>
    <row r="8258" spans="3:3" x14ac:dyDescent="0.25">
      <c r="C8258" s="42"/>
    </row>
    <row r="8259" spans="3:3" x14ac:dyDescent="0.25">
      <c r="C8259" s="42"/>
    </row>
    <row r="8260" spans="3:3" x14ac:dyDescent="0.25">
      <c r="C8260" s="42"/>
    </row>
    <row r="8261" spans="3:3" x14ac:dyDescent="0.25">
      <c r="C8261" s="42"/>
    </row>
    <row r="8262" spans="3:3" x14ac:dyDescent="0.25">
      <c r="C8262" s="42"/>
    </row>
    <row r="8263" spans="3:3" x14ac:dyDescent="0.25">
      <c r="C8263" s="42"/>
    </row>
    <row r="8264" spans="3:3" x14ac:dyDescent="0.25">
      <c r="C8264" s="42"/>
    </row>
    <row r="8265" spans="3:3" x14ac:dyDescent="0.25">
      <c r="C8265" s="42"/>
    </row>
    <row r="8266" spans="3:3" x14ac:dyDescent="0.25">
      <c r="C8266" s="42"/>
    </row>
    <row r="8267" spans="3:3" x14ac:dyDescent="0.25">
      <c r="C8267" s="42"/>
    </row>
    <row r="8268" spans="3:3" x14ac:dyDescent="0.25">
      <c r="C8268" s="42"/>
    </row>
    <row r="8269" spans="3:3" x14ac:dyDescent="0.25">
      <c r="C8269" s="42"/>
    </row>
    <row r="8270" spans="3:3" x14ac:dyDescent="0.25">
      <c r="C8270" s="42"/>
    </row>
    <row r="8271" spans="3:3" x14ac:dyDescent="0.25">
      <c r="C8271" s="42"/>
    </row>
    <row r="8272" spans="3:3" x14ac:dyDescent="0.25">
      <c r="C8272" s="42"/>
    </row>
    <row r="8273" spans="3:3" x14ac:dyDescent="0.25">
      <c r="C8273" s="42"/>
    </row>
    <row r="8274" spans="3:3" x14ac:dyDescent="0.25">
      <c r="C8274" s="42"/>
    </row>
    <row r="8275" spans="3:3" x14ac:dyDescent="0.25">
      <c r="C8275" s="42"/>
    </row>
    <row r="8276" spans="3:3" x14ac:dyDescent="0.25">
      <c r="C8276" s="42"/>
    </row>
    <row r="8277" spans="3:3" x14ac:dyDescent="0.25">
      <c r="C8277" s="42"/>
    </row>
    <row r="8278" spans="3:3" x14ac:dyDescent="0.25">
      <c r="C8278" s="42"/>
    </row>
    <row r="8279" spans="3:3" x14ac:dyDescent="0.25">
      <c r="C8279" s="42"/>
    </row>
    <row r="8280" spans="3:3" x14ac:dyDescent="0.25">
      <c r="C8280" s="42"/>
    </row>
    <row r="8281" spans="3:3" x14ac:dyDescent="0.25">
      <c r="C8281" s="42"/>
    </row>
    <row r="8282" spans="3:3" x14ac:dyDescent="0.25">
      <c r="C8282" s="42"/>
    </row>
    <row r="8283" spans="3:3" x14ac:dyDescent="0.25">
      <c r="C8283" s="42"/>
    </row>
    <row r="8284" spans="3:3" x14ac:dyDescent="0.25">
      <c r="C8284" s="42"/>
    </row>
    <row r="8285" spans="3:3" x14ac:dyDescent="0.25">
      <c r="C8285" s="42"/>
    </row>
    <row r="8286" spans="3:3" x14ac:dyDescent="0.25">
      <c r="C8286" s="42"/>
    </row>
    <row r="8287" spans="3:3" x14ac:dyDescent="0.25">
      <c r="C8287" s="42"/>
    </row>
    <row r="8288" spans="3:3" x14ac:dyDescent="0.25">
      <c r="C8288" s="42"/>
    </row>
    <row r="8289" spans="3:3" x14ac:dyDescent="0.25">
      <c r="C8289" s="42"/>
    </row>
    <row r="8290" spans="3:3" x14ac:dyDescent="0.25">
      <c r="C8290" s="42"/>
    </row>
    <row r="8291" spans="3:3" x14ac:dyDescent="0.25">
      <c r="C8291" s="42"/>
    </row>
    <row r="8292" spans="3:3" x14ac:dyDescent="0.25">
      <c r="C8292" s="42"/>
    </row>
    <row r="8293" spans="3:3" x14ac:dyDescent="0.25">
      <c r="C8293" s="42"/>
    </row>
    <row r="8294" spans="3:3" x14ac:dyDescent="0.25">
      <c r="C8294" s="42"/>
    </row>
    <row r="8295" spans="3:3" x14ac:dyDescent="0.25">
      <c r="C8295" s="42"/>
    </row>
    <row r="8296" spans="3:3" x14ac:dyDescent="0.25">
      <c r="C8296" s="42"/>
    </row>
    <row r="8297" spans="3:3" x14ac:dyDescent="0.25">
      <c r="C8297" s="42"/>
    </row>
    <row r="8298" spans="3:3" x14ac:dyDescent="0.25">
      <c r="C8298" s="42"/>
    </row>
    <row r="8299" spans="3:3" x14ac:dyDescent="0.25">
      <c r="C8299" s="42"/>
    </row>
    <row r="8300" spans="3:3" x14ac:dyDescent="0.25">
      <c r="C8300" s="42"/>
    </row>
    <row r="8301" spans="3:3" x14ac:dyDescent="0.25">
      <c r="C8301" s="42"/>
    </row>
    <row r="8302" spans="3:3" x14ac:dyDescent="0.25">
      <c r="C8302" s="42"/>
    </row>
    <row r="8303" spans="3:3" x14ac:dyDescent="0.25">
      <c r="C8303" s="42"/>
    </row>
    <row r="8304" spans="3:3" x14ac:dyDescent="0.25">
      <c r="C8304" s="42"/>
    </row>
    <row r="8305" spans="3:3" x14ac:dyDescent="0.25">
      <c r="C8305" s="42"/>
    </row>
    <row r="8306" spans="3:3" x14ac:dyDescent="0.25">
      <c r="C8306" s="42"/>
    </row>
    <row r="8307" spans="3:3" x14ac:dyDescent="0.25">
      <c r="C8307" s="42"/>
    </row>
    <row r="8308" spans="3:3" x14ac:dyDescent="0.25">
      <c r="C8308" s="42"/>
    </row>
    <row r="8309" spans="3:3" x14ac:dyDescent="0.25">
      <c r="C8309" s="42"/>
    </row>
    <row r="8310" spans="3:3" x14ac:dyDescent="0.25">
      <c r="C8310" s="42"/>
    </row>
    <row r="8311" spans="3:3" x14ac:dyDescent="0.25">
      <c r="C8311" s="42"/>
    </row>
    <row r="8312" spans="3:3" x14ac:dyDescent="0.25">
      <c r="C8312" s="42"/>
    </row>
    <row r="8313" spans="3:3" x14ac:dyDescent="0.25">
      <c r="C8313" s="42"/>
    </row>
    <row r="8314" spans="3:3" x14ac:dyDescent="0.25">
      <c r="C8314" s="42"/>
    </row>
    <row r="8315" spans="3:3" x14ac:dyDescent="0.25">
      <c r="C8315" s="42"/>
    </row>
    <row r="8316" spans="3:3" x14ac:dyDescent="0.25">
      <c r="C8316" s="42"/>
    </row>
    <row r="8317" spans="3:3" x14ac:dyDescent="0.25">
      <c r="C8317" s="42"/>
    </row>
    <row r="8318" spans="3:3" x14ac:dyDescent="0.25">
      <c r="C8318" s="42"/>
    </row>
    <row r="8319" spans="3:3" x14ac:dyDescent="0.25">
      <c r="C8319" s="42"/>
    </row>
    <row r="8320" spans="3:3" x14ac:dyDescent="0.25">
      <c r="C8320" s="42"/>
    </row>
    <row r="8321" spans="3:3" x14ac:dyDescent="0.25">
      <c r="C8321" s="42"/>
    </row>
    <row r="8322" spans="3:3" x14ac:dyDescent="0.25">
      <c r="C8322" s="42"/>
    </row>
    <row r="8323" spans="3:3" x14ac:dyDescent="0.25">
      <c r="C8323" s="42"/>
    </row>
    <row r="8324" spans="3:3" x14ac:dyDescent="0.25">
      <c r="C8324" s="42"/>
    </row>
    <row r="8325" spans="3:3" x14ac:dyDescent="0.25">
      <c r="C8325" s="42"/>
    </row>
    <row r="8326" spans="3:3" x14ac:dyDescent="0.25">
      <c r="C8326" s="42"/>
    </row>
    <row r="8327" spans="3:3" x14ac:dyDescent="0.25">
      <c r="C8327" s="42"/>
    </row>
    <row r="8328" spans="3:3" x14ac:dyDescent="0.25">
      <c r="C8328" s="42"/>
    </row>
    <row r="8329" spans="3:3" x14ac:dyDescent="0.25">
      <c r="C8329" s="42"/>
    </row>
    <row r="8330" spans="3:3" x14ac:dyDescent="0.25">
      <c r="C8330" s="42"/>
    </row>
    <row r="8331" spans="3:3" x14ac:dyDescent="0.25">
      <c r="C8331" s="42"/>
    </row>
    <row r="8332" spans="3:3" x14ac:dyDescent="0.25">
      <c r="C8332" s="42"/>
    </row>
    <row r="8333" spans="3:3" x14ac:dyDescent="0.25">
      <c r="C8333" s="42"/>
    </row>
    <row r="8334" spans="3:3" x14ac:dyDescent="0.25">
      <c r="C8334" s="42"/>
    </row>
    <row r="8335" spans="3:3" x14ac:dyDescent="0.25">
      <c r="C8335" s="42"/>
    </row>
    <row r="8336" spans="3:3" x14ac:dyDescent="0.25">
      <c r="C8336" s="42"/>
    </row>
    <row r="8337" spans="3:3" x14ac:dyDescent="0.25">
      <c r="C8337" s="42"/>
    </row>
    <row r="8338" spans="3:3" x14ac:dyDescent="0.25">
      <c r="C8338" s="42"/>
    </row>
    <row r="8339" spans="3:3" x14ac:dyDescent="0.25">
      <c r="C8339" s="42"/>
    </row>
    <row r="8340" spans="3:3" x14ac:dyDescent="0.25">
      <c r="C8340" s="42"/>
    </row>
    <row r="8341" spans="3:3" x14ac:dyDescent="0.25">
      <c r="C8341" s="42"/>
    </row>
    <row r="8342" spans="3:3" x14ac:dyDescent="0.25">
      <c r="C8342" s="42"/>
    </row>
    <row r="8343" spans="3:3" x14ac:dyDescent="0.25">
      <c r="C8343" s="42"/>
    </row>
    <row r="8344" spans="3:3" x14ac:dyDescent="0.25">
      <c r="C8344" s="42"/>
    </row>
    <row r="8345" spans="3:3" x14ac:dyDescent="0.25">
      <c r="C8345" s="42"/>
    </row>
    <row r="8346" spans="3:3" x14ac:dyDescent="0.25">
      <c r="C8346" s="42"/>
    </row>
    <row r="8347" spans="3:3" x14ac:dyDescent="0.25">
      <c r="C8347" s="42"/>
    </row>
    <row r="8348" spans="3:3" x14ac:dyDescent="0.25">
      <c r="C8348" s="42"/>
    </row>
    <row r="8349" spans="3:3" x14ac:dyDescent="0.25">
      <c r="C8349" s="42"/>
    </row>
    <row r="8350" spans="3:3" x14ac:dyDescent="0.25">
      <c r="C8350" s="42"/>
    </row>
    <row r="8351" spans="3:3" x14ac:dyDescent="0.25">
      <c r="C8351" s="42"/>
    </row>
    <row r="8352" spans="3:3" x14ac:dyDescent="0.25">
      <c r="C8352" s="42"/>
    </row>
    <row r="8353" spans="3:3" x14ac:dyDescent="0.25">
      <c r="C8353" s="42"/>
    </row>
    <row r="8354" spans="3:3" x14ac:dyDescent="0.25">
      <c r="C8354" s="42"/>
    </row>
    <row r="8355" spans="3:3" x14ac:dyDescent="0.25">
      <c r="C8355" s="42"/>
    </row>
    <row r="8356" spans="3:3" x14ac:dyDescent="0.25">
      <c r="C8356" s="42"/>
    </row>
    <row r="8357" spans="3:3" x14ac:dyDescent="0.25">
      <c r="C8357" s="42"/>
    </row>
    <row r="8358" spans="3:3" x14ac:dyDescent="0.25">
      <c r="C8358" s="42"/>
    </row>
    <row r="8359" spans="3:3" x14ac:dyDescent="0.25">
      <c r="C8359" s="42"/>
    </row>
    <row r="8360" spans="3:3" x14ac:dyDescent="0.25">
      <c r="C8360" s="42"/>
    </row>
    <row r="8361" spans="3:3" x14ac:dyDescent="0.25">
      <c r="C8361" s="42"/>
    </row>
    <row r="8362" spans="3:3" x14ac:dyDescent="0.25">
      <c r="C8362" s="42"/>
    </row>
    <row r="8363" spans="3:3" x14ac:dyDescent="0.25">
      <c r="C8363" s="42"/>
    </row>
    <row r="8364" spans="3:3" x14ac:dyDescent="0.25">
      <c r="C8364" s="42"/>
    </row>
    <row r="8365" spans="3:3" x14ac:dyDescent="0.25">
      <c r="C8365" s="42"/>
    </row>
    <row r="8366" spans="3:3" x14ac:dyDescent="0.25">
      <c r="C8366" s="42"/>
    </row>
    <row r="8367" spans="3:3" x14ac:dyDescent="0.25">
      <c r="C8367" s="42"/>
    </row>
    <row r="8368" spans="3:3" x14ac:dyDescent="0.25">
      <c r="C8368" s="42"/>
    </row>
    <row r="8369" spans="3:3" x14ac:dyDescent="0.25">
      <c r="C8369" s="42"/>
    </row>
    <row r="8370" spans="3:3" x14ac:dyDescent="0.25">
      <c r="C8370" s="42"/>
    </row>
    <row r="8371" spans="3:3" x14ac:dyDescent="0.25">
      <c r="C8371" s="42"/>
    </row>
    <row r="8372" spans="3:3" x14ac:dyDescent="0.25">
      <c r="C8372" s="42"/>
    </row>
    <row r="8373" spans="3:3" x14ac:dyDescent="0.25">
      <c r="C8373" s="42"/>
    </row>
    <row r="8374" spans="3:3" x14ac:dyDescent="0.25">
      <c r="C8374" s="42"/>
    </row>
    <row r="8375" spans="3:3" x14ac:dyDescent="0.25">
      <c r="C8375" s="42"/>
    </row>
    <row r="8376" spans="3:3" x14ac:dyDescent="0.25">
      <c r="C8376" s="42"/>
    </row>
    <row r="8377" spans="3:3" x14ac:dyDescent="0.25">
      <c r="C8377" s="42"/>
    </row>
    <row r="8378" spans="3:3" x14ac:dyDescent="0.25">
      <c r="C8378" s="42"/>
    </row>
    <row r="8379" spans="3:3" x14ac:dyDescent="0.25">
      <c r="C8379" s="42"/>
    </row>
    <row r="8380" spans="3:3" x14ac:dyDescent="0.25">
      <c r="C8380" s="42"/>
    </row>
    <row r="8381" spans="3:3" x14ac:dyDescent="0.25">
      <c r="C8381" s="42"/>
    </row>
    <row r="8382" spans="3:3" x14ac:dyDescent="0.25">
      <c r="C8382" s="42"/>
    </row>
    <row r="8383" spans="3:3" x14ac:dyDescent="0.25">
      <c r="C8383" s="42"/>
    </row>
    <row r="8384" spans="3:3" x14ac:dyDescent="0.25">
      <c r="C8384" s="42"/>
    </row>
    <row r="8385" spans="3:3" x14ac:dyDescent="0.25">
      <c r="C8385" s="42"/>
    </row>
    <row r="8386" spans="3:3" x14ac:dyDescent="0.25">
      <c r="C8386" s="42"/>
    </row>
    <row r="8387" spans="3:3" x14ac:dyDescent="0.25">
      <c r="C8387" s="42"/>
    </row>
    <row r="8388" spans="3:3" x14ac:dyDescent="0.25">
      <c r="C8388" s="42"/>
    </row>
    <row r="8389" spans="3:3" x14ac:dyDescent="0.25">
      <c r="C8389" s="42"/>
    </row>
    <row r="8390" spans="3:3" x14ac:dyDescent="0.25">
      <c r="C8390" s="42"/>
    </row>
    <row r="8391" spans="3:3" x14ac:dyDescent="0.25">
      <c r="C8391" s="42"/>
    </row>
    <row r="8392" spans="3:3" x14ac:dyDescent="0.25">
      <c r="C8392" s="42"/>
    </row>
    <row r="8393" spans="3:3" x14ac:dyDescent="0.25">
      <c r="C8393" s="42"/>
    </row>
    <row r="8394" spans="3:3" x14ac:dyDescent="0.25">
      <c r="C8394" s="42"/>
    </row>
    <row r="8395" spans="3:3" x14ac:dyDescent="0.25">
      <c r="C8395" s="42"/>
    </row>
    <row r="8396" spans="3:3" x14ac:dyDescent="0.25">
      <c r="C8396" s="42"/>
    </row>
    <row r="8397" spans="3:3" x14ac:dyDescent="0.25">
      <c r="C8397" s="42"/>
    </row>
    <row r="8398" spans="3:3" x14ac:dyDescent="0.25">
      <c r="C8398" s="42"/>
    </row>
    <row r="8399" spans="3:3" x14ac:dyDescent="0.25">
      <c r="C8399" s="42"/>
    </row>
    <row r="8400" spans="3:3" x14ac:dyDescent="0.25">
      <c r="C8400" s="42"/>
    </row>
    <row r="8401" spans="3:3" x14ac:dyDescent="0.25">
      <c r="C8401" s="42"/>
    </row>
    <row r="8402" spans="3:3" x14ac:dyDescent="0.25">
      <c r="C8402" s="42"/>
    </row>
    <row r="8403" spans="3:3" x14ac:dyDescent="0.25">
      <c r="C8403" s="42"/>
    </row>
    <row r="8404" spans="3:3" x14ac:dyDescent="0.25">
      <c r="C8404" s="42"/>
    </row>
    <row r="8405" spans="3:3" x14ac:dyDescent="0.25">
      <c r="C8405" s="42"/>
    </row>
    <row r="8406" spans="3:3" x14ac:dyDescent="0.25">
      <c r="C8406" s="42"/>
    </row>
    <row r="8407" spans="3:3" x14ac:dyDescent="0.25">
      <c r="C8407" s="42"/>
    </row>
    <row r="8408" spans="3:3" x14ac:dyDescent="0.25">
      <c r="C8408" s="42"/>
    </row>
    <row r="8409" spans="3:3" x14ac:dyDescent="0.25">
      <c r="C8409" s="42"/>
    </row>
    <row r="8410" spans="3:3" x14ac:dyDescent="0.25">
      <c r="C8410" s="42"/>
    </row>
    <row r="8411" spans="3:3" x14ac:dyDescent="0.25">
      <c r="C8411" s="42"/>
    </row>
    <row r="8412" spans="3:3" x14ac:dyDescent="0.25">
      <c r="C8412" s="42"/>
    </row>
    <row r="8413" spans="3:3" x14ac:dyDescent="0.25">
      <c r="C8413" s="42"/>
    </row>
    <row r="8414" spans="3:3" x14ac:dyDescent="0.25">
      <c r="C8414" s="42"/>
    </row>
    <row r="8415" spans="3:3" x14ac:dyDescent="0.25">
      <c r="C8415" s="42"/>
    </row>
    <row r="8416" spans="3:3" x14ac:dyDescent="0.25">
      <c r="C8416" s="42"/>
    </row>
    <row r="8417" spans="3:3" x14ac:dyDescent="0.25">
      <c r="C8417" s="42"/>
    </row>
    <row r="8418" spans="3:3" x14ac:dyDescent="0.25">
      <c r="C8418" s="42"/>
    </row>
    <row r="8419" spans="3:3" x14ac:dyDescent="0.25">
      <c r="C8419" s="42"/>
    </row>
    <row r="8420" spans="3:3" x14ac:dyDescent="0.25">
      <c r="C8420" s="42"/>
    </row>
    <row r="8421" spans="3:3" x14ac:dyDescent="0.25">
      <c r="C8421" s="42"/>
    </row>
    <row r="8422" spans="3:3" x14ac:dyDescent="0.25">
      <c r="C8422" s="42"/>
    </row>
    <row r="8423" spans="3:3" x14ac:dyDescent="0.25">
      <c r="C8423" s="42"/>
    </row>
    <row r="8424" spans="3:3" x14ac:dyDescent="0.25">
      <c r="C8424" s="42"/>
    </row>
    <row r="8425" spans="3:3" x14ac:dyDescent="0.25">
      <c r="C8425" s="42"/>
    </row>
    <row r="8426" spans="3:3" x14ac:dyDescent="0.25">
      <c r="C8426" s="42"/>
    </row>
    <row r="8427" spans="3:3" x14ac:dyDescent="0.25">
      <c r="C8427" s="42"/>
    </row>
    <row r="8428" spans="3:3" x14ac:dyDescent="0.25">
      <c r="C8428" s="42"/>
    </row>
    <row r="8429" spans="3:3" x14ac:dyDescent="0.25">
      <c r="C8429" s="42"/>
    </row>
    <row r="8430" spans="3:3" x14ac:dyDescent="0.25">
      <c r="C8430" s="42"/>
    </row>
    <row r="8431" spans="3:3" x14ac:dyDescent="0.25">
      <c r="C8431" s="42"/>
    </row>
    <row r="8432" spans="3:3" x14ac:dyDescent="0.25">
      <c r="C8432" s="42"/>
    </row>
    <row r="8433" spans="3:3" x14ac:dyDescent="0.25">
      <c r="C8433" s="42"/>
    </row>
    <row r="8434" spans="3:3" x14ac:dyDescent="0.25">
      <c r="C8434" s="42"/>
    </row>
    <row r="8435" spans="3:3" x14ac:dyDescent="0.25">
      <c r="C8435" s="42"/>
    </row>
    <row r="8436" spans="3:3" x14ac:dyDescent="0.25">
      <c r="C8436" s="42"/>
    </row>
    <row r="8437" spans="3:3" x14ac:dyDescent="0.25">
      <c r="C8437" s="42"/>
    </row>
    <row r="8438" spans="3:3" x14ac:dyDescent="0.25">
      <c r="C8438" s="42"/>
    </row>
    <row r="8439" spans="3:3" x14ac:dyDescent="0.25">
      <c r="C8439" s="42"/>
    </row>
    <row r="8440" spans="3:3" x14ac:dyDescent="0.25">
      <c r="C8440" s="42"/>
    </row>
    <row r="8441" spans="3:3" x14ac:dyDescent="0.25">
      <c r="C8441" s="42"/>
    </row>
    <row r="8442" spans="3:3" x14ac:dyDescent="0.25">
      <c r="C8442" s="42"/>
    </row>
    <row r="8443" spans="3:3" x14ac:dyDescent="0.25">
      <c r="C8443" s="42"/>
    </row>
    <row r="8444" spans="3:3" x14ac:dyDescent="0.25">
      <c r="C8444" s="42"/>
    </row>
    <row r="8445" spans="3:3" x14ac:dyDescent="0.25">
      <c r="C8445" s="42"/>
    </row>
    <row r="8446" spans="3:3" x14ac:dyDescent="0.25">
      <c r="C8446" s="42"/>
    </row>
    <row r="8447" spans="3:3" x14ac:dyDescent="0.25">
      <c r="C8447" s="42"/>
    </row>
    <row r="8448" spans="3:3" x14ac:dyDescent="0.25">
      <c r="C8448" s="42"/>
    </row>
    <row r="8449" spans="3:3" x14ac:dyDescent="0.25">
      <c r="C8449" s="42"/>
    </row>
    <row r="8450" spans="3:3" x14ac:dyDescent="0.25">
      <c r="C8450" s="42"/>
    </row>
    <row r="8451" spans="3:3" x14ac:dyDescent="0.25">
      <c r="C8451" s="42"/>
    </row>
    <row r="8452" spans="3:3" x14ac:dyDescent="0.25">
      <c r="C8452" s="42"/>
    </row>
    <row r="8453" spans="3:3" x14ac:dyDescent="0.25">
      <c r="C8453" s="42"/>
    </row>
    <row r="8454" spans="3:3" x14ac:dyDescent="0.25">
      <c r="C8454" s="42"/>
    </row>
    <row r="8455" spans="3:3" x14ac:dyDescent="0.25">
      <c r="C8455" s="42"/>
    </row>
    <row r="8456" spans="3:3" x14ac:dyDescent="0.25">
      <c r="C8456" s="42"/>
    </row>
    <row r="8457" spans="3:3" x14ac:dyDescent="0.25">
      <c r="C8457" s="42"/>
    </row>
    <row r="8458" spans="3:3" x14ac:dyDescent="0.25">
      <c r="C8458" s="42"/>
    </row>
    <row r="8459" spans="3:3" x14ac:dyDescent="0.25">
      <c r="C8459" s="42"/>
    </row>
    <row r="8460" spans="3:3" x14ac:dyDescent="0.25">
      <c r="C8460" s="42"/>
    </row>
    <row r="8461" spans="3:3" x14ac:dyDescent="0.25">
      <c r="C8461" s="42"/>
    </row>
    <row r="8462" spans="3:3" x14ac:dyDescent="0.25">
      <c r="C8462" s="42"/>
    </row>
    <row r="8463" spans="3:3" x14ac:dyDescent="0.25">
      <c r="C8463" s="42"/>
    </row>
    <row r="8464" spans="3:3" x14ac:dyDescent="0.25">
      <c r="C8464" s="42"/>
    </row>
    <row r="8465" spans="3:3" x14ac:dyDescent="0.25">
      <c r="C8465" s="42"/>
    </row>
    <row r="8466" spans="3:3" x14ac:dyDescent="0.25">
      <c r="C8466" s="42"/>
    </row>
    <row r="8467" spans="3:3" x14ac:dyDescent="0.25">
      <c r="C8467" s="42"/>
    </row>
    <row r="8468" spans="3:3" x14ac:dyDescent="0.25">
      <c r="C8468" s="42"/>
    </row>
    <row r="8469" spans="3:3" x14ac:dyDescent="0.25">
      <c r="C8469" s="42"/>
    </row>
    <row r="8470" spans="3:3" x14ac:dyDescent="0.25">
      <c r="C8470" s="42"/>
    </row>
    <row r="8471" spans="3:3" x14ac:dyDescent="0.25">
      <c r="C8471" s="42"/>
    </row>
    <row r="8472" spans="3:3" x14ac:dyDescent="0.25">
      <c r="C8472" s="42"/>
    </row>
    <row r="8473" spans="3:3" x14ac:dyDescent="0.25">
      <c r="C8473" s="42"/>
    </row>
    <row r="8474" spans="3:3" x14ac:dyDescent="0.25">
      <c r="C8474" s="42"/>
    </row>
    <row r="8475" spans="3:3" x14ac:dyDescent="0.25">
      <c r="C8475" s="42"/>
    </row>
    <row r="8476" spans="3:3" x14ac:dyDescent="0.25">
      <c r="C8476" s="42"/>
    </row>
    <row r="8477" spans="3:3" x14ac:dyDescent="0.25">
      <c r="C8477" s="42"/>
    </row>
    <row r="8478" spans="3:3" x14ac:dyDescent="0.25">
      <c r="C8478" s="42"/>
    </row>
    <row r="8479" spans="3:3" x14ac:dyDescent="0.25">
      <c r="C8479" s="42"/>
    </row>
    <row r="8480" spans="3:3" x14ac:dyDescent="0.25">
      <c r="C8480" s="42"/>
    </row>
    <row r="8481" spans="3:3" x14ac:dyDescent="0.25">
      <c r="C8481" s="42"/>
    </row>
    <row r="8482" spans="3:3" x14ac:dyDescent="0.25">
      <c r="C8482" s="42"/>
    </row>
    <row r="8483" spans="3:3" x14ac:dyDescent="0.25">
      <c r="C8483" s="42"/>
    </row>
    <row r="8484" spans="3:3" x14ac:dyDescent="0.25">
      <c r="C8484" s="42"/>
    </row>
    <row r="8485" spans="3:3" x14ac:dyDescent="0.25">
      <c r="C8485" s="42"/>
    </row>
    <row r="8486" spans="3:3" x14ac:dyDescent="0.25">
      <c r="C8486" s="42"/>
    </row>
    <row r="8487" spans="3:3" x14ac:dyDescent="0.25">
      <c r="C8487" s="42"/>
    </row>
    <row r="8488" spans="3:3" x14ac:dyDescent="0.25">
      <c r="C8488" s="42"/>
    </row>
    <row r="8489" spans="3:3" x14ac:dyDescent="0.25">
      <c r="C8489" s="42"/>
    </row>
    <row r="8490" spans="3:3" x14ac:dyDescent="0.25">
      <c r="C8490" s="42"/>
    </row>
    <row r="8491" spans="3:3" x14ac:dyDescent="0.25">
      <c r="C8491" s="42"/>
    </row>
    <row r="8492" spans="3:3" x14ac:dyDescent="0.25">
      <c r="C8492" s="42"/>
    </row>
    <row r="8493" spans="3:3" x14ac:dyDescent="0.25">
      <c r="C8493" s="42"/>
    </row>
    <row r="8494" spans="3:3" x14ac:dyDescent="0.25">
      <c r="C8494" s="42"/>
    </row>
    <row r="8495" spans="3:3" x14ac:dyDescent="0.25">
      <c r="C8495" s="42"/>
    </row>
    <row r="8496" spans="3:3" x14ac:dyDescent="0.25">
      <c r="C8496" s="42"/>
    </row>
    <row r="8497" spans="3:3" x14ac:dyDescent="0.25">
      <c r="C8497" s="42"/>
    </row>
    <row r="8498" spans="3:3" x14ac:dyDescent="0.25">
      <c r="C8498" s="42"/>
    </row>
    <row r="8499" spans="3:3" x14ac:dyDescent="0.25">
      <c r="C8499" s="42"/>
    </row>
    <row r="8500" spans="3:3" x14ac:dyDescent="0.25">
      <c r="C8500" s="42"/>
    </row>
    <row r="8501" spans="3:3" x14ac:dyDescent="0.25">
      <c r="C8501" s="42"/>
    </row>
    <row r="8502" spans="3:3" x14ac:dyDescent="0.25">
      <c r="C8502" s="42"/>
    </row>
    <row r="8503" spans="3:3" x14ac:dyDescent="0.25">
      <c r="C8503" s="42"/>
    </row>
    <row r="8504" spans="3:3" x14ac:dyDescent="0.25">
      <c r="C8504" s="42"/>
    </row>
    <row r="8505" spans="3:3" x14ac:dyDescent="0.25">
      <c r="C8505" s="42"/>
    </row>
    <row r="8506" spans="3:3" x14ac:dyDescent="0.25">
      <c r="C8506" s="42"/>
    </row>
    <row r="8507" spans="3:3" x14ac:dyDescent="0.25">
      <c r="C8507" s="42"/>
    </row>
    <row r="8508" spans="3:3" x14ac:dyDescent="0.25">
      <c r="C8508" s="42"/>
    </row>
    <row r="8509" spans="3:3" x14ac:dyDescent="0.25">
      <c r="C8509" s="42"/>
    </row>
    <row r="8510" spans="3:3" x14ac:dyDescent="0.25">
      <c r="C8510" s="42"/>
    </row>
    <row r="8511" spans="3:3" x14ac:dyDescent="0.25">
      <c r="C8511" s="42"/>
    </row>
    <row r="8512" spans="3:3" x14ac:dyDescent="0.25">
      <c r="C8512" s="42"/>
    </row>
    <row r="8513" spans="3:3" x14ac:dyDescent="0.25">
      <c r="C8513" s="42"/>
    </row>
    <row r="8514" spans="3:3" x14ac:dyDescent="0.25">
      <c r="C8514" s="42"/>
    </row>
    <row r="8515" spans="3:3" x14ac:dyDescent="0.25">
      <c r="C8515" s="42"/>
    </row>
    <row r="8516" spans="3:3" x14ac:dyDescent="0.25">
      <c r="C8516" s="42"/>
    </row>
    <row r="8517" spans="3:3" x14ac:dyDescent="0.25">
      <c r="C8517" s="42"/>
    </row>
    <row r="8518" spans="3:3" x14ac:dyDescent="0.25">
      <c r="C8518" s="42"/>
    </row>
    <row r="8519" spans="3:3" x14ac:dyDescent="0.25">
      <c r="C8519" s="42"/>
    </row>
    <row r="8520" spans="3:3" x14ac:dyDescent="0.25">
      <c r="C8520" s="42"/>
    </row>
    <row r="8521" spans="3:3" x14ac:dyDescent="0.25">
      <c r="C8521" s="42"/>
    </row>
    <row r="8522" spans="3:3" x14ac:dyDescent="0.25">
      <c r="C8522" s="42"/>
    </row>
    <row r="8523" spans="3:3" x14ac:dyDescent="0.25">
      <c r="C8523" s="42"/>
    </row>
    <row r="8524" spans="3:3" x14ac:dyDescent="0.25">
      <c r="C8524" s="42"/>
    </row>
    <row r="8525" spans="3:3" x14ac:dyDescent="0.25">
      <c r="C8525" s="42"/>
    </row>
    <row r="8526" spans="3:3" x14ac:dyDescent="0.25">
      <c r="C8526" s="42"/>
    </row>
    <row r="8527" spans="3:3" x14ac:dyDescent="0.25">
      <c r="C8527" s="42"/>
    </row>
    <row r="8528" spans="3:3" x14ac:dyDescent="0.25">
      <c r="C8528" s="42"/>
    </row>
    <row r="8529" spans="3:3" x14ac:dyDescent="0.25">
      <c r="C8529" s="42"/>
    </row>
    <row r="8530" spans="3:3" x14ac:dyDescent="0.25">
      <c r="C8530" s="42"/>
    </row>
    <row r="8531" spans="3:3" x14ac:dyDescent="0.25">
      <c r="C8531" s="42"/>
    </row>
    <row r="8532" spans="3:3" x14ac:dyDescent="0.25">
      <c r="C8532" s="42"/>
    </row>
    <row r="8533" spans="3:3" x14ac:dyDescent="0.25">
      <c r="C8533" s="42"/>
    </row>
    <row r="8534" spans="3:3" x14ac:dyDescent="0.25">
      <c r="C8534" s="42"/>
    </row>
    <row r="8535" spans="3:3" x14ac:dyDescent="0.25">
      <c r="C8535" s="42"/>
    </row>
    <row r="8536" spans="3:3" x14ac:dyDescent="0.25">
      <c r="C8536" s="42"/>
    </row>
    <row r="8537" spans="3:3" x14ac:dyDescent="0.25">
      <c r="C8537" s="42"/>
    </row>
    <row r="8538" spans="3:3" x14ac:dyDescent="0.25">
      <c r="C8538" s="42"/>
    </row>
    <row r="8539" spans="3:3" x14ac:dyDescent="0.25">
      <c r="C8539" s="42"/>
    </row>
    <row r="8540" spans="3:3" x14ac:dyDescent="0.25">
      <c r="C8540" s="42"/>
    </row>
    <row r="8541" spans="3:3" x14ac:dyDescent="0.25">
      <c r="C8541" s="42"/>
    </row>
    <row r="8542" spans="3:3" x14ac:dyDescent="0.25">
      <c r="C8542" s="42"/>
    </row>
    <row r="8543" spans="3:3" x14ac:dyDescent="0.25">
      <c r="C8543" s="42"/>
    </row>
    <row r="8544" spans="3:3" x14ac:dyDescent="0.25">
      <c r="C8544" s="42"/>
    </row>
    <row r="8545" spans="3:3" x14ac:dyDescent="0.25">
      <c r="C8545" s="42"/>
    </row>
    <row r="8546" spans="3:3" x14ac:dyDescent="0.25">
      <c r="C8546" s="42"/>
    </row>
    <row r="8547" spans="3:3" x14ac:dyDescent="0.25">
      <c r="C8547" s="42"/>
    </row>
    <row r="8548" spans="3:3" x14ac:dyDescent="0.25">
      <c r="C8548" s="42"/>
    </row>
    <row r="8549" spans="3:3" x14ac:dyDescent="0.25">
      <c r="C8549" s="42"/>
    </row>
    <row r="8550" spans="3:3" x14ac:dyDescent="0.25">
      <c r="C8550" s="42"/>
    </row>
    <row r="8551" spans="3:3" x14ac:dyDescent="0.25">
      <c r="C8551" s="42"/>
    </row>
    <row r="8552" spans="3:3" x14ac:dyDescent="0.25">
      <c r="C8552" s="42"/>
    </row>
    <row r="8553" spans="3:3" x14ac:dyDescent="0.25">
      <c r="C8553" s="42"/>
    </row>
    <row r="8554" spans="3:3" x14ac:dyDescent="0.25">
      <c r="C8554" s="42"/>
    </row>
    <row r="8555" spans="3:3" x14ac:dyDescent="0.25">
      <c r="C8555" s="42"/>
    </row>
    <row r="8556" spans="3:3" x14ac:dyDescent="0.25">
      <c r="C8556" s="42"/>
    </row>
    <row r="8557" spans="3:3" x14ac:dyDescent="0.25">
      <c r="C8557" s="42"/>
    </row>
    <row r="8558" spans="3:3" x14ac:dyDescent="0.25">
      <c r="C8558" s="42"/>
    </row>
    <row r="8559" spans="3:3" x14ac:dyDescent="0.25">
      <c r="C8559" s="42"/>
    </row>
    <row r="8560" spans="3:3" x14ac:dyDescent="0.25">
      <c r="C8560" s="42"/>
    </row>
    <row r="8561" spans="3:3" x14ac:dyDescent="0.25">
      <c r="C8561" s="42"/>
    </row>
    <row r="8562" spans="3:3" x14ac:dyDescent="0.25">
      <c r="C8562" s="42"/>
    </row>
    <row r="8563" spans="3:3" x14ac:dyDescent="0.25">
      <c r="C8563" s="42"/>
    </row>
    <row r="8564" spans="3:3" x14ac:dyDescent="0.25">
      <c r="C8564" s="42"/>
    </row>
    <row r="8565" spans="3:3" x14ac:dyDescent="0.25">
      <c r="C8565" s="42"/>
    </row>
    <row r="8566" spans="3:3" x14ac:dyDescent="0.25">
      <c r="C8566" s="42"/>
    </row>
    <row r="8567" spans="3:3" x14ac:dyDescent="0.25">
      <c r="C8567" s="42"/>
    </row>
    <row r="8568" spans="3:3" x14ac:dyDescent="0.25">
      <c r="C8568" s="42"/>
    </row>
    <row r="8569" spans="3:3" x14ac:dyDescent="0.25">
      <c r="C8569" s="42"/>
    </row>
    <row r="8570" spans="3:3" x14ac:dyDescent="0.25">
      <c r="C8570" s="42"/>
    </row>
    <row r="8571" spans="3:3" x14ac:dyDescent="0.25">
      <c r="C8571" s="42"/>
    </row>
    <row r="8572" spans="3:3" x14ac:dyDescent="0.25">
      <c r="C8572" s="42"/>
    </row>
    <row r="8573" spans="3:3" x14ac:dyDescent="0.25">
      <c r="C8573" s="42"/>
    </row>
    <row r="8574" spans="3:3" x14ac:dyDescent="0.25">
      <c r="C8574" s="42"/>
    </row>
    <row r="8575" spans="3:3" x14ac:dyDescent="0.25">
      <c r="C8575" s="42"/>
    </row>
    <row r="8576" spans="3:3" x14ac:dyDescent="0.25">
      <c r="C8576" s="42"/>
    </row>
    <row r="8577" spans="3:3" x14ac:dyDescent="0.25">
      <c r="C8577" s="42"/>
    </row>
    <row r="8578" spans="3:3" x14ac:dyDescent="0.25">
      <c r="C8578" s="42"/>
    </row>
    <row r="8579" spans="3:3" x14ac:dyDescent="0.25">
      <c r="C8579" s="42"/>
    </row>
    <row r="8580" spans="3:3" x14ac:dyDescent="0.25">
      <c r="C8580" s="42"/>
    </row>
    <row r="8581" spans="3:3" x14ac:dyDescent="0.25">
      <c r="C8581" s="42"/>
    </row>
    <row r="8582" spans="3:3" x14ac:dyDescent="0.25">
      <c r="C8582" s="42"/>
    </row>
    <row r="8583" spans="3:3" x14ac:dyDescent="0.25">
      <c r="C8583" s="42"/>
    </row>
    <row r="8584" spans="3:3" x14ac:dyDescent="0.25">
      <c r="C8584" s="42"/>
    </row>
    <row r="8585" spans="3:3" x14ac:dyDescent="0.25">
      <c r="C8585" s="42"/>
    </row>
    <row r="8586" spans="3:3" x14ac:dyDescent="0.25">
      <c r="C8586" s="42"/>
    </row>
    <row r="8587" spans="3:3" x14ac:dyDescent="0.25">
      <c r="C8587" s="42"/>
    </row>
    <row r="8588" spans="3:3" x14ac:dyDescent="0.25">
      <c r="C8588" s="42"/>
    </row>
    <row r="8589" spans="3:3" x14ac:dyDescent="0.25">
      <c r="C8589" s="42"/>
    </row>
    <row r="8590" spans="3:3" x14ac:dyDescent="0.25">
      <c r="C8590" s="42"/>
    </row>
    <row r="8591" spans="3:3" x14ac:dyDescent="0.25">
      <c r="C8591" s="42"/>
    </row>
    <row r="8592" spans="3:3" x14ac:dyDescent="0.25">
      <c r="C8592" s="42"/>
    </row>
    <row r="8593" spans="3:3" x14ac:dyDescent="0.25">
      <c r="C8593" s="42"/>
    </row>
    <row r="8594" spans="3:3" x14ac:dyDescent="0.25">
      <c r="C8594" s="42"/>
    </row>
    <row r="8595" spans="3:3" x14ac:dyDescent="0.25">
      <c r="C8595" s="42"/>
    </row>
    <row r="8596" spans="3:3" x14ac:dyDescent="0.25">
      <c r="C8596" s="42"/>
    </row>
    <row r="8597" spans="3:3" x14ac:dyDescent="0.25">
      <c r="C8597" s="42"/>
    </row>
    <row r="8598" spans="3:3" x14ac:dyDescent="0.25">
      <c r="C8598" s="42"/>
    </row>
    <row r="8599" spans="3:3" x14ac:dyDescent="0.25">
      <c r="C8599" s="42"/>
    </row>
    <row r="8600" spans="3:3" x14ac:dyDescent="0.25">
      <c r="C8600" s="42"/>
    </row>
    <row r="8601" spans="3:3" x14ac:dyDescent="0.25">
      <c r="C8601" s="42"/>
    </row>
    <row r="8602" spans="3:3" x14ac:dyDescent="0.25">
      <c r="C8602" s="42"/>
    </row>
    <row r="8603" spans="3:3" x14ac:dyDescent="0.25">
      <c r="C8603" s="42"/>
    </row>
    <row r="8604" spans="3:3" x14ac:dyDescent="0.25">
      <c r="C8604" s="42"/>
    </row>
    <row r="8605" spans="3:3" x14ac:dyDescent="0.25">
      <c r="C8605" s="42"/>
    </row>
    <row r="8606" spans="3:3" x14ac:dyDescent="0.25">
      <c r="C8606" s="42"/>
    </row>
    <row r="8607" spans="3:3" x14ac:dyDescent="0.25">
      <c r="C8607" s="42"/>
    </row>
    <row r="8608" spans="3:3" x14ac:dyDescent="0.25">
      <c r="C8608" s="42"/>
    </row>
    <row r="8609" spans="3:3" x14ac:dyDescent="0.25">
      <c r="C8609" s="42"/>
    </row>
    <row r="8610" spans="3:3" x14ac:dyDescent="0.25">
      <c r="C8610" s="42"/>
    </row>
    <row r="8611" spans="3:3" x14ac:dyDescent="0.25">
      <c r="C8611" s="42"/>
    </row>
    <row r="8612" spans="3:3" x14ac:dyDescent="0.25">
      <c r="C8612" s="42"/>
    </row>
    <row r="8613" spans="3:3" x14ac:dyDescent="0.25">
      <c r="C8613" s="42"/>
    </row>
    <row r="8614" spans="3:3" x14ac:dyDescent="0.25">
      <c r="C8614" s="42"/>
    </row>
    <row r="8615" spans="3:3" x14ac:dyDescent="0.25">
      <c r="C8615" s="42"/>
    </row>
    <row r="8616" spans="3:3" x14ac:dyDescent="0.25">
      <c r="C8616" s="42"/>
    </row>
    <row r="8617" spans="3:3" x14ac:dyDescent="0.25">
      <c r="C8617" s="42"/>
    </row>
    <row r="8618" spans="3:3" x14ac:dyDescent="0.25">
      <c r="C8618" s="42"/>
    </row>
    <row r="8619" spans="3:3" x14ac:dyDescent="0.25">
      <c r="C8619" s="42"/>
    </row>
    <row r="8620" spans="3:3" x14ac:dyDescent="0.25">
      <c r="C8620" s="42"/>
    </row>
    <row r="8621" spans="3:3" x14ac:dyDescent="0.25">
      <c r="C8621" s="42"/>
    </row>
    <row r="8622" spans="3:3" x14ac:dyDescent="0.25">
      <c r="C8622" s="42"/>
    </row>
    <row r="8623" spans="3:3" x14ac:dyDescent="0.25">
      <c r="C8623" s="42"/>
    </row>
    <row r="8624" spans="3:3" x14ac:dyDescent="0.25">
      <c r="C8624" s="42"/>
    </row>
    <row r="8625" spans="3:3" x14ac:dyDescent="0.25">
      <c r="C8625" s="42"/>
    </row>
    <row r="8626" spans="3:3" x14ac:dyDescent="0.25">
      <c r="C8626" s="42"/>
    </row>
    <row r="8627" spans="3:3" x14ac:dyDescent="0.25">
      <c r="C8627" s="42"/>
    </row>
    <row r="8628" spans="3:3" x14ac:dyDescent="0.25">
      <c r="C8628" s="42"/>
    </row>
    <row r="8629" spans="3:3" x14ac:dyDescent="0.25">
      <c r="C8629" s="42"/>
    </row>
    <row r="8630" spans="3:3" x14ac:dyDescent="0.25">
      <c r="C8630" s="42"/>
    </row>
    <row r="8631" spans="3:3" x14ac:dyDescent="0.25">
      <c r="C8631" s="42"/>
    </row>
    <row r="8632" spans="3:3" x14ac:dyDescent="0.25">
      <c r="C8632" s="42"/>
    </row>
    <row r="8633" spans="3:3" x14ac:dyDescent="0.25">
      <c r="C8633" s="42"/>
    </row>
    <row r="8634" spans="3:3" x14ac:dyDescent="0.25">
      <c r="C8634" s="42"/>
    </row>
    <row r="8635" spans="3:3" x14ac:dyDescent="0.25">
      <c r="C8635" s="42"/>
    </row>
    <row r="8636" spans="3:3" x14ac:dyDescent="0.25">
      <c r="C8636" s="42"/>
    </row>
    <row r="8637" spans="3:3" x14ac:dyDescent="0.25">
      <c r="C8637" s="42"/>
    </row>
    <row r="8638" spans="3:3" x14ac:dyDescent="0.25">
      <c r="C8638" s="42"/>
    </row>
    <row r="8639" spans="3:3" x14ac:dyDescent="0.25">
      <c r="C8639" s="42"/>
    </row>
    <row r="8640" spans="3:3" x14ac:dyDescent="0.25">
      <c r="C8640" s="42"/>
    </row>
    <row r="8641" spans="3:3" x14ac:dyDescent="0.25">
      <c r="C8641" s="42"/>
    </row>
    <row r="8642" spans="3:3" x14ac:dyDescent="0.25">
      <c r="C8642" s="42"/>
    </row>
    <row r="8643" spans="3:3" x14ac:dyDescent="0.25">
      <c r="C8643" s="42"/>
    </row>
    <row r="8644" spans="3:3" x14ac:dyDescent="0.25">
      <c r="C8644" s="42"/>
    </row>
    <row r="8645" spans="3:3" x14ac:dyDescent="0.25">
      <c r="C8645" s="42"/>
    </row>
    <row r="8646" spans="3:3" x14ac:dyDescent="0.25">
      <c r="C8646" s="42"/>
    </row>
    <row r="8647" spans="3:3" x14ac:dyDescent="0.25">
      <c r="C8647" s="42"/>
    </row>
    <row r="8648" spans="3:3" x14ac:dyDescent="0.25">
      <c r="C8648" s="42"/>
    </row>
    <row r="8649" spans="3:3" x14ac:dyDescent="0.25">
      <c r="C8649" s="42"/>
    </row>
    <row r="8650" spans="3:3" x14ac:dyDescent="0.25">
      <c r="C8650" s="42"/>
    </row>
    <row r="8651" spans="3:3" x14ac:dyDescent="0.25">
      <c r="C8651" s="42"/>
    </row>
    <row r="8652" spans="3:3" x14ac:dyDescent="0.25">
      <c r="C8652" s="42"/>
    </row>
    <row r="8653" spans="3:3" x14ac:dyDescent="0.25">
      <c r="C8653" s="42"/>
    </row>
    <row r="8654" spans="3:3" x14ac:dyDescent="0.25">
      <c r="C8654" s="42"/>
    </row>
    <row r="8655" spans="3:3" x14ac:dyDescent="0.25">
      <c r="C8655" s="42"/>
    </row>
    <row r="8656" spans="3:3" x14ac:dyDescent="0.25">
      <c r="C8656" s="42"/>
    </row>
    <row r="8657" spans="3:3" x14ac:dyDescent="0.25">
      <c r="C8657" s="42"/>
    </row>
    <row r="8658" spans="3:3" x14ac:dyDescent="0.25">
      <c r="C8658" s="42"/>
    </row>
    <row r="8659" spans="3:3" x14ac:dyDescent="0.25">
      <c r="C8659" s="42"/>
    </row>
    <row r="8660" spans="3:3" x14ac:dyDescent="0.25">
      <c r="C8660" s="42"/>
    </row>
    <row r="8661" spans="3:3" x14ac:dyDescent="0.25">
      <c r="C8661" s="42"/>
    </row>
    <row r="8662" spans="3:3" x14ac:dyDescent="0.25">
      <c r="C8662" s="42"/>
    </row>
    <row r="8663" spans="3:3" x14ac:dyDescent="0.25">
      <c r="C8663" s="42"/>
    </row>
    <row r="8664" spans="3:3" x14ac:dyDescent="0.25">
      <c r="C8664" s="42"/>
    </row>
    <row r="8665" spans="3:3" x14ac:dyDescent="0.25">
      <c r="C8665" s="42"/>
    </row>
    <row r="8666" spans="3:3" x14ac:dyDescent="0.25">
      <c r="C8666" s="42"/>
    </row>
    <row r="8667" spans="3:3" x14ac:dyDescent="0.25">
      <c r="C8667" s="42"/>
    </row>
    <row r="8668" spans="3:3" x14ac:dyDescent="0.25">
      <c r="C8668" s="42"/>
    </row>
    <row r="8669" spans="3:3" x14ac:dyDescent="0.25">
      <c r="C8669" s="42"/>
    </row>
    <row r="8670" spans="3:3" x14ac:dyDescent="0.25">
      <c r="C8670" s="42"/>
    </row>
    <row r="8671" spans="3:3" x14ac:dyDescent="0.25">
      <c r="C8671" s="42"/>
    </row>
    <row r="8672" spans="3:3" x14ac:dyDescent="0.25">
      <c r="C8672" s="42"/>
    </row>
    <row r="8673" spans="3:3" x14ac:dyDescent="0.25">
      <c r="C8673" s="42"/>
    </row>
    <row r="8674" spans="3:3" x14ac:dyDescent="0.25">
      <c r="C8674" s="42"/>
    </row>
    <row r="8675" spans="3:3" x14ac:dyDescent="0.25">
      <c r="C8675" s="42"/>
    </row>
    <row r="8676" spans="3:3" x14ac:dyDescent="0.25">
      <c r="C8676" s="42"/>
    </row>
    <row r="8677" spans="3:3" x14ac:dyDescent="0.25">
      <c r="C8677" s="42"/>
    </row>
    <row r="8678" spans="3:3" x14ac:dyDescent="0.25">
      <c r="C8678" s="42"/>
    </row>
    <row r="8679" spans="3:3" x14ac:dyDescent="0.25">
      <c r="C8679" s="42"/>
    </row>
    <row r="8680" spans="3:3" x14ac:dyDescent="0.25">
      <c r="C8680" s="42"/>
    </row>
    <row r="8681" spans="3:3" x14ac:dyDescent="0.25">
      <c r="C8681" s="42"/>
    </row>
    <row r="8682" spans="3:3" x14ac:dyDescent="0.25">
      <c r="C8682" s="42"/>
    </row>
    <row r="8683" spans="3:3" x14ac:dyDescent="0.25">
      <c r="C8683" s="42"/>
    </row>
    <row r="8684" spans="3:3" x14ac:dyDescent="0.25">
      <c r="C8684" s="42"/>
    </row>
    <row r="8685" spans="3:3" x14ac:dyDescent="0.25">
      <c r="C8685" s="42"/>
    </row>
    <row r="8686" spans="3:3" x14ac:dyDescent="0.25">
      <c r="C8686" s="42"/>
    </row>
    <row r="8687" spans="3:3" x14ac:dyDescent="0.25">
      <c r="C8687" s="42"/>
    </row>
    <row r="8688" spans="3:3" x14ac:dyDescent="0.25">
      <c r="C8688" s="42"/>
    </row>
    <row r="8689" spans="3:3" x14ac:dyDescent="0.25">
      <c r="C8689" s="42"/>
    </row>
    <row r="8690" spans="3:3" x14ac:dyDescent="0.25">
      <c r="C8690" s="42"/>
    </row>
    <row r="8691" spans="3:3" x14ac:dyDescent="0.25">
      <c r="C8691" s="42"/>
    </row>
    <row r="8692" spans="3:3" x14ac:dyDescent="0.25">
      <c r="C8692" s="42"/>
    </row>
    <row r="8693" spans="3:3" x14ac:dyDescent="0.25">
      <c r="C8693" s="42"/>
    </row>
    <row r="8694" spans="3:3" x14ac:dyDescent="0.25">
      <c r="C8694" s="42"/>
    </row>
    <row r="8695" spans="3:3" x14ac:dyDescent="0.25">
      <c r="C8695" s="42"/>
    </row>
    <row r="8696" spans="3:3" x14ac:dyDescent="0.25">
      <c r="C8696" s="42"/>
    </row>
    <row r="8697" spans="3:3" x14ac:dyDescent="0.25">
      <c r="C8697" s="42"/>
    </row>
    <row r="8698" spans="3:3" x14ac:dyDescent="0.25">
      <c r="C8698" s="42"/>
    </row>
    <row r="8699" spans="3:3" x14ac:dyDescent="0.25">
      <c r="C8699" s="42"/>
    </row>
    <row r="8700" spans="3:3" x14ac:dyDescent="0.25">
      <c r="C8700" s="42"/>
    </row>
    <row r="8701" spans="3:3" x14ac:dyDescent="0.25">
      <c r="C8701" s="42"/>
    </row>
    <row r="8702" spans="3:3" x14ac:dyDescent="0.25">
      <c r="C8702" s="42"/>
    </row>
    <row r="8703" spans="3:3" x14ac:dyDescent="0.25">
      <c r="C8703" s="42"/>
    </row>
    <row r="8704" spans="3:3" x14ac:dyDescent="0.25">
      <c r="C8704" s="42"/>
    </row>
    <row r="8705" spans="3:3" x14ac:dyDescent="0.25">
      <c r="C8705" s="42"/>
    </row>
    <row r="8706" spans="3:3" x14ac:dyDescent="0.25">
      <c r="C8706" s="42"/>
    </row>
    <row r="8707" spans="3:3" x14ac:dyDescent="0.25">
      <c r="C8707" s="42"/>
    </row>
    <row r="8708" spans="3:3" x14ac:dyDescent="0.25">
      <c r="C8708" s="42"/>
    </row>
    <row r="8709" spans="3:3" x14ac:dyDescent="0.25">
      <c r="C8709" s="42"/>
    </row>
    <row r="8710" spans="3:3" x14ac:dyDescent="0.25">
      <c r="C8710" s="42"/>
    </row>
    <row r="8711" spans="3:3" x14ac:dyDescent="0.25">
      <c r="C8711" s="42"/>
    </row>
    <row r="8712" spans="3:3" x14ac:dyDescent="0.25">
      <c r="C8712" s="42"/>
    </row>
    <row r="8713" spans="3:3" x14ac:dyDescent="0.25">
      <c r="C8713" s="42"/>
    </row>
    <row r="8714" spans="3:3" x14ac:dyDescent="0.25">
      <c r="C8714" s="42"/>
    </row>
    <row r="8715" spans="3:3" x14ac:dyDescent="0.25">
      <c r="C8715" s="42"/>
    </row>
    <row r="8716" spans="3:3" x14ac:dyDescent="0.25">
      <c r="C8716" s="42"/>
    </row>
    <row r="8717" spans="3:3" x14ac:dyDescent="0.25">
      <c r="C8717" s="42"/>
    </row>
    <row r="8718" spans="3:3" x14ac:dyDescent="0.25">
      <c r="C8718" s="42"/>
    </row>
    <row r="8719" spans="3:3" x14ac:dyDescent="0.25">
      <c r="C8719" s="42"/>
    </row>
    <row r="8720" spans="3:3" x14ac:dyDescent="0.25">
      <c r="C8720" s="42"/>
    </row>
    <row r="8721" spans="3:3" x14ac:dyDescent="0.25">
      <c r="C8721" s="42"/>
    </row>
    <row r="8722" spans="3:3" x14ac:dyDescent="0.25">
      <c r="C8722" s="42"/>
    </row>
    <row r="8723" spans="3:3" x14ac:dyDescent="0.25">
      <c r="C8723" s="42"/>
    </row>
    <row r="8724" spans="3:3" x14ac:dyDescent="0.25">
      <c r="C8724" s="42"/>
    </row>
    <row r="8725" spans="3:3" x14ac:dyDescent="0.25">
      <c r="C8725" s="42"/>
    </row>
    <row r="8726" spans="3:3" x14ac:dyDescent="0.25">
      <c r="C8726" s="42"/>
    </row>
    <row r="8727" spans="3:3" x14ac:dyDescent="0.25">
      <c r="C8727" s="42"/>
    </row>
    <row r="8728" spans="3:3" x14ac:dyDescent="0.25">
      <c r="C8728" s="42"/>
    </row>
    <row r="8729" spans="3:3" x14ac:dyDescent="0.25">
      <c r="C8729" s="42"/>
    </row>
    <row r="8730" spans="3:3" x14ac:dyDescent="0.25">
      <c r="C8730" s="42"/>
    </row>
    <row r="8731" spans="3:3" x14ac:dyDescent="0.25">
      <c r="C8731" s="42"/>
    </row>
    <row r="8732" spans="3:3" x14ac:dyDescent="0.25">
      <c r="C8732" s="42"/>
    </row>
    <row r="8733" spans="3:3" x14ac:dyDescent="0.25">
      <c r="C8733" s="42"/>
    </row>
    <row r="8734" spans="3:3" x14ac:dyDescent="0.25">
      <c r="C8734" s="42"/>
    </row>
    <row r="8735" spans="3:3" x14ac:dyDescent="0.25">
      <c r="C8735" s="42"/>
    </row>
    <row r="8736" spans="3:3" x14ac:dyDescent="0.25">
      <c r="C8736" s="42"/>
    </row>
    <row r="8737" spans="3:3" x14ac:dyDescent="0.25">
      <c r="C8737" s="42"/>
    </row>
    <row r="8738" spans="3:3" x14ac:dyDescent="0.25">
      <c r="C8738" s="42"/>
    </row>
    <row r="8739" spans="3:3" x14ac:dyDescent="0.25">
      <c r="C8739" s="42"/>
    </row>
    <row r="8740" spans="3:3" x14ac:dyDescent="0.25">
      <c r="C8740" s="42"/>
    </row>
    <row r="8741" spans="3:3" x14ac:dyDescent="0.25">
      <c r="C8741" s="42"/>
    </row>
    <row r="8742" spans="3:3" x14ac:dyDescent="0.25">
      <c r="C8742" s="42"/>
    </row>
    <row r="8743" spans="3:3" x14ac:dyDescent="0.25">
      <c r="C8743" s="42"/>
    </row>
    <row r="8744" spans="3:3" x14ac:dyDescent="0.25">
      <c r="C8744" s="42"/>
    </row>
    <row r="8745" spans="3:3" x14ac:dyDescent="0.25">
      <c r="C8745" s="42"/>
    </row>
    <row r="8746" spans="3:3" x14ac:dyDescent="0.25">
      <c r="C8746" s="42"/>
    </row>
    <row r="8747" spans="3:3" x14ac:dyDescent="0.25">
      <c r="C8747" s="42"/>
    </row>
    <row r="8748" spans="3:3" x14ac:dyDescent="0.25">
      <c r="C8748" s="42"/>
    </row>
    <row r="8749" spans="3:3" x14ac:dyDescent="0.25">
      <c r="C8749" s="42"/>
    </row>
    <row r="8750" spans="3:3" x14ac:dyDescent="0.25">
      <c r="C8750" s="42"/>
    </row>
    <row r="8751" spans="3:3" x14ac:dyDescent="0.25">
      <c r="C8751" s="42"/>
    </row>
    <row r="8752" spans="3:3" x14ac:dyDescent="0.25">
      <c r="C8752" s="42"/>
    </row>
    <row r="8753" spans="3:3" x14ac:dyDescent="0.25">
      <c r="C8753" s="42"/>
    </row>
    <row r="8754" spans="3:3" x14ac:dyDescent="0.25">
      <c r="C8754" s="42"/>
    </row>
    <row r="8755" spans="3:3" x14ac:dyDescent="0.25">
      <c r="C8755" s="42"/>
    </row>
    <row r="8756" spans="3:3" x14ac:dyDescent="0.25">
      <c r="C8756" s="42"/>
    </row>
    <row r="8757" spans="3:3" x14ac:dyDescent="0.25">
      <c r="C8757" s="42"/>
    </row>
    <row r="8758" spans="3:3" x14ac:dyDescent="0.25">
      <c r="C8758" s="42"/>
    </row>
    <row r="8759" spans="3:3" x14ac:dyDescent="0.25">
      <c r="C8759" s="42"/>
    </row>
    <row r="8760" spans="3:3" x14ac:dyDescent="0.25">
      <c r="C8760" s="42"/>
    </row>
    <row r="8761" spans="3:3" x14ac:dyDescent="0.25">
      <c r="C8761" s="42"/>
    </row>
    <row r="8762" spans="3:3" x14ac:dyDescent="0.25">
      <c r="C8762" s="42"/>
    </row>
    <row r="8763" spans="3:3" x14ac:dyDescent="0.25">
      <c r="C8763" s="42"/>
    </row>
    <row r="8764" spans="3:3" x14ac:dyDescent="0.25">
      <c r="C8764" s="42"/>
    </row>
    <row r="8765" spans="3:3" x14ac:dyDescent="0.25">
      <c r="C8765" s="42"/>
    </row>
    <row r="8766" spans="3:3" x14ac:dyDescent="0.25">
      <c r="C8766" s="42"/>
    </row>
    <row r="8767" spans="3:3" x14ac:dyDescent="0.25">
      <c r="C8767" s="42"/>
    </row>
    <row r="8768" spans="3:3" x14ac:dyDescent="0.25">
      <c r="C8768" s="42"/>
    </row>
    <row r="8769" spans="3:3" x14ac:dyDescent="0.25">
      <c r="C8769" s="42"/>
    </row>
    <row r="8770" spans="3:3" x14ac:dyDescent="0.25">
      <c r="C8770" s="42"/>
    </row>
    <row r="8771" spans="3:3" x14ac:dyDescent="0.25">
      <c r="C8771" s="42"/>
    </row>
    <row r="8772" spans="3:3" x14ac:dyDescent="0.25">
      <c r="C8772" s="42"/>
    </row>
    <row r="8773" spans="3:3" x14ac:dyDescent="0.25">
      <c r="C8773" s="42"/>
    </row>
    <row r="8774" spans="3:3" x14ac:dyDescent="0.25">
      <c r="C8774" s="42"/>
    </row>
    <row r="8775" spans="3:3" x14ac:dyDescent="0.25">
      <c r="C8775" s="42"/>
    </row>
    <row r="8776" spans="3:3" x14ac:dyDescent="0.25">
      <c r="C8776" s="42"/>
    </row>
    <row r="8777" spans="3:3" x14ac:dyDescent="0.25">
      <c r="C8777" s="42"/>
    </row>
    <row r="8778" spans="3:3" x14ac:dyDescent="0.25">
      <c r="C8778" s="42"/>
    </row>
    <row r="8779" spans="3:3" x14ac:dyDescent="0.25">
      <c r="C8779" s="42"/>
    </row>
    <row r="8780" spans="3:3" x14ac:dyDescent="0.25">
      <c r="C8780" s="42"/>
    </row>
    <row r="8781" spans="3:3" x14ac:dyDescent="0.25">
      <c r="C8781" s="42"/>
    </row>
    <row r="8782" spans="3:3" x14ac:dyDescent="0.25">
      <c r="C8782" s="42"/>
    </row>
    <row r="8783" spans="3:3" x14ac:dyDescent="0.25">
      <c r="C8783" s="42"/>
    </row>
    <row r="8784" spans="3:3" x14ac:dyDescent="0.25">
      <c r="C8784" s="42"/>
    </row>
    <row r="8785" spans="3:3" x14ac:dyDescent="0.25">
      <c r="C8785" s="42"/>
    </row>
    <row r="8786" spans="3:3" x14ac:dyDescent="0.25">
      <c r="C8786" s="42"/>
    </row>
    <row r="8787" spans="3:3" x14ac:dyDescent="0.25">
      <c r="C8787" s="42"/>
    </row>
    <row r="8788" spans="3:3" x14ac:dyDescent="0.25">
      <c r="C8788" s="42"/>
    </row>
    <row r="8789" spans="3:3" x14ac:dyDescent="0.25">
      <c r="C8789" s="42"/>
    </row>
    <row r="8790" spans="3:3" x14ac:dyDescent="0.25">
      <c r="C8790" s="42"/>
    </row>
    <row r="8791" spans="3:3" x14ac:dyDescent="0.25">
      <c r="C8791" s="42"/>
    </row>
    <row r="8792" spans="3:3" x14ac:dyDescent="0.25">
      <c r="C8792" s="42"/>
    </row>
    <row r="8793" spans="3:3" x14ac:dyDescent="0.25">
      <c r="C8793" s="42"/>
    </row>
    <row r="8794" spans="3:3" x14ac:dyDescent="0.25">
      <c r="C8794" s="42"/>
    </row>
    <row r="8795" spans="3:3" x14ac:dyDescent="0.25">
      <c r="C8795" s="42"/>
    </row>
    <row r="8796" spans="3:3" x14ac:dyDescent="0.25">
      <c r="C8796" s="42"/>
    </row>
    <row r="8797" spans="3:3" x14ac:dyDescent="0.25">
      <c r="C8797" s="42"/>
    </row>
    <row r="8798" spans="3:3" x14ac:dyDescent="0.25">
      <c r="C8798" s="42"/>
    </row>
    <row r="8799" spans="3:3" x14ac:dyDescent="0.25">
      <c r="C8799" s="42"/>
    </row>
    <row r="8800" spans="3:3" x14ac:dyDescent="0.25">
      <c r="C8800" s="42"/>
    </row>
    <row r="8801" spans="3:3" x14ac:dyDescent="0.25">
      <c r="C8801" s="42"/>
    </row>
    <row r="8802" spans="3:3" x14ac:dyDescent="0.25">
      <c r="C8802" s="42"/>
    </row>
    <row r="8803" spans="3:3" x14ac:dyDescent="0.25">
      <c r="C8803" s="42"/>
    </row>
    <row r="8804" spans="3:3" x14ac:dyDescent="0.25">
      <c r="C8804" s="42"/>
    </row>
    <row r="8805" spans="3:3" x14ac:dyDescent="0.25">
      <c r="C8805" s="42"/>
    </row>
    <row r="8806" spans="3:3" x14ac:dyDescent="0.25">
      <c r="C8806" s="42"/>
    </row>
    <row r="8807" spans="3:3" x14ac:dyDescent="0.25">
      <c r="C8807" s="42"/>
    </row>
    <row r="8808" spans="3:3" x14ac:dyDescent="0.25">
      <c r="C8808" s="42"/>
    </row>
    <row r="8809" spans="3:3" x14ac:dyDescent="0.25">
      <c r="C8809" s="42"/>
    </row>
    <row r="8810" spans="3:3" x14ac:dyDescent="0.25">
      <c r="C8810" s="42"/>
    </row>
    <row r="8811" spans="3:3" x14ac:dyDescent="0.25">
      <c r="C8811" s="42"/>
    </row>
    <row r="8812" spans="3:3" x14ac:dyDescent="0.25">
      <c r="C8812" s="42"/>
    </row>
    <row r="8813" spans="3:3" x14ac:dyDescent="0.25">
      <c r="C8813" s="42"/>
    </row>
    <row r="8814" spans="3:3" x14ac:dyDescent="0.25">
      <c r="C8814" s="42"/>
    </row>
    <row r="8815" spans="3:3" x14ac:dyDescent="0.25">
      <c r="C8815" s="42"/>
    </row>
    <row r="8816" spans="3:3" x14ac:dyDescent="0.25">
      <c r="C8816" s="42"/>
    </row>
    <row r="8817" spans="3:3" x14ac:dyDescent="0.25">
      <c r="C8817" s="42"/>
    </row>
    <row r="8818" spans="3:3" x14ac:dyDescent="0.25">
      <c r="C8818" s="42"/>
    </row>
    <row r="8819" spans="3:3" x14ac:dyDescent="0.25">
      <c r="C8819" s="42"/>
    </row>
    <row r="8820" spans="3:3" x14ac:dyDescent="0.25">
      <c r="C8820" s="42"/>
    </row>
    <row r="8821" spans="3:3" x14ac:dyDescent="0.25">
      <c r="C8821" s="42"/>
    </row>
    <row r="8822" spans="3:3" x14ac:dyDescent="0.25">
      <c r="C8822" s="42"/>
    </row>
    <row r="8823" spans="3:3" x14ac:dyDescent="0.25">
      <c r="C8823" s="42"/>
    </row>
    <row r="8824" spans="3:3" x14ac:dyDescent="0.25">
      <c r="C8824" s="42"/>
    </row>
    <row r="8825" spans="3:3" x14ac:dyDescent="0.25">
      <c r="C8825" s="42"/>
    </row>
    <row r="8826" spans="3:3" x14ac:dyDescent="0.25">
      <c r="C8826" s="42"/>
    </row>
    <row r="8827" spans="3:3" x14ac:dyDescent="0.25">
      <c r="C8827" s="42"/>
    </row>
    <row r="8828" spans="3:3" x14ac:dyDescent="0.25">
      <c r="C8828" s="42"/>
    </row>
    <row r="8829" spans="3:3" x14ac:dyDescent="0.25">
      <c r="C8829" s="42"/>
    </row>
    <row r="8830" spans="3:3" x14ac:dyDescent="0.25">
      <c r="C8830" s="42"/>
    </row>
    <row r="8831" spans="3:3" x14ac:dyDescent="0.25">
      <c r="C8831" s="42"/>
    </row>
    <row r="8832" spans="3:3" x14ac:dyDescent="0.25">
      <c r="C8832" s="42"/>
    </row>
    <row r="8833" spans="3:3" x14ac:dyDescent="0.25">
      <c r="C8833" s="42"/>
    </row>
    <row r="8834" spans="3:3" x14ac:dyDescent="0.25">
      <c r="C8834" s="42"/>
    </row>
    <row r="8835" spans="3:3" x14ac:dyDescent="0.25">
      <c r="C8835" s="42"/>
    </row>
    <row r="8836" spans="3:3" x14ac:dyDescent="0.25">
      <c r="C8836" s="42"/>
    </row>
    <row r="8837" spans="3:3" x14ac:dyDescent="0.25">
      <c r="C8837" s="42"/>
    </row>
    <row r="8838" spans="3:3" x14ac:dyDescent="0.25">
      <c r="C8838" s="42"/>
    </row>
    <row r="8839" spans="3:3" x14ac:dyDescent="0.25">
      <c r="C8839" s="42"/>
    </row>
    <row r="8840" spans="3:3" x14ac:dyDescent="0.25">
      <c r="C8840" s="42"/>
    </row>
    <row r="8841" spans="3:3" x14ac:dyDescent="0.25">
      <c r="C8841" s="42"/>
    </row>
    <row r="8842" spans="3:3" x14ac:dyDescent="0.25">
      <c r="C8842" s="42"/>
    </row>
    <row r="8843" spans="3:3" x14ac:dyDescent="0.25">
      <c r="C8843" s="42"/>
    </row>
    <row r="8844" spans="3:3" x14ac:dyDescent="0.25">
      <c r="C8844" s="42"/>
    </row>
    <row r="8845" spans="3:3" x14ac:dyDescent="0.25">
      <c r="C8845" s="42"/>
    </row>
    <row r="8846" spans="3:3" x14ac:dyDescent="0.25">
      <c r="C8846" s="42"/>
    </row>
    <row r="8847" spans="3:3" x14ac:dyDescent="0.25">
      <c r="C8847" s="42"/>
    </row>
    <row r="8848" spans="3:3" x14ac:dyDescent="0.25">
      <c r="C8848" s="42"/>
    </row>
    <row r="8849" spans="3:3" x14ac:dyDescent="0.25">
      <c r="C8849" s="42"/>
    </row>
    <row r="8850" spans="3:3" x14ac:dyDescent="0.25">
      <c r="C8850" s="42"/>
    </row>
    <row r="8851" spans="3:3" x14ac:dyDescent="0.25">
      <c r="C8851" s="42"/>
    </row>
    <row r="8852" spans="3:3" x14ac:dyDescent="0.25">
      <c r="C8852" s="42"/>
    </row>
    <row r="8853" spans="3:3" x14ac:dyDescent="0.25">
      <c r="C8853" s="42"/>
    </row>
    <row r="8854" spans="3:3" x14ac:dyDescent="0.25">
      <c r="C8854" s="42"/>
    </row>
    <row r="8855" spans="3:3" x14ac:dyDescent="0.25">
      <c r="C8855" s="42"/>
    </row>
    <row r="8856" spans="3:3" x14ac:dyDescent="0.25">
      <c r="C8856" s="42"/>
    </row>
    <row r="8857" spans="3:3" x14ac:dyDescent="0.25">
      <c r="C8857" s="42"/>
    </row>
    <row r="8858" spans="3:3" x14ac:dyDescent="0.25">
      <c r="C8858" s="42"/>
    </row>
    <row r="8859" spans="3:3" x14ac:dyDescent="0.25">
      <c r="C8859" s="42"/>
    </row>
    <row r="8860" spans="3:3" x14ac:dyDescent="0.25">
      <c r="C8860" s="42"/>
    </row>
    <row r="8861" spans="3:3" x14ac:dyDescent="0.25">
      <c r="C8861" s="42"/>
    </row>
    <row r="8862" spans="3:3" x14ac:dyDescent="0.25">
      <c r="C8862" s="42"/>
    </row>
    <row r="8863" spans="3:3" x14ac:dyDescent="0.25">
      <c r="C8863" s="42"/>
    </row>
    <row r="8864" spans="3:3" x14ac:dyDescent="0.25">
      <c r="C8864" s="42"/>
    </row>
    <row r="8865" spans="3:3" x14ac:dyDescent="0.25">
      <c r="C8865" s="42"/>
    </row>
    <row r="8866" spans="3:3" x14ac:dyDescent="0.25">
      <c r="C8866" s="42"/>
    </row>
    <row r="8867" spans="3:3" x14ac:dyDescent="0.25">
      <c r="C8867" s="42"/>
    </row>
    <row r="8868" spans="3:3" x14ac:dyDescent="0.25">
      <c r="C8868" s="42"/>
    </row>
    <row r="8869" spans="3:3" x14ac:dyDescent="0.25">
      <c r="C8869" s="42"/>
    </row>
    <row r="8870" spans="3:3" x14ac:dyDescent="0.25">
      <c r="C8870" s="42"/>
    </row>
    <row r="8871" spans="3:3" x14ac:dyDescent="0.25">
      <c r="C8871" s="42"/>
    </row>
    <row r="8872" spans="3:3" x14ac:dyDescent="0.25">
      <c r="C8872" s="42"/>
    </row>
    <row r="8873" spans="3:3" x14ac:dyDescent="0.25">
      <c r="C8873" s="42"/>
    </row>
    <row r="8874" spans="3:3" x14ac:dyDescent="0.25">
      <c r="C8874" s="42"/>
    </row>
    <row r="8875" spans="3:3" x14ac:dyDescent="0.25">
      <c r="C8875" s="42"/>
    </row>
    <row r="8876" spans="3:3" x14ac:dyDescent="0.25">
      <c r="C8876" s="42"/>
    </row>
    <row r="8877" spans="3:3" x14ac:dyDescent="0.25">
      <c r="C8877" s="42"/>
    </row>
    <row r="8878" spans="3:3" x14ac:dyDescent="0.25">
      <c r="C8878" s="42"/>
    </row>
    <row r="8879" spans="3:3" x14ac:dyDescent="0.25">
      <c r="C8879" s="42"/>
    </row>
    <row r="8880" spans="3:3" x14ac:dyDescent="0.25">
      <c r="C8880" s="42"/>
    </row>
    <row r="8881" spans="3:3" x14ac:dyDescent="0.25">
      <c r="C8881" s="42"/>
    </row>
    <row r="8882" spans="3:3" x14ac:dyDescent="0.25">
      <c r="C8882" s="42"/>
    </row>
    <row r="8883" spans="3:3" x14ac:dyDescent="0.25">
      <c r="C8883" s="42"/>
    </row>
    <row r="8884" spans="3:3" x14ac:dyDescent="0.25">
      <c r="C8884" s="42"/>
    </row>
    <row r="8885" spans="3:3" x14ac:dyDescent="0.25">
      <c r="C8885" s="42"/>
    </row>
    <row r="8886" spans="3:3" x14ac:dyDescent="0.25">
      <c r="C8886" s="42"/>
    </row>
    <row r="8887" spans="3:3" x14ac:dyDescent="0.25">
      <c r="C8887" s="42"/>
    </row>
    <row r="8888" spans="3:3" x14ac:dyDescent="0.25">
      <c r="C8888" s="42"/>
    </row>
    <row r="8889" spans="3:3" x14ac:dyDescent="0.25">
      <c r="C8889" s="42"/>
    </row>
    <row r="8890" spans="3:3" x14ac:dyDescent="0.25">
      <c r="C8890" s="42"/>
    </row>
    <row r="8891" spans="3:3" x14ac:dyDescent="0.25">
      <c r="C8891" s="42"/>
    </row>
    <row r="8892" spans="3:3" x14ac:dyDescent="0.25">
      <c r="C8892" s="42"/>
    </row>
    <row r="8893" spans="3:3" x14ac:dyDescent="0.25">
      <c r="C8893" s="42"/>
    </row>
    <row r="8894" spans="3:3" x14ac:dyDescent="0.25">
      <c r="C8894" s="42"/>
    </row>
    <row r="8895" spans="3:3" x14ac:dyDescent="0.25">
      <c r="C8895" s="42"/>
    </row>
    <row r="8896" spans="3:3" x14ac:dyDescent="0.25">
      <c r="C8896" s="42"/>
    </row>
    <row r="8897" spans="3:3" x14ac:dyDescent="0.25">
      <c r="C8897" s="42"/>
    </row>
    <row r="8898" spans="3:3" x14ac:dyDescent="0.25">
      <c r="C8898" s="42"/>
    </row>
    <row r="8899" spans="3:3" x14ac:dyDescent="0.25">
      <c r="C8899" s="42"/>
    </row>
    <row r="8900" spans="3:3" x14ac:dyDescent="0.25">
      <c r="C8900" s="42"/>
    </row>
    <row r="8901" spans="3:3" x14ac:dyDescent="0.25">
      <c r="C8901" s="42"/>
    </row>
    <row r="8902" spans="3:3" x14ac:dyDescent="0.25">
      <c r="C8902" s="42"/>
    </row>
    <row r="8903" spans="3:3" x14ac:dyDescent="0.25">
      <c r="C8903" s="42"/>
    </row>
    <row r="8904" spans="3:3" x14ac:dyDescent="0.25">
      <c r="C8904" s="42"/>
    </row>
    <row r="8905" spans="3:3" x14ac:dyDescent="0.25">
      <c r="C8905" s="42"/>
    </row>
    <row r="8906" spans="3:3" x14ac:dyDescent="0.25">
      <c r="C8906" s="42"/>
    </row>
    <row r="8907" spans="3:3" x14ac:dyDescent="0.25">
      <c r="C8907" s="42"/>
    </row>
    <row r="8908" spans="3:3" x14ac:dyDescent="0.25">
      <c r="C8908" s="42"/>
    </row>
    <row r="8909" spans="3:3" x14ac:dyDescent="0.25">
      <c r="C8909" s="42"/>
    </row>
    <row r="8910" spans="3:3" x14ac:dyDescent="0.25">
      <c r="C8910" s="42"/>
    </row>
    <row r="8911" spans="3:3" x14ac:dyDescent="0.25">
      <c r="C8911" s="42"/>
    </row>
    <row r="8912" spans="3:3" x14ac:dyDescent="0.25">
      <c r="C8912" s="42"/>
    </row>
    <row r="8913" spans="3:3" x14ac:dyDescent="0.25">
      <c r="C8913" s="42"/>
    </row>
    <row r="8914" spans="3:3" x14ac:dyDescent="0.25">
      <c r="C8914" s="42"/>
    </row>
    <row r="8915" spans="3:3" x14ac:dyDescent="0.25">
      <c r="C8915" s="42"/>
    </row>
    <row r="8916" spans="3:3" x14ac:dyDescent="0.25">
      <c r="C8916" s="42"/>
    </row>
    <row r="8917" spans="3:3" x14ac:dyDescent="0.25">
      <c r="C8917" s="42"/>
    </row>
    <row r="8918" spans="3:3" x14ac:dyDescent="0.25">
      <c r="C8918" s="42"/>
    </row>
    <row r="8919" spans="3:3" x14ac:dyDescent="0.25">
      <c r="C8919" s="42"/>
    </row>
    <row r="8920" spans="3:3" x14ac:dyDescent="0.25">
      <c r="C8920" s="42"/>
    </row>
    <row r="8921" spans="3:3" x14ac:dyDescent="0.25">
      <c r="C8921" s="42"/>
    </row>
    <row r="8922" spans="3:3" x14ac:dyDescent="0.25">
      <c r="C8922" s="42"/>
    </row>
    <row r="8923" spans="3:3" x14ac:dyDescent="0.25">
      <c r="C8923" s="42"/>
    </row>
    <row r="8924" spans="3:3" x14ac:dyDescent="0.25">
      <c r="C8924" s="42"/>
    </row>
    <row r="8925" spans="3:3" x14ac:dyDescent="0.25">
      <c r="C8925" s="42"/>
    </row>
    <row r="8926" spans="3:3" x14ac:dyDescent="0.25">
      <c r="C8926" s="42"/>
    </row>
    <row r="8927" spans="3:3" x14ac:dyDescent="0.25">
      <c r="C8927" s="42"/>
    </row>
    <row r="8928" spans="3:3" x14ac:dyDescent="0.25">
      <c r="C8928" s="42"/>
    </row>
    <row r="8929" spans="3:3" x14ac:dyDescent="0.25">
      <c r="C8929" s="42"/>
    </row>
    <row r="8930" spans="3:3" x14ac:dyDescent="0.25">
      <c r="C8930" s="42"/>
    </row>
    <row r="8931" spans="3:3" x14ac:dyDescent="0.25">
      <c r="C8931" s="42"/>
    </row>
    <row r="8932" spans="3:3" x14ac:dyDescent="0.25">
      <c r="C8932" s="42"/>
    </row>
    <row r="8933" spans="3:3" x14ac:dyDescent="0.25">
      <c r="C8933" s="42"/>
    </row>
    <row r="8934" spans="3:3" x14ac:dyDescent="0.25">
      <c r="C8934" s="42"/>
    </row>
    <row r="8935" spans="3:3" x14ac:dyDescent="0.25">
      <c r="C8935" s="42"/>
    </row>
    <row r="8936" spans="3:3" x14ac:dyDescent="0.25">
      <c r="C8936" s="42"/>
    </row>
    <row r="8937" spans="3:3" x14ac:dyDescent="0.25">
      <c r="C8937" s="42"/>
    </row>
    <row r="8938" spans="3:3" x14ac:dyDescent="0.25">
      <c r="C8938" s="42"/>
    </row>
    <row r="8939" spans="3:3" x14ac:dyDescent="0.25">
      <c r="C8939" s="42"/>
    </row>
    <row r="8940" spans="3:3" x14ac:dyDescent="0.25">
      <c r="C8940" s="42"/>
    </row>
    <row r="8941" spans="3:3" x14ac:dyDescent="0.25">
      <c r="C8941" s="42"/>
    </row>
    <row r="8942" spans="3:3" x14ac:dyDescent="0.25">
      <c r="C8942" s="42"/>
    </row>
    <row r="8943" spans="3:3" x14ac:dyDescent="0.25">
      <c r="C8943" s="42"/>
    </row>
    <row r="8944" spans="3:3" x14ac:dyDescent="0.25">
      <c r="C8944" s="42"/>
    </row>
    <row r="8945" spans="3:3" x14ac:dyDescent="0.25">
      <c r="C8945" s="42"/>
    </row>
    <row r="8946" spans="3:3" x14ac:dyDescent="0.25">
      <c r="C8946" s="42"/>
    </row>
    <row r="8947" spans="3:3" x14ac:dyDescent="0.25">
      <c r="C8947" s="42"/>
    </row>
    <row r="8948" spans="3:3" x14ac:dyDescent="0.25">
      <c r="C8948" s="42"/>
    </row>
    <row r="8949" spans="3:3" x14ac:dyDescent="0.25">
      <c r="C8949" s="42"/>
    </row>
    <row r="8950" spans="3:3" x14ac:dyDescent="0.25">
      <c r="C8950" s="42"/>
    </row>
    <row r="8951" spans="3:3" x14ac:dyDescent="0.25">
      <c r="C8951" s="42"/>
    </row>
    <row r="8952" spans="3:3" x14ac:dyDescent="0.25">
      <c r="C8952" s="42"/>
    </row>
    <row r="8953" spans="3:3" x14ac:dyDescent="0.25">
      <c r="C8953" s="42"/>
    </row>
    <row r="8954" spans="3:3" x14ac:dyDescent="0.25">
      <c r="C8954" s="42"/>
    </row>
    <row r="8955" spans="3:3" x14ac:dyDescent="0.25">
      <c r="C8955" s="42"/>
    </row>
    <row r="8956" spans="3:3" x14ac:dyDescent="0.25">
      <c r="C8956" s="42"/>
    </row>
    <row r="8957" spans="3:3" x14ac:dyDescent="0.25">
      <c r="C8957" s="42"/>
    </row>
    <row r="8958" spans="3:3" x14ac:dyDescent="0.25">
      <c r="C8958" s="42"/>
    </row>
    <row r="8959" spans="3:3" x14ac:dyDescent="0.25">
      <c r="C8959" s="42"/>
    </row>
    <row r="8960" spans="3:3" x14ac:dyDescent="0.25">
      <c r="C8960" s="42"/>
    </row>
    <row r="8961" spans="3:3" x14ac:dyDescent="0.25">
      <c r="C8961" s="42"/>
    </row>
    <row r="8962" spans="3:3" x14ac:dyDescent="0.25">
      <c r="C8962" s="42"/>
    </row>
    <row r="8963" spans="3:3" x14ac:dyDescent="0.25">
      <c r="C8963" s="42"/>
    </row>
    <row r="8964" spans="3:3" x14ac:dyDescent="0.25">
      <c r="C8964" s="42"/>
    </row>
    <row r="8965" spans="3:3" x14ac:dyDescent="0.25">
      <c r="C8965" s="42"/>
    </row>
    <row r="8966" spans="3:3" x14ac:dyDescent="0.25">
      <c r="C8966" s="42"/>
    </row>
    <row r="8967" spans="3:3" x14ac:dyDescent="0.25">
      <c r="C8967" s="42"/>
    </row>
    <row r="8968" spans="3:3" x14ac:dyDescent="0.25">
      <c r="C8968" s="42"/>
    </row>
    <row r="8969" spans="3:3" x14ac:dyDescent="0.25">
      <c r="C8969" s="42"/>
    </row>
    <row r="8970" spans="3:3" x14ac:dyDescent="0.25">
      <c r="C8970" s="42"/>
    </row>
    <row r="8971" spans="3:3" x14ac:dyDescent="0.25">
      <c r="C8971" s="42"/>
    </row>
    <row r="8972" spans="3:3" x14ac:dyDescent="0.25">
      <c r="C8972" s="42"/>
    </row>
    <row r="8973" spans="3:3" x14ac:dyDescent="0.25">
      <c r="C8973" s="42"/>
    </row>
    <row r="8974" spans="3:3" x14ac:dyDescent="0.25">
      <c r="C8974" s="42"/>
    </row>
    <row r="8975" spans="3:3" x14ac:dyDescent="0.25">
      <c r="C8975" s="42"/>
    </row>
    <row r="8976" spans="3:3" x14ac:dyDescent="0.25">
      <c r="C8976" s="42"/>
    </row>
    <row r="8977" spans="3:3" x14ac:dyDescent="0.25">
      <c r="C8977" s="42"/>
    </row>
    <row r="8978" spans="3:3" x14ac:dyDescent="0.25">
      <c r="C8978" s="42"/>
    </row>
    <row r="8979" spans="3:3" x14ac:dyDescent="0.25">
      <c r="C8979" s="42"/>
    </row>
    <row r="8980" spans="3:3" x14ac:dyDescent="0.25">
      <c r="C8980" s="42"/>
    </row>
    <row r="8981" spans="3:3" x14ac:dyDescent="0.25">
      <c r="C8981" s="42"/>
    </row>
    <row r="8982" spans="3:3" x14ac:dyDescent="0.25">
      <c r="C8982" s="42"/>
    </row>
    <row r="8983" spans="3:3" x14ac:dyDescent="0.25">
      <c r="C8983" s="42"/>
    </row>
    <row r="8984" spans="3:3" x14ac:dyDescent="0.25">
      <c r="C8984" s="42"/>
    </row>
    <row r="8985" spans="3:3" x14ac:dyDescent="0.25">
      <c r="C8985" s="42"/>
    </row>
    <row r="8986" spans="3:3" x14ac:dyDescent="0.25">
      <c r="C8986" s="42"/>
    </row>
    <row r="8987" spans="3:3" x14ac:dyDescent="0.25">
      <c r="C8987" s="42"/>
    </row>
    <row r="8988" spans="3:3" x14ac:dyDescent="0.25">
      <c r="C8988" s="42"/>
    </row>
    <row r="8989" spans="3:3" x14ac:dyDescent="0.25">
      <c r="C8989" s="42"/>
    </row>
    <row r="8990" spans="3:3" x14ac:dyDescent="0.25">
      <c r="C8990" s="42"/>
    </row>
    <row r="8991" spans="3:3" x14ac:dyDescent="0.25">
      <c r="C8991" s="42"/>
    </row>
    <row r="8992" spans="3:3" x14ac:dyDescent="0.25">
      <c r="C8992" s="42"/>
    </row>
    <row r="8993" spans="3:3" x14ac:dyDescent="0.25">
      <c r="C8993" s="42"/>
    </row>
    <row r="8994" spans="3:3" x14ac:dyDescent="0.25">
      <c r="C8994" s="42"/>
    </row>
    <row r="8995" spans="3:3" x14ac:dyDescent="0.25">
      <c r="C8995" s="42"/>
    </row>
    <row r="8996" spans="3:3" x14ac:dyDescent="0.25">
      <c r="C8996" s="42"/>
    </row>
    <row r="8997" spans="3:3" x14ac:dyDescent="0.25">
      <c r="C8997" s="42"/>
    </row>
    <row r="8998" spans="3:3" x14ac:dyDescent="0.25">
      <c r="C8998" s="42"/>
    </row>
    <row r="8999" spans="3:3" x14ac:dyDescent="0.25">
      <c r="C8999" s="42"/>
    </row>
    <row r="9000" spans="3:3" x14ac:dyDescent="0.25">
      <c r="C9000" s="42"/>
    </row>
    <row r="9001" spans="3:3" x14ac:dyDescent="0.25">
      <c r="C9001" s="42"/>
    </row>
    <row r="9002" spans="3:3" x14ac:dyDescent="0.25">
      <c r="C9002" s="42"/>
    </row>
    <row r="9003" spans="3:3" x14ac:dyDescent="0.25">
      <c r="C9003" s="42"/>
    </row>
    <row r="9004" spans="3:3" x14ac:dyDescent="0.25">
      <c r="C9004" s="42"/>
    </row>
    <row r="9005" spans="3:3" x14ac:dyDescent="0.25">
      <c r="C9005" s="42"/>
    </row>
    <row r="9006" spans="3:3" x14ac:dyDescent="0.25">
      <c r="C9006" s="42"/>
    </row>
    <row r="9007" spans="3:3" x14ac:dyDescent="0.25">
      <c r="C9007" s="42"/>
    </row>
    <row r="9008" spans="3:3" x14ac:dyDescent="0.25">
      <c r="C9008" s="42"/>
    </row>
    <row r="9009" spans="3:3" x14ac:dyDescent="0.25">
      <c r="C9009" s="42"/>
    </row>
    <row r="9010" spans="3:3" x14ac:dyDescent="0.25">
      <c r="C9010" s="42"/>
    </row>
    <row r="9011" spans="3:3" x14ac:dyDescent="0.25">
      <c r="C9011" s="42"/>
    </row>
    <row r="9012" spans="3:3" x14ac:dyDescent="0.25">
      <c r="C9012" s="42"/>
    </row>
    <row r="9013" spans="3:3" x14ac:dyDescent="0.25">
      <c r="C9013" s="42"/>
    </row>
    <row r="9014" spans="3:3" x14ac:dyDescent="0.25">
      <c r="C9014" s="42"/>
    </row>
    <row r="9015" spans="3:3" x14ac:dyDescent="0.25">
      <c r="C9015" s="42"/>
    </row>
    <row r="9016" spans="3:3" x14ac:dyDescent="0.25">
      <c r="C9016" s="42"/>
    </row>
    <row r="9017" spans="3:3" x14ac:dyDescent="0.25">
      <c r="C9017" s="42"/>
    </row>
    <row r="9018" spans="3:3" x14ac:dyDescent="0.25">
      <c r="C9018" s="42"/>
    </row>
    <row r="9019" spans="3:3" x14ac:dyDescent="0.25">
      <c r="C9019" s="42"/>
    </row>
    <row r="9020" spans="3:3" x14ac:dyDescent="0.25">
      <c r="C9020" s="42"/>
    </row>
    <row r="9021" spans="3:3" x14ac:dyDescent="0.25">
      <c r="C9021" s="42"/>
    </row>
    <row r="9022" spans="3:3" x14ac:dyDescent="0.25">
      <c r="C9022" s="42"/>
    </row>
    <row r="9023" spans="3:3" x14ac:dyDescent="0.25">
      <c r="C9023" s="42"/>
    </row>
    <row r="9024" spans="3:3" x14ac:dyDescent="0.25">
      <c r="C9024" s="42"/>
    </row>
    <row r="9025" spans="3:3" x14ac:dyDescent="0.25">
      <c r="C9025" s="42"/>
    </row>
    <row r="9026" spans="3:3" x14ac:dyDescent="0.25">
      <c r="C9026" s="42"/>
    </row>
    <row r="9027" spans="3:3" x14ac:dyDescent="0.25">
      <c r="C9027" s="42"/>
    </row>
    <row r="9028" spans="3:3" x14ac:dyDescent="0.25">
      <c r="C9028" s="42"/>
    </row>
    <row r="9029" spans="3:3" x14ac:dyDescent="0.25">
      <c r="C9029" s="42"/>
    </row>
    <row r="9030" spans="3:3" x14ac:dyDescent="0.25">
      <c r="C9030" s="42"/>
    </row>
    <row r="9031" spans="3:3" x14ac:dyDescent="0.25">
      <c r="C9031" s="42"/>
    </row>
    <row r="9032" spans="3:3" x14ac:dyDescent="0.25">
      <c r="C9032" s="42"/>
    </row>
    <row r="9033" spans="3:3" x14ac:dyDescent="0.25">
      <c r="C9033" s="42"/>
    </row>
    <row r="9034" spans="3:3" x14ac:dyDescent="0.25">
      <c r="C9034" s="42"/>
    </row>
    <row r="9035" spans="3:3" x14ac:dyDescent="0.25">
      <c r="C9035" s="42"/>
    </row>
    <row r="9036" spans="3:3" x14ac:dyDescent="0.25">
      <c r="C9036" s="42"/>
    </row>
    <row r="9037" spans="3:3" x14ac:dyDescent="0.25">
      <c r="C9037" s="42"/>
    </row>
    <row r="9038" spans="3:3" x14ac:dyDescent="0.25">
      <c r="C9038" s="42"/>
    </row>
    <row r="9039" spans="3:3" x14ac:dyDescent="0.25">
      <c r="C9039" s="42"/>
    </row>
    <row r="9040" spans="3:3" x14ac:dyDescent="0.25">
      <c r="C9040" s="42"/>
    </row>
    <row r="9041" spans="3:3" x14ac:dyDescent="0.25">
      <c r="C9041" s="42"/>
    </row>
    <row r="9042" spans="3:3" x14ac:dyDescent="0.25">
      <c r="C9042" s="42"/>
    </row>
    <row r="9043" spans="3:3" x14ac:dyDescent="0.25">
      <c r="C9043" s="42"/>
    </row>
    <row r="9044" spans="3:3" x14ac:dyDescent="0.25">
      <c r="C9044" s="42"/>
    </row>
    <row r="9045" spans="3:3" x14ac:dyDescent="0.25">
      <c r="C9045" s="42"/>
    </row>
    <row r="9046" spans="3:3" x14ac:dyDescent="0.25">
      <c r="C9046" s="42"/>
    </row>
    <row r="9047" spans="3:3" x14ac:dyDescent="0.25">
      <c r="C9047" s="42"/>
    </row>
    <row r="9048" spans="3:3" x14ac:dyDescent="0.25">
      <c r="C9048" s="42"/>
    </row>
    <row r="9049" spans="3:3" x14ac:dyDescent="0.25">
      <c r="C9049" s="42"/>
    </row>
    <row r="9050" spans="3:3" x14ac:dyDescent="0.25">
      <c r="C9050" s="42"/>
    </row>
    <row r="9051" spans="3:3" x14ac:dyDescent="0.25">
      <c r="C9051" s="42"/>
    </row>
    <row r="9052" spans="3:3" x14ac:dyDescent="0.25">
      <c r="C9052" s="42"/>
    </row>
    <row r="9053" spans="3:3" x14ac:dyDescent="0.25">
      <c r="C9053" s="42"/>
    </row>
    <row r="9054" spans="3:3" x14ac:dyDescent="0.25">
      <c r="C9054" s="42"/>
    </row>
    <row r="9055" spans="3:3" x14ac:dyDescent="0.25">
      <c r="C9055" s="42"/>
    </row>
    <row r="9056" spans="3:3" x14ac:dyDescent="0.25">
      <c r="C9056" s="42"/>
    </row>
    <row r="9057" spans="3:3" x14ac:dyDescent="0.25">
      <c r="C9057" s="42"/>
    </row>
    <row r="9058" spans="3:3" x14ac:dyDescent="0.25">
      <c r="C9058" s="42"/>
    </row>
    <row r="9059" spans="3:3" x14ac:dyDescent="0.25">
      <c r="C9059" s="42"/>
    </row>
    <row r="9060" spans="3:3" x14ac:dyDescent="0.25">
      <c r="C9060" s="42"/>
    </row>
    <row r="9061" spans="3:3" x14ac:dyDescent="0.25">
      <c r="C9061" s="42"/>
    </row>
    <row r="9062" spans="3:3" x14ac:dyDescent="0.25">
      <c r="C9062" s="42"/>
    </row>
    <row r="9063" spans="3:3" x14ac:dyDescent="0.25">
      <c r="C9063" s="42"/>
    </row>
    <row r="9064" spans="3:3" x14ac:dyDescent="0.25">
      <c r="C9064" s="42"/>
    </row>
    <row r="9065" spans="3:3" x14ac:dyDescent="0.25">
      <c r="C9065" s="42"/>
    </row>
    <row r="9066" spans="3:3" x14ac:dyDescent="0.25">
      <c r="C9066" s="42"/>
    </row>
    <row r="9067" spans="3:3" x14ac:dyDescent="0.25">
      <c r="C9067" s="42"/>
    </row>
    <row r="9068" spans="3:3" x14ac:dyDescent="0.25">
      <c r="C9068" s="42"/>
    </row>
    <row r="9069" spans="3:3" x14ac:dyDescent="0.25">
      <c r="C9069" s="42"/>
    </row>
    <row r="9070" spans="3:3" x14ac:dyDescent="0.25">
      <c r="C9070" s="42"/>
    </row>
    <row r="9071" spans="3:3" x14ac:dyDescent="0.25">
      <c r="C9071" s="42"/>
    </row>
    <row r="9072" spans="3:3" x14ac:dyDescent="0.25">
      <c r="C9072" s="42"/>
    </row>
    <row r="9073" spans="3:3" x14ac:dyDescent="0.25">
      <c r="C9073" s="42"/>
    </row>
    <row r="9074" spans="3:3" x14ac:dyDescent="0.25">
      <c r="C9074" s="42"/>
    </row>
    <row r="9075" spans="3:3" x14ac:dyDescent="0.25">
      <c r="C9075" s="42"/>
    </row>
    <row r="9076" spans="3:3" x14ac:dyDescent="0.25">
      <c r="C9076" s="42"/>
    </row>
    <row r="9077" spans="3:3" x14ac:dyDescent="0.25">
      <c r="C9077" s="42"/>
    </row>
    <row r="9078" spans="3:3" x14ac:dyDescent="0.25">
      <c r="C9078" s="42"/>
    </row>
    <row r="9079" spans="3:3" x14ac:dyDescent="0.25">
      <c r="C9079" s="42"/>
    </row>
    <row r="9080" spans="3:3" x14ac:dyDescent="0.25">
      <c r="C9080" s="42"/>
    </row>
    <row r="9081" spans="3:3" x14ac:dyDescent="0.25">
      <c r="C9081" s="42"/>
    </row>
    <row r="9082" spans="3:3" x14ac:dyDescent="0.25">
      <c r="C9082" s="42"/>
    </row>
    <row r="9083" spans="3:3" x14ac:dyDescent="0.25">
      <c r="C9083" s="42"/>
    </row>
    <row r="9084" spans="3:3" x14ac:dyDescent="0.25">
      <c r="C9084" s="42"/>
    </row>
    <row r="9085" spans="3:3" x14ac:dyDescent="0.25">
      <c r="C9085" s="42"/>
    </row>
    <row r="9086" spans="3:3" x14ac:dyDescent="0.25">
      <c r="C9086" s="42"/>
    </row>
    <row r="9087" spans="3:3" x14ac:dyDescent="0.25">
      <c r="C9087" s="42"/>
    </row>
    <row r="9088" spans="3:3" x14ac:dyDescent="0.25">
      <c r="C9088" s="42"/>
    </row>
    <row r="9089" spans="3:3" x14ac:dyDescent="0.25">
      <c r="C9089" s="42"/>
    </row>
    <row r="9090" spans="3:3" x14ac:dyDescent="0.25">
      <c r="C9090" s="42"/>
    </row>
    <row r="9091" spans="3:3" x14ac:dyDescent="0.25">
      <c r="C9091" s="42"/>
    </row>
    <row r="9092" spans="3:3" x14ac:dyDescent="0.25">
      <c r="C9092" s="42"/>
    </row>
    <row r="9093" spans="3:3" x14ac:dyDescent="0.25">
      <c r="C9093" s="42"/>
    </row>
    <row r="9094" spans="3:3" x14ac:dyDescent="0.25">
      <c r="C9094" s="42"/>
    </row>
    <row r="9095" spans="3:3" x14ac:dyDescent="0.25">
      <c r="C9095" s="42"/>
    </row>
    <row r="9096" spans="3:3" x14ac:dyDescent="0.25">
      <c r="C9096" s="42"/>
    </row>
    <row r="9097" spans="3:3" x14ac:dyDescent="0.25">
      <c r="C9097" s="42"/>
    </row>
    <row r="9098" spans="3:3" x14ac:dyDescent="0.25">
      <c r="C9098" s="42"/>
    </row>
    <row r="9099" spans="3:3" x14ac:dyDescent="0.25">
      <c r="C9099" s="42"/>
    </row>
    <row r="9100" spans="3:3" x14ac:dyDescent="0.25">
      <c r="C9100" s="42"/>
    </row>
    <row r="9101" spans="3:3" x14ac:dyDescent="0.25">
      <c r="C9101" s="42"/>
    </row>
    <row r="9102" spans="3:3" x14ac:dyDescent="0.25">
      <c r="C9102" s="42"/>
    </row>
    <row r="9103" spans="3:3" x14ac:dyDescent="0.25">
      <c r="C9103" s="42"/>
    </row>
    <row r="9104" spans="3:3" x14ac:dyDescent="0.25">
      <c r="C9104" s="42"/>
    </row>
    <row r="9105" spans="3:3" x14ac:dyDescent="0.25">
      <c r="C9105" s="42"/>
    </row>
    <row r="9106" spans="3:3" x14ac:dyDescent="0.25">
      <c r="C9106" s="42"/>
    </row>
    <row r="9107" spans="3:3" x14ac:dyDescent="0.25">
      <c r="C9107" s="42"/>
    </row>
    <row r="9108" spans="3:3" x14ac:dyDescent="0.25">
      <c r="C9108" s="42"/>
    </row>
    <row r="9109" spans="3:3" x14ac:dyDescent="0.25">
      <c r="C9109" s="42"/>
    </row>
    <row r="9110" spans="3:3" x14ac:dyDescent="0.25">
      <c r="C9110" s="42"/>
    </row>
    <row r="9111" spans="3:3" x14ac:dyDescent="0.25">
      <c r="C9111" s="42"/>
    </row>
    <row r="9112" spans="3:3" x14ac:dyDescent="0.25">
      <c r="C9112" s="42"/>
    </row>
    <row r="9113" spans="3:3" x14ac:dyDescent="0.25">
      <c r="C9113" s="42"/>
    </row>
    <row r="9114" spans="3:3" x14ac:dyDescent="0.25">
      <c r="C9114" s="42"/>
    </row>
    <row r="9115" spans="3:3" x14ac:dyDescent="0.25">
      <c r="C9115" s="42"/>
    </row>
    <row r="9116" spans="3:3" x14ac:dyDescent="0.25">
      <c r="C9116" s="42"/>
    </row>
    <row r="9117" spans="3:3" x14ac:dyDescent="0.25">
      <c r="C9117" s="42"/>
    </row>
    <row r="9118" spans="3:3" x14ac:dyDescent="0.25">
      <c r="C9118" s="42"/>
    </row>
    <row r="9119" spans="3:3" x14ac:dyDescent="0.25">
      <c r="C9119" s="42"/>
    </row>
    <row r="9120" spans="3:3" x14ac:dyDescent="0.25">
      <c r="C9120" s="42"/>
    </row>
    <row r="9121" spans="3:3" x14ac:dyDescent="0.25">
      <c r="C9121" s="42"/>
    </row>
    <row r="9122" spans="3:3" x14ac:dyDescent="0.25">
      <c r="C9122" s="42"/>
    </row>
    <row r="9123" spans="3:3" x14ac:dyDescent="0.25">
      <c r="C9123" s="42"/>
    </row>
    <row r="9124" spans="3:3" x14ac:dyDescent="0.25">
      <c r="C9124" s="42"/>
    </row>
    <row r="9125" spans="3:3" x14ac:dyDescent="0.25">
      <c r="C9125" s="42"/>
    </row>
    <row r="9126" spans="3:3" x14ac:dyDescent="0.25">
      <c r="C9126" s="42"/>
    </row>
    <row r="9127" spans="3:3" x14ac:dyDescent="0.25">
      <c r="C9127" s="42"/>
    </row>
    <row r="9128" spans="3:3" x14ac:dyDescent="0.25">
      <c r="C9128" s="42"/>
    </row>
    <row r="9129" spans="3:3" x14ac:dyDescent="0.25">
      <c r="C9129" s="42"/>
    </row>
    <row r="9130" spans="3:3" x14ac:dyDescent="0.25">
      <c r="C9130" s="42"/>
    </row>
    <row r="9131" spans="3:3" x14ac:dyDescent="0.25">
      <c r="C9131" s="42"/>
    </row>
    <row r="9132" spans="3:3" x14ac:dyDescent="0.25">
      <c r="C9132" s="42"/>
    </row>
    <row r="9133" spans="3:3" x14ac:dyDescent="0.25">
      <c r="C9133" s="42"/>
    </row>
    <row r="9134" spans="3:3" x14ac:dyDescent="0.25">
      <c r="C9134" s="42"/>
    </row>
    <row r="9135" spans="3:3" x14ac:dyDescent="0.25">
      <c r="C9135" s="42"/>
    </row>
    <row r="9136" spans="3:3" x14ac:dyDescent="0.25">
      <c r="C9136" s="42"/>
    </row>
    <row r="9137" spans="3:3" x14ac:dyDescent="0.25">
      <c r="C9137" s="42"/>
    </row>
    <row r="9138" spans="3:3" x14ac:dyDescent="0.25">
      <c r="C9138" s="42"/>
    </row>
    <row r="9139" spans="3:3" x14ac:dyDescent="0.25">
      <c r="C9139" s="42"/>
    </row>
    <row r="9140" spans="3:3" x14ac:dyDescent="0.25">
      <c r="C9140" s="42"/>
    </row>
    <row r="9141" spans="3:3" x14ac:dyDescent="0.25">
      <c r="C9141" s="42"/>
    </row>
    <row r="9142" spans="3:3" x14ac:dyDescent="0.25">
      <c r="C9142" s="42"/>
    </row>
    <row r="9143" spans="3:3" x14ac:dyDescent="0.25">
      <c r="C9143" s="42"/>
    </row>
    <row r="9144" spans="3:3" x14ac:dyDescent="0.25">
      <c r="C9144" s="42"/>
    </row>
    <row r="9145" spans="3:3" x14ac:dyDescent="0.25">
      <c r="C9145" s="42"/>
    </row>
    <row r="9146" spans="3:3" x14ac:dyDescent="0.25">
      <c r="C9146" s="42"/>
    </row>
    <row r="9147" spans="3:3" x14ac:dyDescent="0.25">
      <c r="C9147" s="42"/>
    </row>
    <row r="9148" spans="3:3" x14ac:dyDescent="0.25">
      <c r="C9148" s="42"/>
    </row>
    <row r="9149" spans="3:3" x14ac:dyDescent="0.25">
      <c r="C9149" s="42"/>
    </row>
    <row r="9150" spans="3:3" x14ac:dyDescent="0.25">
      <c r="C9150" s="42"/>
    </row>
    <row r="9151" spans="3:3" x14ac:dyDescent="0.25">
      <c r="C9151" s="42"/>
    </row>
    <row r="9152" spans="3:3" x14ac:dyDescent="0.25">
      <c r="C9152" s="42"/>
    </row>
    <row r="9153" spans="3:3" x14ac:dyDescent="0.25">
      <c r="C9153" s="42"/>
    </row>
    <row r="9154" spans="3:3" x14ac:dyDescent="0.25">
      <c r="C9154" s="42"/>
    </row>
    <row r="9155" spans="3:3" x14ac:dyDescent="0.25">
      <c r="C9155" s="42"/>
    </row>
    <row r="9156" spans="3:3" x14ac:dyDescent="0.25">
      <c r="C9156" s="42"/>
    </row>
    <row r="9157" spans="3:3" x14ac:dyDescent="0.25">
      <c r="C9157" s="42"/>
    </row>
    <row r="9158" spans="3:3" x14ac:dyDescent="0.25">
      <c r="C9158" s="42"/>
    </row>
    <row r="9159" spans="3:3" x14ac:dyDescent="0.25">
      <c r="C9159" s="42"/>
    </row>
    <row r="9160" spans="3:3" x14ac:dyDescent="0.25">
      <c r="C9160" s="42"/>
    </row>
    <row r="9161" spans="3:3" x14ac:dyDescent="0.25">
      <c r="C9161" s="42"/>
    </row>
    <row r="9162" spans="3:3" x14ac:dyDescent="0.25">
      <c r="C9162" s="42"/>
    </row>
    <row r="9163" spans="3:3" x14ac:dyDescent="0.25">
      <c r="C9163" s="42"/>
    </row>
    <row r="9164" spans="3:3" x14ac:dyDescent="0.25">
      <c r="C9164" s="42"/>
    </row>
    <row r="9165" spans="3:3" x14ac:dyDescent="0.25">
      <c r="C9165" s="42"/>
    </row>
    <row r="9166" spans="3:3" x14ac:dyDescent="0.25">
      <c r="C9166" s="42"/>
    </row>
    <row r="9167" spans="3:3" x14ac:dyDescent="0.25">
      <c r="C9167" s="42"/>
    </row>
    <row r="9168" spans="3:3" x14ac:dyDescent="0.25">
      <c r="C9168" s="42"/>
    </row>
    <row r="9169" spans="3:3" x14ac:dyDescent="0.25">
      <c r="C9169" s="42"/>
    </row>
    <row r="9170" spans="3:3" x14ac:dyDescent="0.25">
      <c r="C9170" s="42"/>
    </row>
    <row r="9171" spans="3:3" x14ac:dyDescent="0.25">
      <c r="C9171" s="42"/>
    </row>
    <row r="9172" spans="3:3" x14ac:dyDescent="0.25">
      <c r="C9172" s="42"/>
    </row>
    <row r="9173" spans="3:3" x14ac:dyDescent="0.25">
      <c r="C9173" s="42"/>
    </row>
    <row r="9174" spans="3:3" x14ac:dyDescent="0.25">
      <c r="C9174" s="42"/>
    </row>
    <row r="9175" spans="3:3" x14ac:dyDescent="0.25">
      <c r="C9175" s="42"/>
    </row>
    <row r="9176" spans="3:3" x14ac:dyDescent="0.25">
      <c r="C9176" s="42"/>
    </row>
    <row r="9177" spans="3:3" x14ac:dyDescent="0.25">
      <c r="C9177" s="42"/>
    </row>
    <row r="9178" spans="3:3" x14ac:dyDescent="0.25">
      <c r="C9178" s="42"/>
    </row>
    <row r="9179" spans="3:3" x14ac:dyDescent="0.25">
      <c r="C9179" s="42"/>
    </row>
    <row r="9180" spans="3:3" x14ac:dyDescent="0.25">
      <c r="C9180" s="42"/>
    </row>
    <row r="9181" spans="3:3" x14ac:dyDescent="0.25">
      <c r="C9181" s="42"/>
    </row>
    <row r="9182" spans="3:3" x14ac:dyDescent="0.25">
      <c r="C9182" s="42"/>
    </row>
    <row r="9183" spans="3:3" x14ac:dyDescent="0.25">
      <c r="C9183" s="42"/>
    </row>
    <row r="9184" spans="3:3" x14ac:dyDescent="0.25">
      <c r="C9184" s="42"/>
    </row>
    <row r="9185" spans="3:3" x14ac:dyDescent="0.25">
      <c r="C9185" s="42"/>
    </row>
    <row r="9186" spans="3:3" x14ac:dyDescent="0.25">
      <c r="C9186" s="42"/>
    </row>
    <row r="9187" spans="3:3" x14ac:dyDescent="0.25">
      <c r="C9187" s="42"/>
    </row>
    <row r="9188" spans="3:3" x14ac:dyDescent="0.25">
      <c r="C9188" s="42"/>
    </row>
    <row r="9189" spans="3:3" x14ac:dyDescent="0.25">
      <c r="C9189" s="42"/>
    </row>
    <row r="9190" spans="3:3" x14ac:dyDescent="0.25">
      <c r="C9190" s="42"/>
    </row>
    <row r="9191" spans="3:3" x14ac:dyDescent="0.25">
      <c r="C9191" s="42"/>
    </row>
    <row r="9192" spans="3:3" x14ac:dyDescent="0.25">
      <c r="C9192" s="42"/>
    </row>
    <row r="9193" spans="3:3" x14ac:dyDescent="0.25">
      <c r="C9193" s="42"/>
    </row>
    <row r="9194" spans="3:3" x14ac:dyDescent="0.25">
      <c r="C9194" s="42"/>
    </row>
    <row r="9195" spans="3:3" x14ac:dyDescent="0.25">
      <c r="C9195" s="42"/>
    </row>
    <row r="9196" spans="3:3" x14ac:dyDescent="0.25">
      <c r="C9196" s="42"/>
    </row>
    <row r="9197" spans="3:3" x14ac:dyDescent="0.25">
      <c r="C9197" s="42"/>
    </row>
    <row r="9198" spans="3:3" x14ac:dyDescent="0.25">
      <c r="C9198" s="42"/>
    </row>
    <row r="9199" spans="3:3" x14ac:dyDescent="0.25">
      <c r="C9199" s="42"/>
    </row>
    <row r="9200" spans="3:3" x14ac:dyDescent="0.25">
      <c r="C9200" s="42"/>
    </row>
    <row r="9201" spans="3:3" x14ac:dyDescent="0.25">
      <c r="C9201" s="42"/>
    </row>
    <row r="9202" spans="3:3" x14ac:dyDescent="0.25">
      <c r="C9202" s="42"/>
    </row>
    <row r="9203" spans="3:3" x14ac:dyDescent="0.25">
      <c r="C9203" s="42"/>
    </row>
    <row r="9204" spans="3:3" x14ac:dyDescent="0.25">
      <c r="C9204" s="42"/>
    </row>
    <row r="9205" spans="3:3" x14ac:dyDescent="0.25">
      <c r="C9205" s="42"/>
    </row>
    <row r="9206" spans="3:3" x14ac:dyDescent="0.25">
      <c r="C9206" s="42"/>
    </row>
    <row r="9207" spans="3:3" x14ac:dyDescent="0.25">
      <c r="C9207" s="42"/>
    </row>
    <row r="9208" spans="3:3" x14ac:dyDescent="0.25">
      <c r="C9208" s="42"/>
    </row>
    <row r="9209" spans="3:3" x14ac:dyDescent="0.25">
      <c r="C9209" s="42"/>
    </row>
    <row r="9210" spans="3:3" x14ac:dyDescent="0.25">
      <c r="C9210" s="42"/>
    </row>
    <row r="9211" spans="3:3" x14ac:dyDescent="0.25">
      <c r="C9211" s="42"/>
    </row>
    <row r="9212" spans="3:3" x14ac:dyDescent="0.25">
      <c r="C9212" s="42"/>
    </row>
    <row r="9213" spans="3:3" x14ac:dyDescent="0.25">
      <c r="C9213" s="42"/>
    </row>
    <row r="9214" spans="3:3" x14ac:dyDescent="0.25">
      <c r="C9214" s="42"/>
    </row>
    <row r="9215" spans="3:3" x14ac:dyDescent="0.25">
      <c r="C9215" s="42"/>
    </row>
    <row r="9216" spans="3:3" x14ac:dyDescent="0.25">
      <c r="C9216" s="42"/>
    </row>
    <row r="9217" spans="3:3" x14ac:dyDescent="0.25">
      <c r="C9217" s="42"/>
    </row>
    <row r="9218" spans="3:3" x14ac:dyDescent="0.25">
      <c r="C9218" s="42"/>
    </row>
    <row r="9219" spans="3:3" x14ac:dyDescent="0.25">
      <c r="C9219" s="42"/>
    </row>
    <row r="9220" spans="3:3" x14ac:dyDescent="0.25">
      <c r="C9220" s="42"/>
    </row>
    <row r="9221" spans="3:3" x14ac:dyDescent="0.25">
      <c r="C9221" s="42"/>
    </row>
    <row r="9222" spans="3:3" x14ac:dyDescent="0.25">
      <c r="C9222" s="42"/>
    </row>
    <row r="9223" spans="3:3" x14ac:dyDescent="0.25">
      <c r="C9223" s="42"/>
    </row>
    <row r="9224" spans="3:3" x14ac:dyDescent="0.25">
      <c r="C9224" s="42"/>
    </row>
    <row r="9225" spans="3:3" x14ac:dyDescent="0.25">
      <c r="C9225" s="42"/>
    </row>
    <row r="9226" spans="3:3" x14ac:dyDescent="0.25">
      <c r="C9226" s="42"/>
    </row>
    <row r="9227" spans="3:3" x14ac:dyDescent="0.25">
      <c r="C9227" s="42"/>
    </row>
    <row r="9228" spans="3:3" x14ac:dyDescent="0.25">
      <c r="C9228" s="42"/>
    </row>
    <row r="9229" spans="3:3" x14ac:dyDescent="0.25">
      <c r="C9229" s="42"/>
    </row>
    <row r="9230" spans="3:3" x14ac:dyDescent="0.25">
      <c r="C9230" s="42"/>
    </row>
    <row r="9231" spans="3:3" x14ac:dyDescent="0.25">
      <c r="C9231" s="42"/>
    </row>
    <row r="9232" spans="3:3" x14ac:dyDescent="0.25">
      <c r="C9232" s="42"/>
    </row>
    <row r="9233" spans="3:3" x14ac:dyDescent="0.25">
      <c r="C9233" s="42"/>
    </row>
    <row r="9234" spans="3:3" x14ac:dyDescent="0.25">
      <c r="C9234" s="42"/>
    </row>
    <row r="9235" spans="3:3" x14ac:dyDescent="0.25">
      <c r="C9235" s="42"/>
    </row>
    <row r="9236" spans="3:3" x14ac:dyDescent="0.25">
      <c r="C9236" s="42"/>
    </row>
    <row r="9237" spans="3:3" x14ac:dyDescent="0.25">
      <c r="C9237" s="42"/>
    </row>
    <row r="9238" spans="3:3" x14ac:dyDescent="0.25">
      <c r="C9238" s="42"/>
    </row>
    <row r="9239" spans="3:3" x14ac:dyDescent="0.25">
      <c r="C9239" s="42"/>
    </row>
    <row r="9240" spans="3:3" x14ac:dyDescent="0.25">
      <c r="C9240" s="42"/>
    </row>
    <row r="9241" spans="3:3" x14ac:dyDescent="0.25">
      <c r="C9241" s="42"/>
    </row>
    <row r="9242" spans="3:3" x14ac:dyDescent="0.25">
      <c r="C9242" s="42"/>
    </row>
    <row r="9243" spans="3:3" x14ac:dyDescent="0.25">
      <c r="C9243" s="42"/>
    </row>
    <row r="9244" spans="3:3" x14ac:dyDescent="0.25">
      <c r="C9244" s="42"/>
    </row>
    <row r="9245" spans="3:3" x14ac:dyDescent="0.25">
      <c r="C9245" s="42"/>
    </row>
    <row r="9246" spans="3:3" x14ac:dyDescent="0.25">
      <c r="C9246" s="42"/>
    </row>
    <row r="9247" spans="3:3" x14ac:dyDescent="0.25">
      <c r="C9247" s="42"/>
    </row>
    <row r="9248" spans="3:3" x14ac:dyDescent="0.25">
      <c r="C9248" s="42"/>
    </row>
    <row r="9249" spans="3:3" x14ac:dyDescent="0.25">
      <c r="C9249" s="42"/>
    </row>
    <row r="9250" spans="3:3" x14ac:dyDescent="0.25">
      <c r="C9250" s="42"/>
    </row>
    <row r="9251" spans="3:3" x14ac:dyDescent="0.25">
      <c r="C9251" s="42"/>
    </row>
    <row r="9252" spans="3:3" x14ac:dyDescent="0.25">
      <c r="C9252" s="42"/>
    </row>
    <row r="9253" spans="3:3" x14ac:dyDescent="0.25">
      <c r="C9253" s="42"/>
    </row>
    <row r="9254" spans="3:3" x14ac:dyDescent="0.25">
      <c r="C9254" s="42"/>
    </row>
    <row r="9255" spans="3:3" x14ac:dyDescent="0.25">
      <c r="C9255" s="42"/>
    </row>
    <row r="9256" spans="3:3" x14ac:dyDescent="0.25">
      <c r="C9256" s="42"/>
    </row>
    <row r="9257" spans="3:3" x14ac:dyDescent="0.25">
      <c r="C9257" s="42"/>
    </row>
    <row r="9258" spans="3:3" x14ac:dyDescent="0.25">
      <c r="C9258" s="42"/>
    </row>
    <row r="9259" spans="3:3" x14ac:dyDescent="0.25">
      <c r="C9259" s="42"/>
    </row>
    <row r="9260" spans="3:3" x14ac:dyDescent="0.25">
      <c r="C9260" s="42"/>
    </row>
    <row r="9261" spans="3:3" x14ac:dyDescent="0.25">
      <c r="C9261" s="42"/>
    </row>
    <row r="9262" spans="3:3" x14ac:dyDescent="0.25">
      <c r="C9262" s="42"/>
    </row>
    <row r="9263" spans="3:3" x14ac:dyDescent="0.25">
      <c r="C9263" s="42"/>
    </row>
    <row r="9264" spans="3:3" x14ac:dyDescent="0.25">
      <c r="C9264" s="42"/>
    </row>
    <row r="9265" spans="3:3" x14ac:dyDescent="0.25">
      <c r="C9265" s="42"/>
    </row>
    <row r="9266" spans="3:3" x14ac:dyDescent="0.25">
      <c r="C9266" s="42"/>
    </row>
    <row r="9267" spans="3:3" x14ac:dyDescent="0.25">
      <c r="C9267" s="42"/>
    </row>
    <row r="9268" spans="3:3" x14ac:dyDescent="0.25">
      <c r="C9268" s="42"/>
    </row>
    <row r="9269" spans="3:3" x14ac:dyDescent="0.25">
      <c r="C9269" s="42"/>
    </row>
    <row r="9270" spans="3:3" x14ac:dyDescent="0.25">
      <c r="C9270" s="42"/>
    </row>
    <row r="9271" spans="3:3" x14ac:dyDescent="0.25">
      <c r="C9271" s="42"/>
    </row>
    <row r="9272" spans="3:3" x14ac:dyDescent="0.25">
      <c r="C9272" s="42"/>
    </row>
    <row r="9273" spans="3:3" x14ac:dyDescent="0.25">
      <c r="C9273" s="42"/>
    </row>
    <row r="9274" spans="3:3" x14ac:dyDescent="0.25">
      <c r="C9274" s="42"/>
    </row>
    <row r="9275" spans="3:3" x14ac:dyDescent="0.25">
      <c r="C9275" s="42"/>
    </row>
    <row r="9276" spans="3:3" x14ac:dyDescent="0.25">
      <c r="C9276" s="42"/>
    </row>
    <row r="9277" spans="3:3" x14ac:dyDescent="0.25">
      <c r="C9277" s="42"/>
    </row>
    <row r="9278" spans="3:3" x14ac:dyDescent="0.25">
      <c r="C9278" s="42"/>
    </row>
    <row r="9279" spans="3:3" x14ac:dyDescent="0.25">
      <c r="C9279" s="42"/>
    </row>
    <row r="9280" spans="3:3" x14ac:dyDescent="0.25">
      <c r="C9280" s="42"/>
    </row>
    <row r="9281" spans="3:3" x14ac:dyDescent="0.25">
      <c r="C9281" s="42"/>
    </row>
    <row r="9282" spans="3:3" x14ac:dyDescent="0.25">
      <c r="C9282" s="42"/>
    </row>
    <row r="9283" spans="3:3" x14ac:dyDescent="0.25">
      <c r="C9283" s="42"/>
    </row>
    <row r="9284" spans="3:3" x14ac:dyDescent="0.25">
      <c r="C9284" s="42"/>
    </row>
    <row r="9285" spans="3:3" x14ac:dyDescent="0.25">
      <c r="C9285" s="42"/>
    </row>
    <row r="9286" spans="3:3" x14ac:dyDescent="0.25">
      <c r="C9286" s="42"/>
    </row>
    <row r="9287" spans="3:3" x14ac:dyDescent="0.25">
      <c r="C9287" s="42"/>
    </row>
    <row r="9288" spans="3:3" x14ac:dyDescent="0.25">
      <c r="C9288" s="42"/>
    </row>
    <row r="9289" spans="3:3" x14ac:dyDescent="0.25">
      <c r="C9289" s="42"/>
    </row>
    <row r="9290" spans="3:3" x14ac:dyDescent="0.25">
      <c r="C9290" s="42"/>
    </row>
    <row r="9291" spans="3:3" x14ac:dyDescent="0.25">
      <c r="C9291" s="42"/>
    </row>
    <row r="9292" spans="3:3" x14ac:dyDescent="0.25">
      <c r="C9292" s="42"/>
    </row>
    <row r="9293" spans="3:3" x14ac:dyDescent="0.25">
      <c r="C9293" s="42"/>
    </row>
    <row r="9294" spans="3:3" x14ac:dyDescent="0.25">
      <c r="C9294" s="42"/>
    </row>
    <row r="9295" spans="3:3" x14ac:dyDescent="0.25">
      <c r="C9295" s="42"/>
    </row>
    <row r="9296" spans="3:3" x14ac:dyDescent="0.25">
      <c r="C9296" s="42"/>
    </row>
    <row r="9297" spans="3:3" x14ac:dyDescent="0.25">
      <c r="C9297" s="42"/>
    </row>
    <row r="9298" spans="3:3" x14ac:dyDescent="0.25">
      <c r="C9298" s="42"/>
    </row>
    <row r="9299" spans="3:3" x14ac:dyDescent="0.25">
      <c r="C9299" s="42"/>
    </row>
    <row r="9300" spans="3:3" x14ac:dyDescent="0.25">
      <c r="C9300" s="42"/>
    </row>
    <row r="9301" spans="3:3" x14ac:dyDescent="0.25">
      <c r="C9301" s="42"/>
    </row>
    <row r="9302" spans="3:3" x14ac:dyDescent="0.25">
      <c r="C9302" s="42"/>
    </row>
    <row r="9303" spans="3:3" x14ac:dyDescent="0.25">
      <c r="C9303" s="42"/>
    </row>
    <row r="9304" spans="3:3" x14ac:dyDescent="0.25">
      <c r="C9304" s="42"/>
    </row>
    <row r="9305" spans="3:3" x14ac:dyDescent="0.25">
      <c r="C9305" s="42"/>
    </row>
    <row r="9306" spans="3:3" x14ac:dyDescent="0.25">
      <c r="C9306" s="42"/>
    </row>
    <row r="9307" spans="3:3" x14ac:dyDescent="0.25">
      <c r="C9307" s="42"/>
    </row>
    <row r="9308" spans="3:3" x14ac:dyDescent="0.25">
      <c r="C9308" s="42"/>
    </row>
    <row r="9309" spans="3:3" x14ac:dyDescent="0.25">
      <c r="C9309" s="42"/>
    </row>
    <row r="9310" spans="3:3" x14ac:dyDescent="0.25">
      <c r="C9310" s="42"/>
    </row>
    <row r="9311" spans="3:3" x14ac:dyDescent="0.25">
      <c r="C9311" s="42"/>
    </row>
    <row r="9312" spans="3:3" x14ac:dyDescent="0.25">
      <c r="C9312" s="42"/>
    </row>
    <row r="9313" spans="3:3" x14ac:dyDescent="0.25">
      <c r="C9313" s="42"/>
    </row>
    <row r="9314" spans="3:3" x14ac:dyDescent="0.25">
      <c r="C9314" s="42"/>
    </row>
    <row r="9315" spans="3:3" x14ac:dyDescent="0.25">
      <c r="C9315" s="42"/>
    </row>
    <row r="9316" spans="3:3" x14ac:dyDescent="0.25">
      <c r="C9316" s="42"/>
    </row>
    <row r="9317" spans="3:3" x14ac:dyDescent="0.25">
      <c r="C9317" s="42"/>
    </row>
    <row r="9318" spans="3:3" x14ac:dyDescent="0.25">
      <c r="C9318" s="42"/>
    </row>
    <row r="9319" spans="3:3" x14ac:dyDescent="0.25">
      <c r="C9319" s="42"/>
    </row>
    <row r="9320" spans="3:3" x14ac:dyDescent="0.25">
      <c r="C9320" s="42"/>
    </row>
    <row r="9321" spans="3:3" x14ac:dyDescent="0.25">
      <c r="C9321" s="42"/>
    </row>
    <row r="9322" spans="3:3" x14ac:dyDescent="0.25">
      <c r="C9322" s="42"/>
    </row>
    <row r="9323" spans="3:3" x14ac:dyDescent="0.25">
      <c r="C9323" s="42"/>
    </row>
    <row r="9324" spans="3:3" x14ac:dyDescent="0.25">
      <c r="C9324" s="42"/>
    </row>
    <row r="9325" spans="3:3" x14ac:dyDescent="0.25">
      <c r="C9325" s="42"/>
    </row>
    <row r="9326" spans="3:3" x14ac:dyDescent="0.25">
      <c r="C9326" s="42"/>
    </row>
    <row r="9327" spans="3:3" x14ac:dyDescent="0.25">
      <c r="C9327" s="42"/>
    </row>
    <row r="9328" spans="3:3" x14ac:dyDescent="0.25">
      <c r="C9328" s="42"/>
    </row>
    <row r="9329" spans="3:3" x14ac:dyDescent="0.25">
      <c r="C9329" s="42"/>
    </row>
    <row r="9330" spans="3:3" x14ac:dyDescent="0.25">
      <c r="C9330" s="42"/>
    </row>
    <row r="9331" spans="3:3" x14ac:dyDescent="0.25">
      <c r="C9331" s="42"/>
    </row>
    <row r="9332" spans="3:3" x14ac:dyDescent="0.25">
      <c r="C9332" s="42"/>
    </row>
    <row r="9333" spans="3:3" x14ac:dyDescent="0.25">
      <c r="C9333" s="42"/>
    </row>
    <row r="9334" spans="3:3" x14ac:dyDescent="0.25">
      <c r="C9334" s="42"/>
    </row>
    <row r="9335" spans="3:3" x14ac:dyDescent="0.25">
      <c r="C9335" s="42"/>
    </row>
    <row r="9336" spans="3:3" x14ac:dyDescent="0.25">
      <c r="C9336" s="42"/>
    </row>
    <row r="9337" spans="3:3" x14ac:dyDescent="0.25">
      <c r="C9337" s="42"/>
    </row>
    <row r="9338" spans="3:3" x14ac:dyDescent="0.25">
      <c r="C9338" s="42"/>
    </row>
    <row r="9339" spans="3:3" x14ac:dyDescent="0.25">
      <c r="C9339" s="42"/>
    </row>
    <row r="9340" spans="3:3" x14ac:dyDescent="0.25">
      <c r="C9340" s="42"/>
    </row>
    <row r="9341" spans="3:3" x14ac:dyDescent="0.25">
      <c r="C9341" s="42"/>
    </row>
    <row r="9342" spans="3:3" x14ac:dyDescent="0.25">
      <c r="C9342" s="42"/>
    </row>
    <row r="9343" spans="3:3" x14ac:dyDescent="0.25">
      <c r="C9343" s="42"/>
    </row>
    <row r="9344" spans="3:3" x14ac:dyDescent="0.25">
      <c r="C9344" s="42"/>
    </row>
    <row r="9345" spans="3:3" x14ac:dyDescent="0.25">
      <c r="C9345" s="42"/>
    </row>
    <row r="9346" spans="3:3" x14ac:dyDescent="0.25">
      <c r="C9346" s="42"/>
    </row>
    <row r="9347" spans="3:3" x14ac:dyDescent="0.25">
      <c r="C9347" s="42"/>
    </row>
    <row r="9348" spans="3:3" x14ac:dyDescent="0.25">
      <c r="C9348" s="42"/>
    </row>
    <row r="9349" spans="3:3" x14ac:dyDescent="0.25">
      <c r="C9349" s="42"/>
    </row>
    <row r="9350" spans="3:3" x14ac:dyDescent="0.25">
      <c r="C9350" s="42"/>
    </row>
    <row r="9351" spans="3:3" x14ac:dyDescent="0.25">
      <c r="C9351" s="42"/>
    </row>
    <row r="9352" spans="3:3" x14ac:dyDescent="0.25">
      <c r="C9352" s="42"/>
    </row>
    <row r="9353" spans="3:3" x14ac:dyDescent="0.25">
      <c r="C9353" s="42"/>
    </row>
    <row r="9354" spans="3:3" x14ac:dyDescent="0.25">
      <c r="C9354" s="42"/>
    </row>
    <row r="9355" spans="3:3" x14ac:dyDescent="0.25">
      <c r="C9355" s="42"/>
    </row>
    <row r="9356" spans="3:3" x14ac:dyDescent="0.25">
      <c r="C9356" s="42"/>
    </row>
    <row r="9357" spans="3:3" x14ac:dyDescent="0.25">
      <c r="C9357" s="42"/>
    </row>
    <row r="9358" spans="3:3" x14ac:dyDescent="0.25">
      <c r="C9358" s="42"/>
    </row>
    <row r="9359" spans="3:3" x14ac:dyDescent="0.25">
      <c r="C9359" s="42"/>
    </row>
    <row r="9360" spans="3:3" x14ac:dyDescent="0.25">
      <c r="C9360" s="42"/>
    </row>
    <row r="9361" spans="3:3" x14ac:dyDescent="0.25">
      <c r="C9361" s="42"/>
    </row>
    <row r="9362" spans="3:3" x14ac:dyDescent="0.25">
      <c r="C9362" s="42"/>
    </row>
    <row r="9363" spans="3:3" x14ac:dyDescent="0.25">
      <c r="C9363" s="42"/>
    </row>
    <row r="9364" spans="3:3" x14ac:dyDescent="0.25">
      <c r="C9364" s="42"/>
    </row>
    <row r="9365" spans="3:3" x14ac:dyDescent="0.25">
      <c r="C9365" s="42"/>
    </row>
    <row r="9366" spans="3:3" x14ac:dyDescent="0.25">
      <c r="C9366" s="42"/>
    </row>
    <row r="9367" spans="3:3" x14ac:dyDescent="0.25">
      <c r="C9367" s="42"/>
    </row>
    <row r="9368" spans="3:3" x14ac:dyDescent="0.25">
      <c r="C9368" s="42"/>
    </row>
    <row r="9369" spans="3:3" x14ac:dyDescent="0.25">
      <c r="C9369" s="42"/>
    </row>
    <row r="9370" spans="3:3" x14ac:dyDescent="0.25">
      <c r="C9370" s="42"/>
    </row>
    <row r="9371" spans="3:3" x14ac:dyDescent="0.25">
      <c r="C9371" s="42"/>
    </row>
    <row r="9372" spans="3:3" x14ac:dyDescent="0.25">
      <c r="C9372" s="42"/>
    </row>
    <row r="9373" spans="3:3" x14ac:dyDescent="0.25">
      <c r="C9373" s="42"/>
    </row>
    <row r="9374" spans="3:3" x14ac:dyDescent="0.25">
      <c r="C9374" s="42"/>
    </row>
    <row r="9375" spans="3:3" x14ac:dyDescent="0.25">
      <c r="C9375" s="42"/>
    </row>
    <row r="9376" spans="3:3" x14ac:dyDescent="0.25">
      <c r="C9376" s="42"/>
    </row>
    <row r="9377" spans="3:3" x14ac:dyDescent="0.25">
      <c r="C9377" s="42"/>
    </row>
    <row r="9378" spans="3:3" x14ac:dyDescent="0.25">
      <c r="C9378" s="42"/>
    </row>
    <row r="9379" spans="3:3" x14ac:dyDescent="0.25">
      <c r="C9379" s="42"/>
    </row>
    <row r="9380" spans="3:3" x14ac:dyDescent="0.25">
      <c r="C9380" s="42"/>
    </row>
    <row r="9381" spans="3:3" x14ac:dyDescent="0.25">
      <c r="C9381" s="42"/>
    </row>
    <row r="9382" spans="3:3" x14ac:dyDescent="0.25">
      <c r="C9382" s="42"/>
    </row>
    <row r="9383" spans="3:3" x14ac:dyDescent="0.25">
      <c r="C9383" s="42"/>
    </row>
    <row r="9384" spans="3:3" x14ac:dyDescent="0.25">
      <c r="C9384" s="42"/>
    </row>
    <row r="9385" spans="3:3" x14ac:dyDescent="0.25">
      <c r="C9385" s="42"/>
    </row>
    <row r="9386" spans="3:3" x14ac:dyDescent="0.25">
      <c r="C9386" s="42"/>
    </row>
    <row r="9387" spans="3:3" x14ac:dyDescent="0.25">
      <c r="C9387" s="42"/>
    </row>
    <row r="9388" spans="3:3" x14ac:dyDescent="0.25">
      <c r="C9388" s="42"/>
    </row>
    <row r="9389" spans="3:3" x14ac:dyDescent="0.25">
      <c r="C9389" s="42"/>
    </row>
    <row r="9390" spans="3:3" x14ac:dyDescent="0.25">
      <c r="C9390" s="42"/>
    </row>
    <row r="9391" spans="3:3" x14ac:dyDescent="0.25">
      <c r="C9391" s="42"/>
    </row>
    <row r="9392" spans="3:3" x14ac:dyDescent="0.25">
      <c r="C9392" s="42"/>
    </row>
    <row r="9393" spans="3:3" x14ac:dyDescent="0.25">
      <c r="C9393" s="42"/>
    </row>
    <row r="9394" spans="3:3" x14ac:dyDescent="0.25">
      <c r="C9394" s="42"/>
    </row>
    <row r="9395" spans="3:3" x14ac:dyDescent="0.25">
      <c r="C9395" s="42"/>
    </row>
    <row r="9396" spans="3:3" x14ac:dyDescent="0.25">
      <c r="C9396" s="42"/>
    </row>
    <row r="9397" spans="3:3" x14ac:dyDescent="0.25">
      <c r="C9397" s="42"/>
    </row>
    <row r="9398" spans="3:3" x14ac:dyDescent="0.25">
      <c r="C9398" s="42"/>
    </row>
    <row r="9399" spans="3:3" x14ac:dyDescent="0.25">
      <c r="C9399" s="42"/>
    </row>
    <row r="9400" spans="3:3" x14ac:dyDescent="0.25">
      <c r="C9400" s="42"/>
    </row>
    <row r="9401" spans="3:3" x14ac:dyDescent="0.25">
      <c r="C9401" s="42"/>
    </row>
    <row r="9402" spans="3:3" x14ac:dyDescent="0.25">
      <c r="C9402" s="42"/>
    </row>
    <row r="9403" spans="3:3" x14ac:dyDescent="0.25">
      <c r="C9403" s="42"/>
    </row>
    <row r="9404" spans="3:3" x14ac:dyDescent="0.25">
      <c r="C9404" s="42"/>
    </row>
    <row r="9405" spans="3:3" x14ac:dyDescent="0.25">
      <c r="C9405" s="42"/>
    </row>
    <row r="9406" spans="3:3" x14ac:dyDescent="0.25">
      <c r="C9406" s="42"/>
    </row>
    <row r="9407" spans="3:3" x14ac:dyDescent="0.25">
      <c r="C9407" s="42"/>
    </row>
    <row r="9408" spans="3:3" x14ac:dyDescent="0.25">
      <c r="C9408" s="42"/>
    </row>
    <row r="9409" spans="3:3" x14ac:dyDescent="0.25">
      <c r="C9409" s="42"/>
    </row>
    <row r="9410" spans="3:3" x14ac:dyDescent="0.25">
      <c r="C9410" s="42"/>
    </row>
    <row r="9411" spans="3:3" x14ac:dyDescent="0.25">
      <c r="C9411" s="42"/>
    </row>
    <row r="9412" spans="3:3" x14ac:dyDescent="0.25">
      <c r="C9412" s="42"/>
    </row>
    <row r="9413" spans="3:3" x14ac:dyDescent="0.25">
      <c r="C9413" s="42"/>
    </row>
    <row r="9414" spans="3:3" x14ac:dyDescent="0.25">
      <c r="C9414" s="42"/>
    </row>
    <row r="9415" spans="3:3" x14ac:dyDescent="0.25">
      <c r="C9415" s="42"/>
    </row>
    <row r="9416" spans="3:3" x14ac:dyDescent="0.25">
      <c r="C9416" s="42"/>
    </row>
    <row r="9417" spans="3:3" x14ac:dyDescent="0.25">
      <c r="C9417" s="42"/>
    </row>
    <row r="9418" spans="3:3" x14ac:dyDescent="0.25">
      <c r="C9418" s="42"/>
    </row>
    <row r="9419" spans="3:3" x14ac:dyDescent="0.25">
      <c r="C9419" s="42"/>
    </row>
    <row r="9420" spans="3:3" x14ac:dyDescent="0.25">
      <c r="C9420" s="42"/>
    </row>
    <row r="9421" spans="3:3" x14ac:dyDescent="0.25">
      <c r="C9421" s="42"/>
    </row>
    <row r="9422" spans="3:3" x14ac:dyDescent="0.25">
      <c r="C9422" s="42"/>
    </row>
    <row r="9423" spans="3:3" x14ac:dyDescent="0.25">
      <c r="C9423" s="42"/>
    </row>
    <row r="9424" spans="3:3" x14ac:dyDescent="0.25">
      <c r="C9424" s="42"/>
    </row>
    <row r="9425" spans="3:3" x14ac:dyDescent="0.25">
      <c r="C9425" s="42"/>
    </row>
    <row r="9426" spans="3:3" x14ac:dyDescent="0.25">
      <c r="C9426" s="42"/>
    </row>
    <row r="9427" spans="3:3" x14ac:dyDescent="0.25">
      <c r="C9427" s="42"/>
    </row>
    <row r="9428" spans="3:3" x14ac:dyDescent="0.25">
      <c r="C9428" s="42"/>
    </row>
    <row r="9429" spans="3:3" x14ac:dyDescent="0.25">
      <c r="C9429" s="42"/>
    </row>
    <row r="9430" spans="3:3" x14ac:dyDescent="0.25">
      <c r="C9430" s="42"/>
    </row>
    <row r="9431" spans="3:3" x14ac:dyDescent="0.25">
      <c r="C9431" s="42"/>
    </row>
    <row r="9432" spans="3:3" x14ac:dyDescent="0.25">
      <c r="C9432" s="42"/>
    </row>
    <row r="9433" spans="3:3" x14ac:dyDescent="0.25">
      <c r="C9433" s="42"/>
    </row>
    <row r="9434" spans="3:3" x14ac:dyDescent="0.25">
      <c r="C9434" s="42"/>
    </row>
    <row r="9435" spans="3:3" x14ac:dyDescent="0.25">
      <c r="C9435" s="42"/>
    </row>
    <row r="9436" spans="3:3" x14ac:dyDescent="0.25">
      <c r="C9436" s="42"/>
    </row>
    <row r="9437" spans="3:3" x14ac:dyDescent="0.25">
      <c r="C9437" s="42"/>
    </row>
    <row r="9438" spans="3:3" x14ac:dyDescent="0.25">
      <c r="C9438" s="42"/>
    </row>
    <row r="9439" spans="3:3" x14ac:dyDescent="0.25">
      <c r="C9439" s="42"/>
    </row>
    <row r="9440" spans="3:3" x14ac:dyDescent="0.25">
      <c r="C9440" s="42"/>
    </row>
    <row r="9441" spans="3:3" x14ac:dyDescent="0.25">
      <c r="C9441" s="42"/>
    </row>
    <row r="9442" spans="3:3" x14ac:dyDescent="0.25">
      <c r="C9442" s="42"/>
    </row>
    <row r="9443" spans="3:3" x14ac:dyDescent="0.25">
      <c r="C9443" s="42"/>
    </row>
    <row r="9444" spans="3:3" x14ac:dyDescent="0.25">
      <c r="C9444" s="42"/>
    </row>
    <row r="9445" spans="3:3" x14ac:dyDescent="0.25">
      <c r="C9445" s="42"/>
    </row>
    <row r="9446" spans="3:3" x14ac:dyDescent="0.25">
      <c r="C9446" s="42"/>
    </row>
    <row r="9447" spans="3:3" x14ac:dyDescent="0.25">
      <c r="C9447" s="42"/>
    </row>
    <row r="9448" spans="3:3" x14ac:dyDescent="0.25">
      <c r="C9448" s="42"/>
    </row>
    <row r="9449" spans="3:3" x14ac:dyDescent="0.25">
      <c r="C9449" s="42"/>
    </row>
    <row r="9450" spans="3:3" x14ac:dyDescent="0.25">
      <c r="C9450" s="42"/>
    </row>
    <row r="9451" spans="3:3" x14ac:dyDescent="0.25">
      <c r="C9451" s="42"/>
    </row>
    <row r="9452" spans="3:3" x14ac:dyDescent="0.25">
      <c r="C9452" s="42"/>
    </row>
    <row r="9453" spans="3:3" x14ac:dyDescent="0.25">
      <c r="C9453" s="42"/>
    </row>
    <row r="9454" spans="3:3" x14ac:dyDescent="0.25">
      <c r="C9454" s="42"/>
    </row>
    <row r="9455" spans="3:3" x14ac:dyDescent="0.25">
      <c r="C9455" s="42"/>
    </row>
    <row r="9456" spans="3:3" x14ac:dyDescent="0.25">
      <c r="C9456" s="42"/>
    </row>
    <row r="9457" spans="3:3" x14ac:dyDescent="0.25">
      <c r="C9457" s="42"/>
    </row>
    <row r="9458" spans="3:3" x14ac:dyDescent="0.25">
      <c r="C9458" s="42"/>
    </row>
    <row r="9459" spans="3:3" x14ac:dyDescent="0.25">
      <c r="C9459" s="42"/>
    </row>
    <row r="9460" spans="3:3" x14ac:dyDescent="0.25">
      <c r="C9460" s="42"/>
    </row>
    <row r="9461" spans="3:3" x14ac:dyDescent="0.25">
      <c r="C9461" s="42"/>
    </row>
    <row r="9462" spans="3:3" x14ac:dyDescent="0.25">
      <c r="C9462" s="42"/>
    </row>
    <row r="9463" spans="3:3" x14ac:dyDescent="0.25">
      <c r="C9463" s="42"/>
    </row>
    <row r="9464" spans="3:3" x14ac:dyDescent="0.25">
      <c r="C9464" s="42"/>
    </row>
    <row r="9465" spans="3:3" x14ac:dyDescent="0.25">
      <c r="C9465" s="42"/>
    </row>
    <row r="9466" spans="3:3" x14ac:dyDescent="0.25">
      <c r="C9466" s="42"/>
    </row>
    <row r="9467" spans="3:3" x14ac:dyDescent="0.25">
      <c r="C9467" s="42"/>
    </row>
    <row r="9468" spans="3:3" x14ac:dyDescent="0.25">
      <c r="C9468" s="42"/>
    </row>
    <row r="9469" spans="3:3" x14ac:dyDescent="0.25">
      <c r="C9469" s="42"/>
    </row>
    <row r="9470" spans="3:3" x14ac:dyDescent="0.25">
      <c r="C9470" s="42"/>
    </row>
    <row r="9471" spans="3:3" x14ac:dyDescent="0.25">
      <c r="C9471" s="42"/>
    </row>
    <row r="9472" spans="3:3" x14ac:dyDescent="0.25">
      <c r="C9472" s="42"/>
    </row>
    <row r="9473" spans="3:3" x14ac:dyDescent="0.25">
      <c r="C9473" s="42"/>
    </row>
    <row r="9474" spans="3:3" x14ac:dyDescent="0.25">
      <c r="C9474" s="42"/>
    </row>
    <row r="9475" spans="3:3" x14ac:dyDescent="0.25">
      <c r="C9475" s="42"/>
    </row>
    <row r="9476" spans="3:3" x14ac:dyDescent="0.25">
      <c r="C9476" s="42"/>
    </row>
    <row r="9477" spans="3:3" x14ac:dyDescent="0.25">
      <c r="C9477" s="42"/>
    </row>
    <row r="9478" spans="3:3" x14ac:dyDescent="0.25">
      <c r="C9478" s="42"/>
    </row>
    <row r="9479" spans="3:3" x14ac:dyDescent="0.25">
      <c r="C9479" s="42"/>
    </row>
    <row r="9480" spans="3:3" x14ac:dyDescent="0.25">
      <c r="C9480" s="42"/>
    </row>
    <row r="9481" spans="3:3" x14ac:dyDescent="0.25">
      <c r="C9481" s="42"/>
    </row>
    <row r="9482" spans="3:3" x14ac:dyDescent="0.25">
      <c r="C9482" s="42"/>
    </row>
    <row r="9483" spans="3:3" x14ac:dyDescent="0.25">
      <c r="C9483" s="42"/>
    </row>
    <row r="9484" spans="3:3" x14ac:dyDescent="0.25">
      <c r="C9484" s="42"/>
    </row>
    <row r="9485" spans="3:3" x14ac:dyDescent="0.25">
      <c r="C9485" s="42"/>
    </row>
    <row r="9486" spans="3:3" x14ac:dyDescent="0.25">
      <c r="C9486" s="42"/>
    </row>
    <row r="9487" spans="3:3" x14ac:dyDescent="0.25">
      <c r="C9487" s="42"/>
    </row>
    <row r="9488" spans="3:3" x14ac:dyDescent="0.25">
      <c r="C9488" s="42"/>
    </row>
    <row r="9489" spans="3:3" x14ac:dyDescent="0.25">
      <c r="C9489" s="42"/>
    </row>
    <row r="9490" spans="3:3" x14ac:dyDescent="0.25">
      <c r="C9490" s="42"/>
    </row>
    <row r="9491" spans="3:3" x14ac:dyDescent="0.25">
      <c r="C9491" s="42"/>
    </row>
    <row r="9492" spans="3:3" x14ac:dyDescent="0.25">
      <c r="C9492" s="42"/>
    </row>
    <row r="9493" spans="3:3" x14ac:dyDescent="0.25">
      <c r="C9493" s="42"/>
    </row>
    <row r="9494" spans="3:3" x14ac:dyDescent="0.25">
      <c r="C9494" s="42"/>
    </row>
    <row r="9495" spans="3:3" x14ac:dyDescent="0.25">
      <c r="C9495" s="42"/>
    </row>
    <row r="9496" spans="3:3" x14ac:dyDescent="0.25">
      <c r="C9496" s="42"/>
    </row>
    <row r="9497" spans="3:3" x14ac:dyDescent="0.25">
      <c r="C9497" s="42"/>
    </row>
    <row r="9498" spans="3:3" x14ac:dyDescent="0.25">
      <c r="C9498" s="42"/>
    </row>
    <row r="9499" spans="3:3" x14ac:dyDescent="0.25">
      <c r="C9499" s="42"/>
    </row>
    <row r="9500" spans="3:3" x14ac:dyDescent="0.25">
      <c r="C9500" s="42"/>
    </row>
    <row r="9501" spans="3:3" x14ac:dyDescent="0.25">
      <c r="C9501" s="42"/>
    </row>
    <row r="9502" spans="3:3" x14ac:dyDescent="0.25">
      <c r="C9502" s="42"/>
    </row>
    <row r="9503" spans="3:3" x14ac:dyDescent="0.25">
      <c r="C9503" s="42"/>
    </row>
    <row r="9504" spans="3:3" x14ac:dyDescent="0.25">
      <c r="C9504" s="42"/>
    </row>
    <row r="9505" spans="3:3" x14ac:dyDescent="0.25">
      <c r="C9505" s="42"/>
    </row>
    <row r="9506" spans="3:3" x14ac:dyDescent="0.25">
      <c r="C9506" s="42"/>
    </row>
    <row r="9507" spans="3:3" x14ac:dyDescent="0.25">
      <c r="C9507" s="42"/>
    </row>
    <row r="9508" spans="3:3" x14ac:dyDescent="0.25">
      <c r="C9508" s="42"/>
    </row>
    <row r="9509" spans="3:3" x14ac:dyDescent="0.25">
      <c r="C9509" s="42"/>
    </row>
    <row r="9510" spans="3:3" x14ac:dyDescent="0.25">
      <c r="C9510" s="42"/>
    </row>
    <row r="9511" spans="3:3" x14ac:dyDescent="0.25">
      <c r="C9511" s="42"/>
    </row>
    <row r="9512" spans="3:3" x14ac:dyDescent="0.25">
      <c r="C9512" s="42"/>
    </row>
    <row r="9513" spans="3:3" x14ac:dyDescent="0.25">
      <c r="C9513" s="42"/>
    </row>
    <row r="9514" spans="3:3" x14ac:dyDescent="0.25">
      <c r="C9514" s="42"/>
    </row>
    <row r="9515" spans="3:3" x14ac:dyDescent="0.25">
      <c r="C9515" s="42"/>
    </row>
    <row r="9516" spans="3:3" x14ac:dyDescent="0.25">
      <c r="C9516" s="42"/>
    </row>
    <row r="9517" spans="3:3" x14ac:dyDescent="0.25">
      <c r="C9517" s="42"/>
    </row>
    <row r="9518" spans="3:3" x14ac:dyDescent="0.25">
      <c r="C9518" s="42"/>
    </row>
    <row r="9519" spans="3:3" x14ac:dyDescent="0.25">
      <c r="C9519" s="42"/>
    </row>
    <row r="9520" spans="3:3" x14ac:dyDescent="0.25">
      <c r="C9520" s="42"/>
    </row>
    <row r="9521" spans="3:3" x14ac:dyDescent="0.25">
      <c r="C9521" s="42"/>
    </row>
    <row r="9522" spans="3:3" x14ac:dyDescent="0.25">
      <c r="C9522" s="42"/>
    </row>
    <row r="9523" spans="3:3" x14ac:dyDescent="0.25">
      <c r="C9523" s="42"/>
    </row>
    <row r="9524" spans="3:3" x14ac:dyDescent="0.25">
      <c r="C9524" s="42"/>
    </row>
    <row r="9525" spans="3:3" x14ac:dyDescent="0.25">
      <c r="C9525" s="42"/>
    </row>
    <row r="9526" spans="3:3" x14ac:dyDescent="0.25">
      <c r="C9526" s="42"/>
    </row>
    <row r="9527" spans="3:3" x14ac:dyDescent="0.25">
      <c r="C9527" s="42"/>
    </row>
    <row r="9528" spans="3:3" x14ac:dyDescent="0.25">
      <c r="C9528" s="42"/>
    </row>
    <row r="9529" spans="3:3" x14ac:dyDescent="0.25">
      <c r="C9529" s="42"/>
    </row>
    <row r="9530" spans="3:3" x14ac:dyDescent="0.25">
      <c r="C9530" s="42"/>
    </row>
    <row r="9531" spans="3:3" x14ac:dyDescent="0.25">
      <c r="C9531" s="42"/>
    </row>
    <row r="9532" spans="3:3" x14ac:dyDescent="0.25">
      <c r="C9532" s="42"/>
    </row>
    <row r="9533" spans="3:3" x14ac:dyDescent="0.25">
      <c r="C9533" s="42"/>
    </row>
    <row r="9534" spans="3:3" x14ac:dyDescent="0.25">
      <c r="C9534" s="42"/>
    </row>
    <row r="9535" spans="3:3" x14ac:dyDescent="0.25">
      <c r="C9535" s="42"/>
    </row>
    <row r="9536" spans="3:3" x14ac:dyDescent="0.25">
      <c r="C9536" s="42"/>
    </row>
    <row r="9537" spans="3:3" x14ac:dyDescent="0.25">
      <c r="C9537" s="42"/>
    </row>
    <row r="9538" spans="3:3" x14ac:dyDescent="0.25">
      <c r="C9538" s="42"/>
    </row>
    <row r="9539" spans="3:3" x14ac:dyDescent="0.25">
      <c r="C9539" s="42"/>
    </row>
    <row r="9540" spans="3:3" x14ac:dyDescent="0.25">
      <c r="C9540" s="42"/>
    </row>
    <row r="9541" spans="3:3" x14ac:dyDescent="0.25">
      <c r="C9541" s="42"/>
    </row>
    <row r="9542" spans="3:3" x14ac:dyDescent="0.25">
      <c r="C9542" s="42"/>
    </row>
    <row r="9543" spans="3:3" x14ac:dyDescent="0.25">
      <c r="C9543" s="42"/>
    </row>
    <row r="9544" spans="3:3" x14ac:dyDescent="0.25">
      <c r="C9544" s="42"/>
    </row>
    <row r="9545" spans="3:3" x14ac:dyDescent="0.25">
      <c r="C9545" s="42"/>
    </row>
    <row r="9546" spans="3:3" x14ac:dyDescent="0.25">
      <c r="C9546" s="42"/>
    </row>
    <row r="9547" spans="3:3" x14ac:dyDescent="0.25">
      <c r="C9547" s="42"/>
    </row>
    <row r="9548" spans="3:3" x14ac:dyDescent="0.25">
      <c r="C9548" s="42"/>
    </row>
    <row r="9549" spans="3:3" x14ac:dyDescent="0.25">
      <c r="C9549" s="42"/>
    </row>
    <row r="9550" spans="3:3" x14ac:dyDescent="0.25">
      <c r="C9550" s="42"/>
    </row>
    <row r="9551" spans="3:3" x14ac:dyDescent="0.25">
      <c r="C9551" s="42"/>
    </row>
    <row r="9552" spans="3:3" x14ac:dyDescent="0.25">
      <c r="C9552" s="42"/>
    </row>
    <row r="9553" spans="3:3" x14ac:dyDescent="0.25">
      <c r="C9553" s="42"/>
    </row>
    <row r="9554" spans="3:3" x14ac:dyDescent="0.25">
      <c r="C9554" s="42"/>
    </row>
    <row r="9555" spans="3:3" x14ac:dyDescent="0.25">
      <c r="C9555" s="42"/>
    </row>
    <row r="9556" spans="3:3" x14ac:dyDescent="0.25">
      <c r="C9556" s="42"/>
    </row>
    <row r="9557" spans="3:3" x14ac:dyDescent="0.25">
      <c r="C9557" s="42"/>
    </row>
    <row r="9558" spans="3:3" x14ac:dyDescent="0.25">
      <c r="C9558" s="42"/>
    </row>
    <row r="9559" spans="3:3" x14ac:dyDescent="0.25">
      <c r="C9559" s="42"/>
    </row>
    <row r="9560" spans="3:3" x14ac:dyDescent="0.25">
      <c r="C9560" s="42"/>
    </row>
    <row r="9561" spans="3:3" x14ac:dyDescent="0.25">
      <c r="C9561" s="42"/>
    </row>
    <row r="9562" spans="3:3" x14ac:dyDescent="0.25">
      <c r="C9562" s="42"/>
    </row>
    <row r="9563" spans="3:3" x14ac:dyDescent="0.25">
      <c r="C9563" s="42"/>
    </row>
    <row r="9564" spans="3:3" x14ac:dyDescent="0.25">
      <c r="C9564" s="42"/>
    </row>
    <row r="9565" spans="3:3" x14ac:dyDescent="0.25">
      <c r="C9565" s="42"/>
    </row>
    <row r="9566" spans="3:3" x14ac:dyDescent="0.25">
      <c r="C9566" s="42"/>
    </row>
    <row r="9567" spans="3:3" x14ac:dyDescent="0.25">
      <c r="C9567" s="42"/>
    </row>
    <row r="9568" spans="3:3" x14ac:dyDescent="0.25">
      <c r="C9568" s="42"/>
    </row>
    <row r="9569" spans="3:3" x14ac:dyDescent="0.25">
      <c r="C9569" s="42"/>
    </row>
    <row r="9570" spans="3:3" x14ac:dyDescent="0.25">
      <c r="C9570" s="42"/>
    </row>
    <row r="9571" spans="3:3" x14ac:dyDescent="0.25">
      <c r="C9571" s="42"/>
    </row>
    <row r="9572" spans="3:3" x14ac:dyDescent="0.25">
      <c r="C9572" s="42"/>
    </row>
    <row r="9573" spans="3:3" x14ac:dyDescent="0.25">
      <c r="C9573" s="42"/>
    </row>
    <row r="9574" spans="3:3" x14ac:dyDescent="0.25">
      <c r="C9574" s="42"/>
    </row>
    <row r="9575" spans="3:3" x14ac:dyDescent="0.25">
      <c r="C9575" s="42"/>
    </row>
    <row r="9576" spans="3:3" x14ac:dyDescent="0.25">
      <c r="C9576" s="42"/>
    </row>
    <row r="9577" spans="3:3" x14ac:dyDescent="0.25">
      <c r="C9577" s="42"/>
    </row>
    <row r="9578" spans="3:3" x14ac:dyDescent="0.25">
      <c r="C9578" s="42"/>
    </row>
    <row r="9579" spans="3:3" x14ac:dyDescent="0.25">
      <c r="C9579" s="42"/>
    </row>
    <row r="9580" spans="3:3" x14ac:dyDescent="0.25">
      <c r="C9580" s="42"/>
    </row>
    <row r="9581" spans="3:3" x14ac:dyDescent="0.25">
      <c r="C9581" s="42"/>
    </row>
    <row r="9582" spans="3:3" x14ac:dyDescent="0.25">
      <c r="C9582" s="42"/>
    </row>
    <row r="9583" spans="3:3" x14ac:dyDescent="0.25">
      <c r="C9583" s="42"/>
    </row>
    <row r="9584" spans="3:3" x14ac:dyDescent="0.25">
      <c r="C9584" s="42"/>
    </row>
    <row r="9585" spans="3:3" x14ac:dyDescent="0.25">
      <c r="C9585" s="42"/>
    </row>
    <row r="9586" spans="3:3" x14ac:dyDescent="0.25">
      <c r="C9586" s="42"/>
    </row>
    <row r="9587" spans="3:3" x14ac:dyDescent="0.25">
      <c r="C9587" s="42"/>
    </row>
    <row r="9588" spans="3:3" x14ac:dyDescent="0.25">
      <c r="C9588" s="42"/>
    </row>
    <row r="9589" spans="3:3" x14ac:dyDescent="0.25">
      <c r="C9589" s="42"/>
    </row>
    <row r="9590" spans="3:3" x14ac:dyDescent="0.25">
      <c r="C9590" s="42"/>
    </row>
    <row r="9591" spans="3:3" x14ac:dyDescent="0.25">
      <c r="C9591" s="42"/>
    </row>
    <row r="9592" spans="3:3" x14ac:dyDescent="0.25">
      <c r="C9592" s="42"/>
    </row>
    <row r="9593" spans="3:3" x14ac:dyDescent="0.25">
      <c r="C9593" s="42"/>
    </row>
    <row r="9594" spans="3:3" x14ac:dyDescent="0.25">
      <c r="C9594" s="42"/>
    </row>
    <row r="9595" spans="3:3" x14ac:dyDescent="0.25">
      <c r="C9595" s="42"/>
    </row>
    <row r="9596" spans="3:3" x14ac:dyDescent="0.25">
      <c r="C9596" s="42"/>
    </row>
    <row r="9597" spans="3:3" x14ac:dyDescent="0.25">
      <c r="C9597" s="42"/>
    </row>
    <row r="9598" spans="3:3" x14ac:dyDescent="0.25">
      <c r="C9598" s="42"/>
    </row>
    <row r="9599" spans="3:3" x14ac:dyDescent="0.25">
      <c r="C9599" s="42"/>
    </row>
    <row r="9600" spans="3:3" x14ac:dyDescent="0.25">
      <c r="C9600" s="42"/>
    </row>
    <row r="9601" spans="3:3" x14ac:dyDescent="0.25">
      <c r="C9601" s="42"/>
    </row>
    <row r="9602" spans="3:3" x14ac:dyDescent="0.25">
      <c r="C9602" s="42"/>
    </row>
    <row r="9603" spans="3:3" x14ac:dyDescent="0.25">
      <c r="C9603" s="42"/>
    </row>
    <row r="9604" spans="3:3" x14ac:dyDescent="0.25">
      <c r="C9604" s="42"/>
    </row>
    <row r="9605" spans="3:3" x14ac:dyDescent="0.25">
      <c r="C9605" s="42"/>
    </row>
    <row r="9606" spans="3:3" x14ac:dyDescent="0.25">
      <c r="C9606" s="42"/>
    </row>
    <row r="9607" spans="3:3" x14ac:dyDescent="0.25">
      <c r="C9607" s="42"/>
    </row>
    <row r="9608" spans="3:3" x14ac:dyDescent="0.25">
      <c r="C9608" s="42"/>
    </row>
    <row r="9609" spans="3:3" x14ac:dyDescent="0.25">
      <c r="C9609" s="42"/>
    </row>
    <row r="9610" spans="3:3" x14ac:dyDescent="0.25">
      <c r="C9610" s="42"/>
    </row>
    <row r="9611" spans="3:3" x14ac:dyDescent="0.25">
      <c r="C9611" s="42"/>
    </row>
    <row r="9612" spans="3:3" x14ac:dyDescent="0.25">
      <c r="C9612" s="42"/>
    </row>
    <row r="9613" spans="3:3" x14ac:dyDescent="0.25">
      <c r="C9613" s="42"/>
    </row>
    <row r="9614" spans="3:3" x14ac:dyDescent="0.25">
      <c r="C9614" s="42"/>
    </row>
    <row r="9615" spans="3:3" x14ac:dyDescent="0.25">
      <c r="C9615" s="42"/>
    </row>
    <row r="9616" spans="3:3" x14ac:dyDescent="0.25">
      <c r="C9616" s="42"/>
    </row>
    <row r="9617" spans="3:3" x14ac:dyDescent="0.25">
      <c r="C9617" s="42"/>
    </row>
    <row r="9618" spans="3:3" x14ac:dyDescent="0.25">
      <c r="C9618" s="42"/>
    </row>
    <row r="9619" spans="3:3" x14ac:dyDescent="0.25">
      <c r="C9619" s="42"/>
    </row>
    <row r="9620" spans="3:3" x14ac:dyDescent="0.25">
      <c r="C9620" s="42"/>
    </row>
    <row r="9621" spans="3:3" x14ac:dyDescent="0.25">
      <c r="C9621" s="42"/>
    </row>
    <row r="9622" spans="3:3" x14ac:dyDescent="0.25">
      <c r="C9622" s="42"/>
    </row>
    <row r="9623" spans="3:3" x14ac:dyDescent="0.25">
      <c r="C9623" s="42"/>
    </row>
    <row r="9624" spans="3:3" x14ac:dyDescent="0.25">
      <c r="C9624" s="42"/>
    </row>
    <row r="9625" spans="3:3" x14ac:dyDescent="0.25">
      <c r="C9625" s="42"/>
    </row>
    <row r="9626" spans="3:3" x14ac:dyDescent="0.25">
      <c r="C9626" s="42"/>
    </row>
    <row r="9627" spans="3:3" x14ac:dyDescent="0.25">
      <c r="C9627" s="42"/>
    </row>
    <row r="9628" spans="3:3" x14ac:dyDescent="0.25">
      <c r="C9628" s="42"/>
    </row>
    <row r="9629" spans="3:3" x14ac:dyDescent="0.25">
      <c r="C9629" s="42"/>
    </row>
    <row r="9630" spans="3:3" x14ac:dyDescent="0.25">
      <c r="C9630" s="42"/>
    </row>
    <row r="9631" spans="3:3" x14ac:dyDescent="0.25">
      <c r="C9631" s="42"/>
    </row>
    <row r="9632" spans="3:3" x14ac:dyDescent="0.25">
      <c r="C9632" s="42"/>
    </row>
    <row r="9633" spans="3:3" x14ac:dyDescent="0.25">
      <c r="C9633" s="42"/>
    </row>
    <row r="9634" spans="3:3" x14ac:dyDescent="0.25">
      <c r="C9634" s="42"/>
    </row>
    <row r="9635" spans="3:3" x14ac:dyDescent="0.25">
      <c r="C9635" s="42"/>
    </row>
    <row r="9636" spans="3:3" x14ac:dyDescent="0.25">
      <c r="C9636" s="42"/>
    </row>
    <row r="9637" spans="3:3" x14ac:dyDescent="0.25">
      <c r="C9637" s="42"/>
    </row>
    <row r="9638" spans="3:3" x14ac:dyDescent="0.25">
      <c r="C9638" s="42"/>
    </row>
    <row r="9639" spans="3:3" x14ac:dyDescent="0.25">
      <c r="C9639" s="42"/>
    </row>
    <row r="9640" spans="3:3" x14ac:dyDescent="0.25">
      <c r="C9640" s="42"/>
    </row>
    <row r="9641" spans="3:3" x14ac:dyDescent="0.25">
      <c r="C9641" s="42"/>
    </row>
    <row r="9642" spans="3:3" x14ac:dyDescent="0.25">
      <c r="C9642" s="42"/>
    </row>
    <row r="9643" spans="3:3" x14ac:dyDescent="0.25">
      <c r="C9643" s="42"/>
    </row>
    <row r="9644" spans="3:3" x14ac:dyDescent="0.25">
      <c r="C9644" s="42"/>
    </row>
    <row r="9645" spans="3:3" x14ac:dyDescent="0.25">
      <c r="C9645" s="42"/>
    </row>
    <row r="9646" spans="3:3" x14ac:dyDescent="0.25">
      <c r="C9646" s="42"/>
    </row>
    <row r="9647" spans="3:3" x14ac:dyDescent="0.25">
      <c r="C9647" s="42"/>
    </row>
    <row r="9648" spans="3:3" x14ac:dyDescent="0.25">
      <c r="C9648" s="42"/>
    </row>
    <row r="9649" spans="3:3" x14ac:dyDescent="0.25">
      <c r="C9649" s="42"/>
    </row>
    <row r="9650" spans="3:3" x14ac:dyDescent="0.25">
      <c r="C9650" s="42"/>
    </row>
    <row r="9651" spans="3:3" x14ac:dyDescent="0.25">
      <c r="C9651" s="42"/>
    </row>
    <row r="9652" spans="3:3" x14ac:dyDescent="0.25">
      <c r="C9652" s="42"/>
    </row>
    <row r="9653" spans="3:3" x14ac:dyDescent="0.25">
      <c r="C9653" s="42"/>
    </row>
    <row r="9654" spans="3:3" x14ac:dyDescent="0.25">
      <c r="C9654" s="42"/>
    </row>
    <row r="9655" spans="3:3" x14ac:dyDescent="0.25">
      <c r="C9655" s="42"/>
    </row>
    <row r="9656" spans="3:3" x14ac:dyDescent="0.25">
      <c r="C9656" s="42"/>
    </row>
    <row r="9657" spans="3:3" x14ac:dyDescent="0.25">
      <c r="C9657" s="42"/>
    </row>
    <row r="9658" spans="3:3" x14ac:dyDescent="0.25">
      <c r="C9658" s="42"/>
    </row>
    <row r="9659" spans="3:3" x14ac:dyDescent="0.25">
      <c r="C9659" s="42"/>
    </row>
    <row r="9660" spans="3:3" x14ac:dyDescent="0.25">
      <c r="C9660" s="42"/>
    </row>
    <row r="9661" spans="3:3" x14ac:dyDescent="0.25">
      <c r="C9661" s="42"/>
    </row>
    <row r="9662" spans="3:3" x14ac:dyDescent="0.25">
      <c r="C9662" s="42"/>
    </row>
    <row r="9663" spans="3:3" x14ac:dyDescent="0.25">
      <c r="C9663" s="42"/>
    </row>
    <row r="9664" spans="3:3" x14ac:dyDescent="0.25">
      <c r="C9664" s="42"/>
    </row>
    <row r="9665" spans="3:3" x14ac:dyDescent="0.25">
      <c r="C9665" s="42"/>
    </row>
    <row r="9666" spans="3:3" x14ac:dyDescent="0.25">
      <c r="C9666" s="42"/>
    </row>
    <row r="9667" spans="3:3" x14ac:dyDescent="0.25">
      <c r="C9667" s="42"/>
    </row>
    <row r="9668" spans="3:3" x14ac:dyDescent="0.25">
      <c r="C9668" s="42"/>
    </row>
    <row r="9669" spans="3:3" x14ac:dyDescent="0.25">
      <c r="C9669" s="42"/>
    </row>
    <row r="9670" spans="3:3" x14ac:dyDescent="0.25">
      <c r="C9670" s="42"/>
    </row>
    <row r="9671" spans="3:3" x14ac:dyDescent="0.25">
      <c r="C9671" s="42"/>
    </row>
    <row r="9672" spans="3:3" x14ac:dyDescent="0.25">
      <c r="C9672" s="42"/>
    </row>
    <row r="9673" spans="3:3" x14ac:dyDescent="0.25">
      <c r="C9673" s="42"/>
    </row>
    <row r="9674" spans="3:3" x14ac:dyDescent="0.25">
      <c r="C9674" s="42"/>
    </row>
    <row r="9675" spans="3:3" x14ac:dyDescent="0.25">
      <c r="C9675" s="42"/>
    </row>
    <row r="9676" spans="3:3" x14ac:dyDescent="0.25">
      <c r="C9676" s="42"/>
    </row>
    <row r="9677" spans="3:3" x14ac:dyDescent="0.25">
      <c r="C9677" s="42"/>
    </row>
    <row r="9678" spans="3:3" x14ac:dyDescent="0.25">
      <c r="C9678" s="42"/>
    </row>
    <row r="9679" spans="3:3" x14ac:dyDescent="0.25">
      <c r="C9679" s="42"/>
    </row>
    <row r="9680" spans="3:3" x14ac:dyDescent="0.25">
      <c r="C9680" s="42"/>
    </row>
    <row r="9681" spans="3:3" x14ac:dyDescent="0.25">
      <c r="C9681" s="42"/>
    </row>
    <row r="9682" spans="3:3" x14ac:dyDescent="0.25">
      <c r="C9682" s="42"/>
    </row>
    <row r="9683" spans="3:3" x14ac:dyDescent="0.25">
      <c r="C9683" s="42"/>
    </row>
    <row r="9684" spans="3:3" x14ac:dyDescent="0.25">
      <c r="C9684" s="42"/>
    </row>
    <row r="9685" spans="3:3" x14ac:dyDescent="0.25">
      <c r="C9685" s="42"/>
    </row>
    <row r="9686" spans="3:3" x14ac:dyDescent="0.25">
      <c r="C9686" s="42"/>
    </row>
    <row r="9687" spans="3:3" x14ac:dyDescent="0.25">
      <c r="C9687" s="42"/>
    </row>
    <row r="9688" spans="3:3" x14ac:dyDescent="0.25">
      <c r="C9688" s="42"/>
    </row>
    <row r="9689" spans="3:3" x14ac:dyDescent="0.25">
      <c r="C9689" s="42"/>
    </row>
    <row r="9690" spans="3:3" x14ac:dyDescent="0.25">
      <c r="C9690" s="42"/>
    </row>
    <row r="9691" spans="3:3" x14ac:dyDescent="0.25">
      <c r="C9691" s="42"/>
    </row>
    <row r="9692" spans="3:3" x14ac:dyDescent="0.25">
      <c r="C9692" s="42"/>
    </row>
    <row r="9693" spans="3:3" x14ac:dyDescent="0.25">
      <c r="C9693" s="42"/>
    </row>
    <row r="9694" spans="3:3" x14ac:dyDescent="0.25">
      <c r="C9694" s="42"/>
    </row>
    <row r="9695" spans="3:3" x14ac:dyDescent="0.25">
      <c r="C9695" s="42"/>
    </row>
    <row r="9696" spans="3:3" x14ac:dyDescent="0.25">
      <c r="C9696" s="42"/>
    </row>
    <row r="9697" spans="3:3" x14ac:dyDescent="0.25">
      <c r="C9697" s="42"/>
    </row>
    <row r="9698" spans="3:3" x14ac:dyDescent="0.25">
      <c r="C9698" s="42"/>
    </row>
    <row r="9699" spans="3:3" x14ac:dyDescent="0.25">
      <c r="C9699" s="42"/>
    </row>
    <row r="9700" spans="3:3" x14ac:dyDescent="0.25">
      <c r="C9700" s="42"/>
    </row>
    <row r="9701" spans="3:3" x14ac:dyDescent="0.25">
      <c r="C9701" s="42"/>
    </row>
    <row r="9702" spans="3:3" x14ac:dyDescent="0.25">
      <c r="C9702" s="42"/>
    </row>
    <row r="9703" spans="3:3" x14ac:dyDescent="0.25">
      <c r="C9703" s="42"/>
    </row>
    <row r="9704" spans="3:3" x14ac:dyDescent="0.25">
      <c r="C9704" s="42"/>
    </row>
    <row r="9705" spans="3:3" x14ac:dyDescent="0.25">
      <c r="C9705" s="42"/>
    </row>
    <row r="9706" spans="3:3" x14ac:dyDescent="0.25">
      <c r="C9706" s="42"/>
    </row>
    <row r="9707" spans="3:3" x14ac:dyDescent="0.25">
      <c r="C9707" s="42"/>
    </row>
    <row r="9708" spans="3:3" x14ac:dyDescent="0.25">
      <c r="C9708" s="42"/>
    </row>
    <row r="9709" spans="3:3" x14ac:dyDescent="0.25">
      <c r="C9709" s="42"/>
    </row>
    <row r="9710" spans="3:3" x14ac:dyDescent="0.25">
      <c r="C9710" s="42"/>
    </row>
    <row r="9711" spans="3:3" x14ac:dyDescent="0.25">
      <c r="C9711" s="42"/>
    </row>
    <row r="9712" spans="3:3" x14ac:dyDescent="0.25">
      <c r="C9712" s="42"/>
    </row>
    <row r="9713" spans="3:3" x14ac:dyDescent="0.25">
      <c r="C9713" s="42"/>
    </row>
    <row r="9714" spans="3:3" x14ac:dyDescent="0.25">
      <c r="C9714" s="42"/>
    </row>
    <row r="9715" spans="3:3" x14ac:dyDescent="0.25">
      <c r="C9715" s="42"/>
    </row>
    <row r="9716" spans="3:3" x14ac:dyDescent="0.25">
      <c r="C9716" s="42"/>
    </row>
    <row r="9717" spans="3:3" x14ac:dyDescent="0.25">
      <c r="C9717" s="42"/>
    </row>
    <row r="9718" spans="3:3" x14ac:dyDescent="0.25">
      <c r="C9718" s="42"/>
    </row>
    <row r="9719" spans="3:3" x14ac:dyDescent="0.25">
      <c r="C9719" s="42"/>
    </row>
    <row r="9720" spans="3:3" x14ac:dyDescent="0.25">
      <c r="C9720" s="42"/>
    </row>
    <row r="9721" spans="3:3" x14ac:dyDescent="0.25">
      <c r="C9721" s="42"/>
    </row>
    <row r="9722" spans="3:3" x14ac:dyDescent="0.25">
      <c r="C9722" s="42"/>
    </row>
    <row r="9723" spans="3:3" x14ac:dyDescent="0.25">
      <c r="C9723" s="42"/>
    </row>
    <row r="9724" spans="3:3" x14ac:dyDescent="0.25">
      <c r="C9724" s="42"/>
    </row>
    <row r="9725" spans="3:3" x14ac:dyDescent="0.25">
      <c r="C9725" s="42"/>
    </row>
    <row r="9726" spans="3:3" x14ac:dyDescent="0.25">
      <c r="C9726" s="42"/>
    </row>
    <row r="9727" spans="3:3" x14ac:dyDescent="0.25">
      <c r="C9727" s="42"/>
    </row>
    <row r="9728" spans="3:3" x14ac:dyDescent="0.25">
      <c r="C9728" s="42"/>
    </row>
    <row r="9729" spans="3:3" x14ac:dyDescent="0.25">
      <c r="C9729" s="42"/>
    </row>
    <row r="9730" spans="3:3" x14ac:dyDescent="0.25">
      <c r="C9730" s="42"/>
    </row>
    <row r="9731" spans="3:3" x14ac:dyDescent="0.25">
      <c r="C9731" s="42"/>
    </row>
    <row r="9732" spans="3:3" x14ac:dyDescent="0.25">
      <c r="C9732" s="42"/>
    </row>
    <row r="9733" spans="3:3" x14ac:dyDescent="0.25">
      <c r="C9733" s="42"/>
    </row>
    <row r="9734" spans="3:3" x14ac:dyDescent="0.25">
      <c r="C9734" s="42"/>
    </row>
    <row r="9735" spans="3:3" x14ac:dyDescent="0.25">
      <c r="C9735" s="42"/>
    </row>
    <row r="9736" spans="3:3" x14ac:dyDescent="0.25">
      <c r="C9736" s="42"/>
    </row>
    <row r="9737" spans="3:3" x14ac:dyDescent="0.25">
      <c r="C9737" s="42"/>
    </row>
    <row r="9738" spans="3:3" x14ac:dyDescent="0.25">
      <c r="C9738" s="42"/>
    </row>
    <row r="9739" spans="3:3" x14ac:dyDescent="0.25">
      <c r="C9739" s="42"/>
    </row>
    <row r="9740" spans="3:3" x14ac:dyDescent="0.25">
      <c r="C9740" s="42"/>
    </row>
    <row r="9741" spans="3:3" x14ac:dyDescent="0.25">
      <c r="C9741" s="42"/>
    </row>
    <row r="9742" spans="3:3" x14ac:dyDescent="0.25">
      <c r="C9742" s="42"/>
    </row>
    <row r="9743" spans="3:3" x14ac:dyDescent="0.25">
      <c r="C9743" s="42"/>
    </row>
    <row r="9744" spans="3:3" x14ac:dyDescent="0.25">
      <c r="C9744" s="42"/>
    </row>
    <row r="9745" spans="3:3" x14ac:dyDescent="0.25">
      <c r="C9745" s="42"/>
    </row>
    <row r="9746" spans="3:3" x14ac:dyDescent="0.25">
      <c r="C9746" s="42"/>
    </row>
    <row r="9747" spans="3:3" x14ac:dyDescent="0.25">
      <c r="C9747" s="42"/>
    </row>
    <row r="9748" spans="3:3" x14ac:dyDescent="0.25">
      <c r="C9748" s="42"/>
    </row>
    <row r="9749" spans="3:3" x14ac:dyDescent="0.25">
      <c r="C9749" s="42"/>
    </row>
    <row r="9750" spans="3:3" x14ac:dyDescent="0.25">
      <c r="C9750" s="42"/>
    </row>
    <row r="9751" spans="3:3" x14ac:dyDescent="0.25">
      <c r="C9751" s="42"/>
    </row>
    <row r="9752" spans="3:3" x14ac:dyDescent="0.25">
      <c r="C9752" s="42"/>
    </row>
    <row r="9753" spans="3:3" x14ac:dyDescent="0.25">
      <c r="C9753" s="42"/>
    </row>
    <row r="9754" spans="3:3" x14ac:dyDescent="0.25">
      <c r="C9754" s="42"/>
    </row>
    <row r="9755" spans="3:3" x14ac:dyDescent="0.25">
      <c r="C9755" s="42"/>
    </row>
    <row r="9756" spans="3:3" x14ac:dyDescent="0.25">
      <c r="C9756" s="42"/>
    </row>
    <row r="9757" spans="3:3" x14ac:dyDescent="0.25">
      <c r="C9757" s="42"/>
    </row>
    <row r="9758" spans="3:3" x14ac:dyDescent="0.25">
      <c r="C9758" s="42"/>
    </row>
    <row r="9759" spans="3:3" x14ac:dyDescent="0.25">
      <c r="C9759" s="42"/>
    </row>
    <row r="9760" spans="3:3" x14ac:dyDescent="0.25">
      <c r="C9760" s="42"/>
    </row>
    <row r="9761" spans="3:3" x14ac:dyDescent="0.25">
      <c r="C9761" s="42"/>
    </row>
    <row r="9762" spans="3:3" x14ac:dyDescent="0.25">
      <c r="C9762" s="42"/>
    </row>
    <row r="9763" spans="3:3" x14ac:dyDescent="0.25">
      <c r="C9763" s="42"/>
    </row>
    <row r="9764" spans="3:3" x14ac:dyDescent="0.25">
      <c r="C9764" s="42"/>
    </row>
    <row r="9765" spans="3:3" x14ac:dyDescent="0.25">
      <c r="C9765" s="42"/>
    </row>
    <row r="9766" spans="3:3" x14ac:dyDescent="0.25">
      <c r="C9766" s="42"/>
    </row>
    <row r="9767" spans="3:3" x14ac:dyDescent="0.25">
      <c r="C9767" s="42"/>
    </row>
    <row r="9768" spans="3:3" x14ac:dyDescent="0.25">
      <c r="C9768" s="42"/>
    </row>
    <row r="9769" spans="3:3" x14ac:dyDescent="0.25">
      <c r="C9769" s="42"/>
    </row>
    <row r="9770" spans="3:3" x14ac:dyDescent="0.25">
      <c r="C9770" s="42"/>
    </row>
    <row r="9771" spans="3:3" x14ac:dyDescent="0.25">
      <c r="C9771" s="42"/>
    </row>
    <row r="9772" spans="3:3" x14ac:dyDescent="0.25">
      <c r="C9772" s="42"/>
    </row>
    <row r="9773" spans="3:3" x14ac:dyDescent="0.25">
      <c r="C9773" s="42"/>
    </row>
    <row r="9774" spans="3:3" x14ac:dyDescent="0.25">
      <c r="C9774" s="42"/>
    </row>
    <row r="9775" spans="3:3" x14ac:dyDescent="0.25">
      <c r="C9775" s="42"/>
    </row>
    <row r="9776" spans="3:3" x14ac:dyDescent="0.25">
      <c r="C9776" s="42"/>
    </row>
    <row r="9777" spans="3:3" x14ac:dyDescent="0.25">
      <c r="C9777" s="42"/>
    </row>
    <row r="9778" spans="3:3" x14ac:dyDescent="0.25">
      <c r="C9778" s="42"/>
    </row>
    <row r="9779" spans="3:3" x14ac:dyDescent="0.25">
      <c r="C9779" s="42"/>
    </row>
    <row r="9780" spans="3:3" x14ac:dyDescent="0.25">
      <c r="C9780" s="42"/>
    </row>
    <row r="9781" spans="3:3" x14ac:dyDescent="0.25">
      <c r="C9781" s="42"/>
    </row>
    <row r="9782" spans="3:3" x14ac:dyDescent="0.25">
      <c r="C9782" s="42"/>
    </row>
    <row r="9783" spans="3:3" x14ac:dyDescent="0.25">
      <c r="C9783" s="42"/>
    </row>
    <row r="9784" spans="3:3" x14ac:dyDescent="0.25">
      <c r="C9784" s="42"/>
    </row>
    <row r="9785" spans="3:3" x14ac:dyDescent="0.25">
      <c r="C9785" s="42"/>
    </row>
    <row r="9786" spans="3:3" x14ac:dyDescent="0.25">
      <c r="C9786" s="42"/>
    </row>
    <row r="9787" spans="3:3" x14ac:dyDescent="0.25">
      <c r="C9787" s="42"/>
    </row>
    <row r="9788" spans="3:3" x14ac:dyDescent="0.25">
      <c r="C9788" s="42"/>
    </row>
    <row r="9789" spans="3:3" x14ac:dyDescent="0.25">
      <c r="C9789" s="42"/>
    </row>
    <row r="9790" spans="3:3" x14ac:dyDescent="0.25">
      <c r="C9790" s="42"/>
    </row>
    <row r="9791" spans="3:3" x14ac:dyDescent="0.25">
      <c r="C9791" s="42"/>
    </row>
    <row r="9792" spans="3:3" x14ac:dyDescent="0.25">
      <c r="C9792" s="42"/>
    </row>
    <row r="9793" spans="3:3" x14ac:dyDescent="0.25">
      <c r="C9793" s="42"/>
    </row>
    <row r="9794" spans="3:3" x14ac:dyDescent="0.25">
      <c r="C9794" s="42"/>
    </row>
    <row r="9795" spans="3:3" x14ac:dyDescent="0.25">
      <c r="C9795" s="42"/>
    </row>
    <row r="9796" spans="3:3" x14ac:dyDescent="0.25">
      <c r="C9796" s="42"/>
    </row>
    <row r="9797" spans="3:3" x14ac:dyDescent="0.25">
      <c r="C9797" s="42"/>
    </row>
    <row r="9798" spans="3:3" x14ac:dyDescent="0.25">
      <c r="C9798" s="42"/>
    </row>
    <row r="9799" spans="3:3" x14ac:dyDescent="0.25">
      <c r="C9799" s="42"/>
    </row>
    <row r="9800" spans="3:3" x14ac:dyDescent="0.25">
      <c r="C9800" s="42"/>
    </row>
    <row r="9801" spans="3:3" x14ac:dyDescent="0.25">
      <c r="C9801" s="42"/>
    </row>
    <row r="9802" spans="3:3" x14ac:dyDescent="0.25">
      <c r="C9802" s="42"/>
    </row>
    <row r="9803" spans="3:3" x14ac:dyDescent="0.25">
      <c r="C9803" s="42"/>
    </row>
    <row r="9804" spans="3:3" x14ac:dyDescent="0.25">
      <c r="C9804" s="42"/>
    </row>
    <row r="9805" spans="3:3" x14ac:dyDescent="0.25">
      <c r="C9805" s="42"/>
    </row>
    <row r="9806" spans="3:3" x14ac:dyDescent="0.25">
      <c r="C9806" s="42"/>
    </row>
    <row r="9807" spans="3:3" x14ac:dyDescent="0.25">
      <c r="C9807" s="42"/>
    </row>
    <row r="9808" spans="3:3" x14ac:dyDescent="0.25">
      <c r="C9808" s="42"/>
    </row>
    <row r="9809" spans="3:3" x14ac:dyDescent="0.25">
      <c r="C9809" s="42"/>
    </row>
    <row r="9810" spans="3:3" x14ac:dyDescent="0.25">
      <c r="C9810" s="42"/>
    </row>
    <row r="9811" spans="3:3" x14ac:dyDescent="0.25">
      <c r="C9811" s="42"/>
    </row>
    <row r="9812" spans="3:3" x14ac:dyDescent="0.25">
      <c r="C9812" s="42"/>
    </row>
    <row r="9813" spans="3:3" x14ac:dyDescent="0.25">
      <c r="C9813" s="42"/>
    </row>
    <row r="9814" spans="3:3" x14ac:dyDescent="0.25">
      <c r="C9814" s="42"/>
    </row>
    <row r="9815" spans="3:3" x14ac:dyDescent="0.25">
      <c r="C9815" s="42"/>
    </row>
    <row r="9816" spans="3:3" x14ac:dyDescent="0.25">
      <c r="C9816" s="42"/>
    </row>
    <row r="9817" spans="3:3" x14ac:dyDescent="0.25">
      <c r="C9817" s="42"/>
    </row>
    <row r="9818" spans="3:3" x14ac:dyDescent="0.25">
      <c r="C9818" s="42"/>
    </row>
    <row r="9819" spans="3:3" x14ac:dyDescent="0.25">
      <c r="C9819" s="42"/>
    </row>
    <row r="9820" spans="3:3" x14ac:dyDescent="0.25">
      <c r="C9820" s="42"/>
    </row>
    <row r="9821" spans="3:3" x14ac:dyDescent="0.25">
      <c r="C9821" s="42"/>
    </row>
    <row r="9822" spans="3:3" x14ac:dyDescent="0.25">
      <c r="C9822" s="42"/>
    </row>
    <row r="9823" spans="3:3" x14ac:dyDescent="0.25">
      <c r="C9823" s="42"/>
    </row>
    <row r="9824" spans="3:3" x14ac:dyDescent="0.25">
      <c r="C9824" s="42"/>
    </row>
    <row r="9825" spans="3:3" x14ac:dyDescent="0.25">
      <c r="C9825" s="42"/>
    </row>
    <row r="9826" spans="3:3" x14ac:dyDescent="0.25">
      <c r="C9826" s="42"/>
    </row>
    <row r="9827" spans="3:3" x14ac:dyDescent="0.25">
      <c r="C9827" s="42"/>
    </row>
    <row r="9828" spans="3:3" x14ac:dyDescent="0.25">
      <c r="C9828" s="42"/>
    </row>
    <row r="9829" spans="3:3" x14ac:dyDescent="0.25">
      <c r="C9829" s="42"/>
    </row>
    <row r="9830" spans="3:3" x14ac:dyDescent="0.25">
      <c r="C9830" s="42"/>
    </row>
    <row r="9831" spans="3:3" x14ac:dyDescent="0.25">
      <c r="C9831" s="42"/>
    </row>
    <row r="9832" spans="3:3" x14ac:dyDescent="0.25">
      <c r="C9832" s="42"/>
    </row>
    <row r="9833" spans="3:3" x14ac:dyDescent="0.25">
      <c r="C9833" s="42"/>
    </row>
    <row r="9834" spans="3:3" x14ac:dyDescent="0.25">
      <c r="C9834" s="42"/>
    </row>
    <row r="9835" spans="3:3" x14ac:dyDescent="0.25">
      <c r="C9835" s="42"/>
    </row>
    <row r="9836" spans="3:3" x14ac:dyDescent="0.25">
      <c r="C9836" s="42"/>
    </row>
    <row r="9837" spans="3:3" x14ac:dyDescent="0.25">
      <c r="C9837" s="42"/>
    </row>
    <row r="9838" spans="3:3" x14ac:dyDescent="0.25">
      <c r="C9838" s="42"/>
    </row>
    <row r="9839" spans="3:3" x14ac:dyDescent="0.25">
      <c r="C9839" s="42"/>
    </row>
    <row r="9840" spans="3:3" x14ac:dyDescent="0.25">
      <c r="C9840" s="42"/>
    </row>
    <row r="9841" spans="3:3" x14ac:dyDescent="0.25">
      <c r="C9841" s="42"/>
    </row>
    <row r="9842" spans="3:3" x14ac:dyDescent="0.25">
      <c r="C9842" s="42"/>
    </row>
    <row r="9843" spans="3:3" x14ac:dyDescent="0.25">
      <c r="C9843" s="42"/>
    </row>
    <row r="9844" spans="3:3" x14ac:dyDescent="0.25">
      <c r="C9844" s="42"/>
    </row>
    <row r="9845" spans="3:3" x14ac:dyDescent="0.25">
      <c r="C9845" s="42"/>
    </row>
    <row r="9846" spans="3:3" x14ac:dyDescent="0.25">
      <c r="C9846" s="42"/>
    </row>
    <row r="9847" spans="3:3" x14ac:dyDescent="0.25">
      <c r="C9847" s="42"/>
    </row>
    <row r="9848" spans="3:3" x14ac:dyDescent="0.25">
      <c r="C9848" s="42"/>
    </row>
    <row r="9849" spans="3:3" x14ac:dyDescent="0.25">
      <c r="C9849" s="42"/>
    </row>
    <row r="9850" spans="3:3" x14ac:dyDescent="0.25">
      <c r="C9850" s="42"/>
    </row>
    <row r="9851" spans="3:3" x14ac:dyDescent="0.25">
      <c r="C9851" s="42"/>
    </row>
    <row r="9852" spans="3:3" x14ac:dyDescent="0.25">
      <c r="C9852" s="42"/>
    </row>
    <row r="9853" spans="3:3" x14ac:dyDescent="0.25">
      <c r="C9853" s="42"/>
    </row>
    <row r="9854" spans="3:3" x14ac:dyDescent="0.25">
      <c r="C9854" s="42"/>
    </row>
    <row r="9855" spans="3:3" x14ac:dyDescent="0.25">
      <c r="C9855" s="42"/>
    </row>
    <row r="9856" spans="3:3" x14ac:dyDescent="0.25">
      <c r="C9856" s="42"/>
    </row>
    <row r="9857" spans="3:3" x14ac:dyDescent="0.25">
      <c r="C9857" s="42"/>
    </row>
    <row r="9858" spans="3:3" x14ac:dyDescent="0.25">
      <c r="C9858" s="42"/>
    </row>
    <row r="9859" spans="3:3" x14ac:dyDescent="0.25">
      <c r="C9859" s="42"/>
    </row>
    <row r="9860" spans="3:3" x14ac:dyDescent="0.25">
      <c r="C9860" s="42"/>
    </row>
    <row r="9861" spans="3:3" x14ac:dyDescent="0.25">
      <c r="C9861" s="42"/>
    </row>
    <row r="9862" spans="3:3" x14ac:dyDescent="0.25">
      <c r="C9862" s="42"/>
    </row>
    <row r="9863" spans="3:3" x14ac:dyDescent="0.25">
      <c r="C9863" s="42"/>
    </row>
    <row r="9864" spans="3:3" x14ac:dyDescent="0.25">
      <c r="C9864" s="42"/>
    </row>
    <row r="9865" spans="3:3" x14ac:dyDescent="0.25">
      <c r="C9865" s="42"/>
    </row>
    <row r="9866" spans="3:3" x14ac:dyDescent="0.25">
      <c r="C9866" s="42"/>
    </row>
    <row r="9867" spans="3:3" x14ac:dyDescent="0.25">
      <c r="C9867" s="42"/>
    </row>
    <row r="9868" spans="3:3" x14ac:dyDescent="0.25">
      <c r="C9868" s="42"/>
    </row>
    <row r="9869" spans="3:3" x14ac:dyDescent="0.25">
      <c r="C9869" s="42"/>
    </row>
    <row r="9870" spans="3:3" x14ac:dyDescent="0.25">
      <c r="C9870" s="42"/>
    </row>
    <row r="9871" spans="3:3" x14ac:dyDescent="0.25">
      <c r="C9871" s="42"/>
    </row>
    <row r="9872" spans="3:3" x14ac:dyDescent="0.25">
      <c r="C9872" s="42"/>
    </row>
    <row r="9873" spans="3:3" x14ac:dyDescent="0.25">
      <c r="C9873" s="42"/>
    </row>
    <row r="9874" spans="3:3" x14ac:dyDescent="0.25">
      <c r="C9874" s="42"/>
    </row>
    <row r="9875" spans="3:3" x14ac:dyDescent="0.25">
      <c r="C9875" s="42"/>
    </row>
    <row r="9876" spans="3:3" x14ac:dyDescent="0.25">
      <c r="C9876" s="42"/>
    </row>
    <row r="9877" spans="3:3" x14ac:dyDescent="0.25">
      <c r="C9877" s="42"/>
    </row>
    <row r="9878" spans="3:3" x14ac:dyDescent="0.25">
      <c r="C9878" s="42"/>
    </row>
    <row r="9879" spans="3:3" x14ac:dyDescent="0.25">
      <c r="C9879" s="42"/>
    </row>
    <row r="9880" spans="3:3" x14ac:dyDescent="0.25">
      <c r="C9880" s="42"/>
    </row>
    <row r="9881" spans="3:3" x14ac:dyDescent="0.25">
      <c r="C9881" s="42"/>
    </row>
    <row r="9882" spans="3:3" x14ac:dyDescent="0.25">
      <c r="C9882" s="42"/>
    </row>
    <row r="9883" spans="3:3" x14ac:dyDescent="0.25">
      <c r="C9883" s="42"/>
    </row>
    <row r="9884" spans="3:3" x14ac:dyDescent="0.25">
      <c r="C9884" s="42"/>
    </row>
    <row r="9885" spans="3:3" x14ac:dyDescent="0.25">
      <c r="C9885" s="42"/>
    </row>
    <row r="9886" spans="3:3" x14ac:dyDescent="0.25">
      <c r="C9886" s="42"/>
    </row>
    <row r="9887" spans="3:3" x14ac:dyDescent="0.25">
      <c r="C9887" s="42"/>
    </row>
    <row r="9888" spans="3:3" x14ac:dyDescent="0.25">
      <c r="C9888" s="42"/>
    </row>
    <row r="9889" spans="3:3" x14ac:dyDescent="0.25">
      <c r="C9889" s="42"/>
    </row>
    <row r="9890" spans="3:3" x14ac:dyDescent="0.25">
      <c r="C9890" s="42"/>
    </row>
    <row r="9891" spans="3:3" x14ac:dyDescent="0.25">
      <c r="C9891" s="42"/>
    </row>
    <row r="9892" spans="3:3" x14ac:dyDescent="0.25">
      <c r="C9892" s="42"/>
    </row>
    <row r="9893" spans="3:3" x14ac:dyDescent="0.25">
      <c r="C9893" s="42"/>
    </row>
    <row r="9894" spans="3:3" x14ac:dyDescent="0.25">
      <c r="C9894" s="42"/>
    </row>
    <row r="9895" spans="3:3" x14ac:dyDescent="0.25">
      <c r="C9895" s="42"/>
    </row>
    <row r="9896" spans="3:3" x14ac:dyDescent="0.25">
      <c r="C9896" s="42"/>
    </row>
    <row r="9897" spans="3:3" x14ac:dyDescent="0.25">
      <c r="C9897" s="42"/>
    </row>
    <row r="9898" spans="3:3" x14ac:dyDescent="0.25">
      <c r="C9898" s="42"/>
    </row>
    <row r="9899" spans="3:3" x14ac:dyDescent="0.25">
      <c r="C9899" s="42"/>
    </row>
    <row r="9900" spans="3:3" x14ac:dyDescent="0.25">
      <c r="C9900" s="42"/>
    </row>
    <row r="9901" spans="3:3" x14ac:dyDescent="0.25">
      <c r="C9901" s="42"/>
    </row>
    <row r="9902" spans="3:3" x14ac:dyDescent="0.25">
      <c r="C9902" s="42"/>
    </row>
    <row r="9903" spans="3:3" x14ac:dyDescent="0.25">
      <c r="C9903" s="42"/>
    </row>
    <row r="9904" spans="3:3" x14ac:dyDescent="0.25">
      <c r="C9904" s="42"/>
    </row>
    <row r="9905" spans="3:3" x14ac:dyDescent="0.25">
      <c r="C9905" s="42"/>
    </row>
    <row r="9906" spans="3:3" x14ac:dyDescent="0.25">
      <c r="C9906" s="42"/>
    </row>
    <row r="9907" spans="3:3" x14ac:dyDescent="0.25">
      <c r="C9907" s="42"/>
    </row>
    <row r="9908" spans="3:3" x14ac:dyDescent="0.25">
      <c r="C9908" s="42"/>
    </row>
    <row r="9909" spans="3:3" x14ac:dyDescent="0.25">
      <c r="C9909" s="42"/>
    </row>
    <row r="9910" spans="3:3" x14ac:dyDescent="0.25">
      <c r="C9910" s="42"/>
    </row>
    <row r="9911" spans="3:3" x14ac:dyDescent="0.25">
      <c r="C9911" s="42"/>
    </row>
    <row r="9912" spans="3:3" x14ac:dyDescent="0.25">
      <c r="C9912" s="42"/>
    </row>
    <row r="9913" spans="3:3" x14ac:dyDescent="0.25">
      <c r="C9913" s="42"/>
    </row>
    <row r="9914" spans="3:3" x14ac:dyDescent="0.25">
      <c r="C9914" s="42"/>
    </row>
    <row r="9915" spans="3:3" x14ac:dyDescent="0.25">
      <c r="C9915" s="42"/>
    </row>
    <row r="9916" spans="3:3" x14ac:dyDescent="0.25">
      <c r="C9916" s="42"/>
    </row>
    <row r="9917" spans="3:3" x14ac:dyDescent="0.25">
      <c r="C9917" s="42"/>
    </row>
    <row r="9918" spans="3:3" x14ac:dyDescent="0.25">
      <c r="C9918" s="42"/>
    </row>
    <row r="9919" spans="3:3" x14ac:dyDescent="0.25">
      <c r="C9919" s="42"/>
    </row>
    <row r="9920" spans="3:3" x14ac:dyDescent="0.25">
      <c r="C9920" s="42"/>
    </row>
    <row r="9921" spans="3:3" x14ac:dyDescent="0.25">
      <c r="C9921" s="42"/>
    </row>
    <row r="9922" spans="3:3" x14ac:dyDescent="0.25">
      <c r="C9922" s="42"/>
    </row>
    <row r="9923" spans="3:3" x14ac:dyDescent="0.25">
      <c r="C9923" s="42"/>
    </row>
    <row r="9924" spans="3:3" x14ac:dyDescent="0.25">
      <c r="C9924" s="42"/>
    </row>
    <row r="9925" spans="3:3" x14ac:dyDescent="0.25">
      <c r="C9925" s="42"/>
    </row>
    <row r="9926" spans="3:3" x14ac:dyDescent="0.25">
      <c r="C9926" s="42"/>
    </row>
    <row r="9927" spans="3:3" x14ac:dyDescent="0.25">
      <c r="C9927" s="42"/>
    </row>
    <row r="9928" spans="3:3" x14ac:dyDescent="0.25">
      <c r="C9928" s="42"/>
    </row>
    <row r="9929" spans="3:3" x14ac:dyDescent="0.25">
      <c r="C9929" s="42"/>
    </row>
    <row r="9930" spans="3:3" x14ac:dyDescent="0.25">
      <c r="C9930" s="42"/>
    </row>
    <row r="9931" spans="3:3" x14ac:dyDescent="0.25">
      <c r="C9931" s="42"/>
    </row>
    <row r="9932" spans="3:3" x14ac:dyDescent="0.25">
      <c r="C9932" s="42"/>
    </row>
    <row r="9933" spans="3:3" x14ac:dyDescent="0.25">
      <c r="C9933" s="42"/>
    </row>
    <row r="9934" spans="3:3" x14ac:dyDescent="0.25">
      <c r="C9934" s="42"/>
    </row>
    <row r="9935" spans="3:3" x14ac:dyDescent="0.25">
      <c r="C9935" s="42"/>
    </row>
    <row r="9936" spans="3:3" x14ac:dyDescent="0.25">
      <c r="C9936" s="42"/>
    </row>
    <row r="9937" spans="3:3" x14ac:dyDescent="0.25">
      <c r="C9937" s="42"/>
    </row>
    <row r="9938" spans="3:3" x14ac:dyDescent="0.25">
      <c r="C9938" s="42"/>
    </row>
    <row r="9939" spans="3:3" x14ac:dyDescent="0.25">
      <c r="C9939" s="42"/>
    </row>
    <row r="9940" spans="3:3" x14ac:dyDescent="0.25">
      <c r="C9940" s="42"/>
    </row>
    <row r="9941" spans="3:3" x14ac:dyDescent="0.25">
      <c r="C9941" s="42"/>
    </row>
    <row r="9942" spans="3:3" x14ac:dyDescent="0.25">
      <c r="C9942" s="42"/>
    </row>
    <row r="9943" spans="3:3" x14ac:dyDescent="0.25">
      <c r="C9943" s="42"/>
    </row>
    <row r="9944" spans="3:3" x14ac:dyDescent="0.25">
      <c r="C9944" s="42"/>
    </row>
    <row r="9945" spans="3:3" x14ac:dyDescent="0.25">
      <c r="C9945" s="42"/>
    </row>
    <row r="9946" spans="3:3" x14ac:dyDescent="0.25">
      <c r="C9946" s="42"/>
    </row>
    <row r="9947" spans="3:3" x14ac:dyDescent="0.25">
      <c r="C9947" s="42"/>
    </row>
    <row r="9948" spans="3:3" x14ac:dyDescent="0.25">
      <c r="C9948" s="42"/>
    </row>
    <row r="9949" spans="3:3" x14ac:dyDescent="0.25">
      <c r="C9949" s="42"/>
    </row>
    <row r="9950" spans="3:3" x14ac:dyDescent="0.25">
      <c r="C9950" s="42"/>
    </row>
    <row r="9951" spans="3:3" x14ac:dyDescent="0.25">
      <c r="C9951" s="42"/>
    </row>
    <row r="9952" spans="3:3" x14ac:dyDescent="0.25">
      <c r="C9952" s="42"/>
    </row>
    <row r="9953" spans="3:3" x14ac:dyDescent="0.25">
      <c r="C9953" s="42"/>
    </row>
    <row r="9954" spans="3:3" x14ac:dyDescent="0.25">
      <c r="C9954" s="42"/>
    </row>
    <row r="9955" spans="3:3" x14ac:dyDescent="0.25">
      <c r="C9955" s="42"/>
    </row>
    <row r="9956" spans="3:3" x14ac:dyDescent="0.25">
      <c r="C9956" s="42"/>
    </row>
    <row r="9957" spans="3:3" x14ac:dyDescent="0.25">
      <c r="C9957" s="42"/>
    </row>
    <row r="9958" spans="3:3" x14ac:dyDescent="0.25">
      <c r="C9958" s="42"/>
    </row>
    <row r="9959" spans="3:3" x14ac:dyDescent="0.25">
      <c r="C9959" s="42"/>
    </row>
    <row r="9960" spans="3:3" x14ac:dyDescent="0.25">
      <c r="C9960" s="42"/>
    </row>
    <row r="9961" spans="3:3" x14ac:dyDescent="0.25">
      <c r="C9961" s="42"/>
    </row>
    <row r="9962" spans="3:3" x14ac:dyDescent="0.25">
      <c r="C9962" s="42"/>
    </row>
    <row r="9963" spans="3:3" x14ac:dyDescent="0.25">
      <c r="C9963" s="42"/>
    </row>
    <row r="9964" spans="3:3" x14ac:dyDescent="0.25">
      <c r="C9964" s="42"/>
    </row>
    <row r="9965" spans="3:3" x14ac:dyDescent="0.25">
      <c r="C9965" s="42"/>
    </row>
    <row r="9966" spans="3:3" x14ac:dyDescent="0.25">
      <c r="C9966" s="42"/>
    </row>
    <row r="9967" spans="3:3" x14ac:dyDescent="0.25">
      <c r="C9967" s="42"/>
    </row>
    <row r="9968" spans="3:3" x14ac:dyDescent="0.25">
      <c r="C9968" s="42"/>
    </row>
    <row r="9969" spans="3:3" x14ac:dyDescent="0.25">
      <c r="C9969" s="42"/>
    </row>
    <row r="9970" spans="3:3" x14ac:dyDescent="0.25">
      <c r="C9970" s="42"/>
    </row>
    <row r="9971" spans="3:3" x14ac:dyDescent="0.25">
      <c r="C9971" s="42"/>
    </row>
    <row r="9972" spans="3:3" x14ac:dyDescent="0.25">
      <c r="C9972" s="42"/>
    </row>
    <row r="9973" spans="3:3" x14ac:dyDescent="0.25">
      <c r="C9973" s="42"/>
    </row>
    <row r="9974" spans="3:3" x14ac:dyDescent="0.25">
      <c r="C9974" s="42"/>
    </row>
    <row r="9975" spans="3:3" x14ac:dyDescent="0.25">
      <c r="C9975" s="42"/>
    </row>
    <row r="9976" spans="3:3" x14ac:dyDescent="0.25">
      <c r="C9976" s="42"/>
    </row>
    <row r="9977" spans="3:3" x14ac:dyDescent="0.25">
      <c r="C9977" s="42"/>
    </row>
    <row r="9978" spans="3:3" x14ac:dyDescent="0.25">
      <c r="C9978" s="42"/>
    </row>
    <row r="9979" spans="3:3" x14ac:dyDescent="0.25">
      <c r="C9979" s="42"/>
    </row>
    <row r="9980" spans="3:3" x14ac:dyDescent="0.25">
      <c r="C9980" s="42"/>
    </row>
    <row r="9981" spans="3:3" x14ac:dyDescent="0.25">
      <c r="C9981" s="42"/>
    </row>
    <row r="9982" spans="3:3" x14ac:dyDescent="0.25">
      <c r="C9982" s="42"/>
    </row>
    <row r="9983" spans="3:3" x14ac:dyDescent="0.25">
      <c r="C9983" s="42"/>
    </row>
    <row r="9984" spans="3:3" x14ac:dyDescent="0.25">
      <c r="C9984" s="42"/>
    </row>
    <row r="9985" spans="3:3" x14ac:dyDescent="0.25">
      <c r="C9985" s="42"/>
    </row>
    <row r="9986" spans="3:3" x14ac:dyDescent="0.25">
      <c r="C9986" s="42"/>
    </row>
    <row r="9987" spans="3:3" x14ac:dyDescent="0.25">
      <c r="C9987" s="42"/>
    </row>
    <row r="9988" spans="3:3" x14ac:dyDescent="0.25">
      <c r="C9988" s="42"/>
    </row>
    <row r="9989" spans="3:3" x14ac:dyDescent="0.25">
      <c r="C9989" s="42"/>
    </row>
    <row r="9990" spans="3:3" x14ac:dyDescent="0.25">
      <c r="C9990" s="42"/>
    </row>
    <row r="9991" spans="3:3" x14ac:dyDescent="0.25">
      <c r="C9991" s="42"/>
    </row>
    <row r="9992" spans="3:3" x14ac:dyDescent="0.25">
      <c r="C9992" s="42"/>
    </row>
    <row r="9993" spans="3:3" x14ac:dyDescent="0.25">
      <c r="C9993" s="42"/>
    </row>
    <row r="9994" spans="3:3" x14ac:dyDescent="0.25">
      <c r="C9994" s="42"/>
    </row>
    <row r="9995" spans="3:3" x14ac:dyDescent="0.25">
      <c r="C9995" s="42"/>
    </row>
    <row r="9996" spans="3:3" x14ac:dyDescent="0.25">
      <c r="C9996" s="42"/>
    </row>
    <row r="9997" spans="3:3" x14ac:dyDescent="0.25">
      <c r="C9997" s="42"/>
    </row>
    <row r="9998" spans="3:3" x14ac:dyDescent="0.25">
      <c r="C9998" s="42"/>
    </row>
    <row r="9999" spans="3:3" x14ac:dyDescent="0.25">
      <c r="C9999" s="42"/>
    </row>
    <row r="10000" spans="3:3" x14ac:dyDescent="0.25">
      <c r="C10000" s="4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D13A-7A4C-47B2-BC00-A1DAEB191D75}">
  <dimension ref="A1:U80"/>
  <sheetViews>
    <sheetView workbookViewId="0"/>
  </sheetViews>
  <sheetFormatPr defaultRowHeight="15" x14ac:dyDescent="0.25"/>
  <cols>
    <col min="8" max="8" width="10.7109375" style="16" customWidth="1"/>
    <col min="9" max="9" width="9.140625" style="16"/>
    <col min="10" max="10" width="9.140625" style="16" customWidth="1"/>
    <col min="11" max="15" width="9.140625" style="16"/>
    <col min="17" max="17" width="9.140625" style="17"/>
    <col min="18" max="18" width="12" style="17" bestFit="1" customWidth="1"/>
  </cols>
  <sheetData>
    <row r="1" spans="1:21" ht="60" x14ac:dyDescent="0.25">
      <c r="A1" s="4" t="s">
        <v>640</v>
      </c>
      <c r="B1" s="5" t="s">
        <v>641</v>
      </c>
      <c r="C1" s="4" t="s">
        <v>642</v>
      </c>
      <c r="D1" s="4" t="s">
        <v>643</v>
      </c>
      <c r="E1" s="4" t="s">
        <v>644</v>
      </c>
      <c r="F1" s="4" t="s">
        <v>645</v>
      </c>
      <c r="G1" s="7" t="s">
        <v>646</v>
      </c>
      <c r="H1" s="7" t="s">
        <v>649</v>
      </c>
      <c r="I1" s="7" t="s">
        <v>650</v>
      </c>
      <c r="J1" s="7" t="s">
        <v>651</v>
      </c>
      <c r="K1" s="7" t="s">
        <v>652</v>
      </c>
      <c r="L1" s="7" t="s">
        <v>647</v>
      </c>
      <c r="M1" s="7" t="s">
        <v>648</v>
      </c>
      <c r="N1" s="7" t="s">
        <v>653</v>
      </c>
      <c r="O1" s="7" t="s">
        <v>654</v>
      </c>
    </row>
    <row r="2" spans="1:21" x14ac:dyDescent="0.25">
      <c r="A2" s="15">
        <f>100000000*SecondsPerYear</f>
        <v>3155690000000000</v>
      </c>
      <c r="B2" s="17">
        <f t="shared" ref="B2:B39" si="0">A2/Gyr</f>
        <v>0.1</v>
      </c>
      <c r="C2" s="15">
        <f t="shared" ref="C2:C39" si="1">1/ScaleFactor-1</f>
        <v>151.41167130453172</v>
      </c>
      <c r="D2" s="15">
        <f t="shared" ref="D2:D39" si="2">time*(-2*InitialTangentVelocity+UniverseAcceleration*time)/(Age*(-2*InitialTangentVelocity+UniverseAcceleration*Age))</f>
        <v>6.5611773130019252E-3</v>
      </c>
      <c r="E2" s="15">
        <f t="shared" ref="E2:E39" si="3">(2*InitialTangentVelocity-2*UniverseAcceleration*time)/(2*InitialTangentVelocity*Age-UniverseAcceleration*Age^2)</f>
        <v>2.0787812944901045E-18</v>
      </c>
      <c r="F2" s="15">
        <f t="shared" ref="F2:F39" si="4">(2*InitialTangentVelocity-2*UniverseAcceleration*time)/(2*InitialTangentVelocity*time-UniverseAcceleration*time^2)</f>
        <v>3.1683053136983474E-16</v>
      </c>
      <c r="G2" s="16">
        <f t="shared" ref="G2:G39" si="5">F2*Mpc/1000</f>
        <v>9776.3686730738555</v>
      </c>
      <c r="H2" s="16">
        <f t="shared" ref="H2:H39" si="6">(2*InitialTangentVelocity*time-UniverseAcceleration*time^2)*(ScaleFactor/Gpc)</f>
        <v>4.264678755620007E-4</v>
      </c>
      <c r="I2" s="16">
        <f>-H2</f>
        <v>-4.264678755620007E-4</v>
      </c>
      <c r="J2" s="16">
        <f t="shared" ref="J2:J39" si="7">(RedShift*Age*(2*InitialTangentVelocity-UniverseAcceleration*Age))/(2+RedShift)*(ScaleFactor/Gpc)</f>
        <v>6.4151305704944844E-2</v>
      </c>
      <c r="K2" s="16">
        <f t="shared" ref="K2:K39" si="8">-J2</f>
        <v>-6.4151305704944844E-2</v>
      </c>
      <c r="L2" s="16">
        <f t="shared" ref="L2:L39" si="9">((InitialTangentVelocity+UniverseAcceleration*time)/HubbleFunction)*(ScaleFactor/Gpc)</f>
        <v>2.1338839868851418E-4</v>
      </c>
      <c r="M2" s="16">
        <f t="shared" ref="M2:M39" si="10">-L2</f>
        <v>-2.1338839868851418E-4</v>
      </c>
      <c r="N2" s="16">
        <f t="shared" ref="N2:N39" si="11">$H$23*ScaleFactor</f>
        <v>6.4998681672097575E-2</v>
      </c>
      <c r="O2" s="16">
        <f>-N2</f>
        <v>-6.4998681672097575E-2</v>
      </c>
      <c r="Q2" s="17">
        <v>-100</v>
      </c>
      <c r="R2" s="17">
        <f>Age/Gyr</f>
        <v>15.68369696997522</v>
      </c>
      <c r="T2">
        <v>0</v>
      </c>
      <c r="U2">
        <v>100</v>
      </c>
    </row>
    <row r="3" spans="1:21" x14ac:dyDescent="0.25">
      <c r="A3" s="15">
        <f>A2+200000000*SecondsPerYear</f>
        <v>9467070000000000</v>
      </c>
      <c r="B3" s="17">
        <f t="shared" si="0"/>
        <v>0.3</v>
      </c>
      <c r="C3" s="15">
        <f t="shared" si="1"/>
        <v>49.822294250949682</v>
      </c>
      <c r="D3" s="15">
        <f t="shared" si="2"/>
        <v>1.9676404120251099E-2</v>
      </c>
      <c r="E3" s="15">
        <f t="shared" si="3"/>
        <v>2.0772754814445314E-18</v>
      </c>
      <c r="F3" s="15">
        <f t="shared" si="4"/>
        <v>1.0557190575825714E-16</v>
      </c>
      <c r="G3" s="16">
        <f t="shared" si="5"/>
        <v>3257.6086267612691</v>
      </c>
      <c r="H3" s="16">
        <f t="shared" si="6"/>
        <v>3.8354315904350865E-3</v>
      </c>
      <c r="I3" s="16">
        <f t="shared" ref="I3:I39" si="12">-H3</f>
        <v>-3.8354315904350865E-3</v>
      </c>
      <c r="J3" s="16">
        <f t="shared" si="7"/>
        <v>0.18740259214187865</v>
      </c>
      <c r="K3" s="16">
        <f t="shared" si="8"/>
        <v>-0.18740259214187865</v>
      </c>
      <c r="L3" s="16">
        <f t="shared" si="9"/>
        <v>1.9218862408150619E-3</v>
      </c>
      <c r="M3" s="16">
        <f t="shared" si="10"/>
        <v>-1.9218862408150619E-3</v>
      </c>
      <c r="N3" s="16">
        <f t="shared" si="11"/>
        <v>0.19492543286847994</v>
      </c>
      <c r="O3" s="16">
        <f t="shared" ref="O3:O39" si="13">-N3</f>
        <v>-0.19492543286847994</v>
      </c>
      <c r="Q3" s="17">
        <v>100</v>
      </c>
      <c r="R3" s="17">
        <f>Age/Gyr</f>
        <v>15.68369696997522</v>
      </c>
      <c r="T3">
        <v>0</v>
      </c>
      <c r="U3">
        <v>0</v>
      </c>
    </row>
    <row r="4" spans="1:21" x14ac:dyDescent="0.25">
      <c r="A4" s="15">
        <f t="shared" ref="A4:A11" si="14">A3+100000000*SecondsPerYear</f>
        <v>1.262276E+16</v>
      </c>
      <c r="B4" s="17">
        <f t="shared" si="0"/>
        <v>0.4</v>
      </c>
      <c r="C4" s="15">
        <f t="shared" si="1"/>
        <v>37.123625870018145</v>
      </c>
      <c r="D4" s="15">
        <f t="shared" si="2"/>
        <v>2.6230453614498345E-2</v>
      </c>
      <c r="E4" s="15">
        <f t="shared" si="3"/>
        <v>2.0765225749217447E-18</v>
      </c>
      <c r="F4" s="15">
        <f t="shared" si="4"/>
        <v>7.9164569756963311E-17</v>
      </c>
      <c r="G4" s="16">
        <f t="shared" si="5"/>
        <v>2442.7633802940773</v>
      </c>
      <c r="H4" s="16">
        <f t="shared" si="6"/>
        <v>6.8160752410783496E-3</v>
      </c>
      <c r="I4" s="16">
        <f t="shared" si="12"/>
        <v>-6.8160752410783496E-3</v>
      </c>
      <c r="J4" s="16">
        <f t="shared" si="7"/>
        <v>0.24656978971970697</v>
      </c>
      <c r="K4" s="16">
        <f t="shared" si="8"/>
        <v>-0.24656978971970697</v>
      </c>
      <c r="L4" s="16">
        <f t="shared" si="9"/>
        <v>3.4179231234868256E-3</v>
      </c>
      <c r="M4" s="16">
        <f t="shared" si="10"/>
        <v>-3.4179231234868256E-3</v>
      </c>
      <c r="N4" s="16">
        <f t="shared" si="11"/>
        <v>0.25985350239276472</v>
      </c>
      <c r="O4" s="16">
        <f t="shared" si="13"/>
        <v>-0.25985350239276472</v>
      </c>
    </row>
    <row r="5" spans="1:21" x14ac:dyDescent="0.25">
      <c r="A5" s="15">
        <f t="shared" si="14"/>
        <v>1.577845E+16</v>
      </c>
      <c r="B5" s="17">
        <f t="shared" si="0"/>
        <v>0.5</v>
      </c>
      <c r="C5" s="15">
        <f t="shared" si="1"/>
        <v>29.504426843317702</v>
      </c>
      <c r="D5" s="15">
        <f t="shared" si="2"/>
        <v>3.2782127169160694E-2</v>
      </c>
      <c r="E5" s="15">
        <f t="shared" si="3"/>
        <v>2.0757696683989579E-18</v>
      </c>
      <c r="F5" s="15">
        <f t="shared" si="4"/>
        <v>6.3320163993253845E-17</v>
      </c>
      <c r="G5" s="16">
        <f t="shared" si="5"/>
        <v>1953.8561039590666</v>
      </c>
      <c r="H5" s="16">
        <f t="shared" si="6"/>
        <v>1.0646259187314863E-2</v>
      </c>
      <c r="I5" s="16">
        <f t="shared" si="12"/>
        <v>-1.0646259187314863E-2</v>
      </c>
      <c r="J5" s="16">
        <f t="shared" si="7"/>
        <v>0.3041413741425848</v>
      </c>
      <c r="K5" s="16">
        <f t="shared" si="8"/>
        <v>-0.3041413741425848</v>
      </c>
      <c r="L5" s="16">
        <f t="shared" si="9"/>
        <v>5.3424372223106389E-3</v>
      </c>
      <c r="M5" s="16">
        <f t="shared" si="10"/>
        <v>-5.3424372223106389E-3</v>
      </c>
      <c r="N5" s="16">
        <f t="shared" si="11"/>
        <v>0.32475803453444513</v>
      </c>
      <c r="O5" s="16">
        <f t="shared" si="13"/>
        <v>-0.32475803453444513</v>
      </c>
    </row>
    <row r="6" spans="1:21" x14ac:dyDescent="0.25">
      <c r="A6" s="15">
        <f t="shared" si="14"/>
        <v>1.893414E+16</v>
      </c>
      <c r="B6" s="17">
        <f t="shared" si="0"/>
        <v>0.6</v>
      </c>
      <c r="C6" s="15">
        <f t="shared" si="1"/>
        <v>24.424962494639765</v>
      </c>
      <c r="D6" s="15">
        <f t="shared" si="2"/>
        <v>3.9331424784238157E-2</v>
      </c>
      <c r="E6" s="15">
        <f t="shared" si="3"/>
        <v>2.0750167618761708E-18</v>
      </c>
      <c r="F6" s="15">
        <f t="shared" si="4"/>
        <v>5.2757223346450501E-17</v>
      </c>
      <c r="G6" s="16">
        <f t="shared" si="5"/>
        <v>1627.9178126319487</v>
      </c>
      <c r="H6" s="16">
        <f t="shared" si="6"/>
        <v>1.5325058173661704E-2</v>
      </c>
      <c r="I6" s="16">
        <f t="shared" si="12"/>
        <v>-1.5325058173661704E-2</v>
      </c>
      <c r="J6" s="16">
        <f t="shared" si="7"/>
        <v>0.36014880546652006</v>
      </c>
      <c r="K6" s="16">
        <f t="shared" si="8"/>
        <v>-0.36014880546652006</v>
      </c>
      <c r="L6" s="16">
        <f t="shared" si="9"/>
        <v>7.6958926812066503E-3</v>
      </c>
      <c r="M6" s="16">
        <f t="shared" si="10"/>
        <v>-7.6958926812066503E-3</v>
      </c>
      <c r="N6" s="16">
        <f t="shared" si="11"/>
        <v>0.3896390292935214</v>
      </c>
      <c r="O6" s="16">
        <f t="shared" si="13"/>
        <v>-0.3896390292935214</v>
      </c>
    </row>
    <row r="7" spans="1:21" x14ac:dyDescent="0.25">
      <c r="A7" s="15">
        <f t="shared" si="14"/>
        <v>2.208983E+16</v>
      </c>
      <c r="B7" s="17">
        <f t="shared" si="0"/>
        <v>0.7</v>
      </c>
      <c r="C7" s="15">
        <f t="shared" si="1"/>
        <v>20.796775105609797</v>
      </c>
      <c r="D7" s="15">
        <f t="shared" si="2"/>
        <v>4.5878346459730726E-2</v>
      </c>
      <c r="E7" s="15">
        <f t="shared" si="3"/>
        <v>2.0742638553533844E-18</v>
      </c>
      <c r="F7" s="15">
        <f t="shared" si="4"/>
        <v>4.5212262764832844E-17</v>
      </c>
      <c r="G7" s="16">
        <f t="shared" si="5"/>
        <v>1395.1046555451351</v>
      </c>
      <c r="H7" s="16">
        <f t="shared" si="6"/>
        <v>2.0851547280176342E-2</v>
      </c>
      <c r="I7" s="16">
        <f t="shared" si="12"/>
        <v>-2.0851547280176342E-2</v>
      </c>
      <c r="J7" s="16">
        <f t="shared" si="7"/>
        <v>0.41462273395150895</v>
      </c>
      <c r="K7" s="16">
        <f t="shared" si="8"/>
        <v>-0.41462273395150895</v>
      </c>
      <c r="L7" s="16">
        <f t="shared" si="9"/>
        <v>1.0478753814919096E-2</v>
      </c>
      <c r="M7" s="16">
        <f t="shared" si="10"/>
        <v>-1.0478753814919096E-2</v>
      </c>
      <c r="N7" s="16">
        <f t="shared" si="11"/>
        <v>0.45449648666999337</v>
      </c>
      <c r="O7" s="16">
        <f t="shared" si="13"/>
        <v>-0.45449648666999337</v>
      </c>
    </row>
    <row r="8" spans="1:21" x14ac:dyDescent="0.25">
      <c r="A8" s="15">
        <f t="shared" si="14"/>
        <v>2.524552E+16</v>
      </c>
      <c r="B8" s="17">
        <f t="shared" si="0"/>
        <v>0.8</v>
      </c>
      <c r="C8" s="15">
        <f t="shared" si="1"/>
        <v>18.075635817041018</v>
      </c>
      <c r="D8" s="15">
        <f t="shared" si="2"/>
        <v>5.2422892195638407E-2</v>
      </c>
      <c r="E8" s="15">
        <f t="shared" si="3"/>
        <v>2.0735109488305973E-18</v>
      </c>
      <c r="F8" s="15">
        <f t="shared" si="4"/>
        <v>3.9553539722539649E-17</v>
      </c>
      <c r="G8" s="16">
        <f t="shared" si="5"/>
        <v>1220.4947073148001</v>
      </c>
      <c r="H8" s="16">
        <f t="shared" si="6"/>
        <v>2.7224801922456646E-2</v>
      </c>
      <c r="I8" s="16">
        <f t="shared" si="12"/>
        <v>-2.7224801922456646E-2</v>
      </c>
      <c r="J8" s="16">
        <f t="shared" si="7"/>
        <v>0.46759302595056551</v>
      </c>
      <c r="K8" s="16">
        <f t="shared" si="8"/>
        <v>-0.46759302595056551</v>
      </c>
      <c r="L8" s="16">
        <f t="shared" si="9"/>
        <v>1.3691485109631031E-2</v>
      </c>
      <c r="M8" s="16">
        <f t="shared" si="10"/>
        <v>-1.3691485109631031E-2</v>
      </c>
      <c r="N8" s="16">
        <f t="shared" si="11"/>
        <v>0.5193304066638611</v>
      </c>
      <c r="O8" s="16">
        <f t="shared" si="13"/>
        <v>-0.5193304066638611</v>
      </c>
    </row>
    <row r="9" spans="1:21" x14ac:dyDescent="0.25">
      <c r="A9" s="15">
        <f t="shared" si="14"/>
        <v>2.840121E+16</v>
      </c>
      <c r="B9" s="17">
        <f t="shared" si="0"/>
        <v>0.9</v>
      </c>
      <c r="C9" s="15">
        <f t="shared" si="1"/>
        <v>15.959195262718996</v>
      </c>
      <c r="D9" s="15">
        <f t="shared" si="2"/>
        <v>5.8965061991961179E-2</v>
      </c>
      <c r="E9" s="15">
        <f t="shared" si="3"/>
        <v>2.0727580423078109E-18</v>
      </c>
      <c r="F9" s="15">
        <f t="shared" si="4"/>
        <v>3.5152308371869329E-17</v>
      </c>
      <c r="G9" s="16">
        <f t="shared" si="5"/>
        <v>1084.6868982832348</v>
      </c>
      <c r="H9" s="16">
        <f t="shared" si="6"/>
        <v>3.4443897851640842E-2</v>
      </c>
      <c r="I9" s="16">
        <f t="shared" si="12"/>
        <v>-3.4443897851640842E-2</v>
      </c>
      <c r="J9" s="16">
        <f t="shared" si="7"/>
        <v>0.51908878881186027</v>
      </c>
      <c r="K9" s="16">
        <f t="shared" si="8"/>
        <v>-0.51908878881186027</v>
      </c>
      <c r="L9" s="16">
        <f t="shared" si="9"/>
        <v>1.7334551223580387E-2</v>
      </c>
      <c r="M9" s="16">
        <f t="shared" si="10"/>
        <v>-1.7334551223580387E-2</v>
      </c>
      <c r="N9" s="16">
        <f t="shared" si="11"/>
        <v>0.58414078927512447</v>
      </c>
      <c r="O9" s="16">
        <f t="shared" si="13"/>
        <v>-0.58414078927512447</v>
      </c>
    </row>
    <row r="10" spans="1:21" x14ac:dyDescent="0.25">
      <c r="A10" s="15">
        <f t="shared" si="14"/>
        <v>3.15569E+16</v>
      </c>
      <c r="B10" s="17">
        <f t="shared" si="0"/>
        <v>1</v>
      </c>
      <c r="C10" s="15">
        <f t="shared" si="1"/>
        <v>14.266043822915458</v>
      </c>
      <c r="D10" s="15">
        <f t="shared" si="2"/>
        <v>6.550485584869907E-2</v>
      </c>
      <c r="E10" s="15">
        <f t="shared" si="3"/>
        <v>2.0720051357850242E-18</v>
      </c>
      <c r="F10" s="15">
        <f t="shared" si="4"/>
        <v>3.1631321204200065E-17</v>
      </c>
      <c r="G10" s="16">
        <f t="shared" si="5"/>
        <v>976.04058665578748</v>
      </c>
      <c r="H10" s="16">
        <f t="shared" si="6"/>
        <v>4.2507911154407628E-2</v>
      </c>
      <c r="I10" s="16">
        <f t="shared" si="12"/>
        <v>-4.2507911154407628E-2</v>
      </c>
      <c r="J10" s="16">
        <f t="shared" si="7"/>
        <v>0.56913839483758033</v>
      </c>
      <c r="K10" s="16">
        <f t="shared" si="8"/>
        <v>-0.56913839483758033</v>
      </c>
      <c r="L10" s="16">
        <f t="shared" si="9"/>
        <v>2.1408416987677432E-2</v>
      </c>
      <c r="M10" s="16">
        <f t="shared" si="10"/>
        <v>-2.1408416987677432E-2</v>
      </c>
      <c r="N10" s="16">
        <f t="shared" si="11"/>
        <v>0.64892763450378355</v>
      </c>
      <c r="O10" s="16">
        <f t="shared" si="13"/>
        <v>-0.64892763450378355</v>
      </c>
    </row>
    <row r="11" spans="1:21" x14ac:dyDescent="0.25">
      <c r="A11" s="15">
        <f t="shared" si="14"/>
        <v>3.471259E+16</v>
      </c>
      <c r="B11" s="17">
        <f t="shared" si="0"/>
        <v>1.1000000000000001</v>
      </c>
      <c r="C11" s="15">
        <f t="shared" si="1"/>
        <v>12.880739012349141</v>
      </c>
      <c r="D11" s="15">
        <f t="shared" si="2"/>
        <v>7.204227376585208E-2</v>
      </c>
      <c r="E11" s="15">
        <f t="shared" si="3"/>
        <v>2.071252229262237E-18</v>
      </c>
      <c r="F11" s="15">
        <f t="shared" si="4"/>
        <v>2.8750511623135466E-17</v>
      </c>
      <c r="G11" s="16">
        <f t="shared" si="5"/>
        <v>887.14809129038508</v>
      </c>
      <c r="H11" s="16">
        <f t="shared" si="6"/>
        <v>5.1415918252976013E-2</v>
      </c>
      <c r="I11" s="16">
        <f t="shared" si="12"/>
        <v>-5.1415918252976013E-2</v>
      </c>
      <c r="J11" s="16">
        <f t="shared" si="7"/>
        <v>0.61776950434093802</v>
      </c>
      <c r="K11" s="16">
        <f t="shared" si="8"/>
        <v>-0.61776950434093802</v>
      </c>
      <c r="L11" s="16">
        <f t="shared" si="9"/>
        <v>2.5913547406123453E-2</v>
      </c>
      <c r="M11" s="16">
        <f t="shared" si="10"/>
        <v>-2.5913547406123453E-2</v>
      </c>
      <c r="N11" s="16">
        <f t="shared" si="11"/>
        <v>0.71369094234983854</v>
      </c>
      <c r="O11" s="16">
        <f t="shared" si="13"/>
        <v>-0.71369094234983854</v>
      </c>
    </row>
    <row r="12" spans="1:21" x14ac:dyDescent="0.25">
      <c r="A12" s="15">
        <f t="shared" ref="A12:A19" si="15">A11+1000000000*SecondsPerYear</f>
        <v>6.626949E+16</v>
      </c>
      <c r="B12" s="17">
        <f t="shared" si="0"/>
        <v>2.1</v>
      </c>
      <c r="C12" s="15">
        <f t="shared" si="1"/>
        <v>6.2840757960576301</v>
      </c>
      <c r="D12" s="15">
        <f t="shared" si="2"/>
        <v>0.13728577626021291</v>
      </c>
      <c r="E12" s="15">
        <f t="shared" si="3"/>
        <v>2.0637231640343696E-18</v>
      </c>
      <c r="F12" s="15">
        <f t="shared" si="4"/>
        <v>1.503231594890622E-17</v>
      </c>
      <c r="G12" s="16">
        <f t="shared" si="5"/>
        <v>463.84880299016345</v>
      </c>
      <c r="H12" s="16">
        <f t="shared" si="6"/>
        <v>0.18671270080732036</v>
      </c>
      <c r="I12" s="16">
        <f t="shared" si="12"/>
        <v>-0.18671270080732036</v>
      </c>
      <c r="J12" s="16">
        <f t="shared" si="7"/>
        <v>1.0316815601247569</v>
      </c>
      <c r="K12" s="16">
        <f t="shared" si="8"/>
        <v>-1.0316815601247569</v>
      </c>
      <c r="L12" s="16">
        <f t="shared" si="9"/>
        <v>9.4786833652708555E-2</v>
      </c>
      <c r="M12" s="16">
        <f t="shared" si="10"/>
        <v>-9.4786833652708555E-2</v>
      </c>
      <c r="N12" s="16">
        <f t="shared" si="11"/>
        <v>1.360029464767152</v>
      </c>
      <c r="O12" s="16">
        <f t="shared" si="13"/>
        <v>-1.360029464767152</v>
      </c>
    </row>
    <row r="13" spans="1:21" x14ac:dyDescent="0.25">
      <c r="A13" s="15">
        <f t="shared" si="15"/>
        <v>9.782639E+16</v>
      </c>
      <c r="B13" s="17">
        <f t="shared" si="0"/>
        <v>3.1</v>
      </c>
      <c r="C13" s="15">
        <f t="shared" si="1"/>
        <v>3.9433569205181476</v>
      </c>
      <c r="D13" s="15">
        <f t="shared" si="2"/>
        <v>0.2022916847960845</v>
      </c>
      <c r="E13" s="15">
        <f t="shared" si="3"/>
        <v>2.0561940988065021E-18</v>
      </c>
      <c r="F13" s="15">
        <f t="shared" si="4"/>
        <v>1.0164501328263699E-17</v>
      </c>
      <c r="G13" s="16">
        <f t="shared" si="5"/>
        <v>313.64373860503514</v>
      </c>
      <c r="H13" s="16">
        <f t="shared" si="6"/>
        <v>0.40539541877020363</v>
      </c>
      <c r="I13" s="16">
        <f t="shared" si="12"/>
        <v>-0.40539541877020363</v>
      </c>
      <c r="J13" s="16">
        <f t="shared" si="7"/>
        <v>1.3296430894179978</v>
      </c>
      <c r="K13" s="16">
        <f t="shared" si="8"/>
        <v>-1.3296430894179978</v>
      </c>
      <c r="L13" s="16">
        <f t="shared" si="9"/>
        <v>0.2072994006911856</v>
      </c>
      <c r="M13" s="16">
        <f t="shared" si="10"/>
        <v>-0.2072994006911856</v>
      </c>
      <c r="N13" s="16">
        <f t="shared" si="11"/>
        <v>2.0040142489240389</v>
      </c>
      <c r="O13" s="16">
        <f t="shared" si="13"/>
        <v>-2.0040142489240389</v>
      </c>
    </row>
    <row r="14" spans="1:21" x14ac:dyDescent="0.25">
      <c r="A14" s="15">
        <f t="shared" si="15"/>
        <v>1.2938329E+17</v>
      </c>
      <c r="B14" s="17">
        <f t="shared" si="0"/>
        <v>4.0999999999999996</v>
      </c>
      <c r="C14" s="15">
        <f t="shared" si="1"/>
        <v>2.7444769053622382</v>
      </c>
      <c r="D14" s="15">
        <f t="shared" si="2"/>
        <v>0.26705999937346675</v>
      </c>
      <c r="E14" s="15">
        <f t="shared" si="3"/>
        <v>2.0486650335786343E-18</v>
      </c>
      <c r="F14" s="15">
        <f t="shared" si="4"/>
        <v>7.6711789050583505E-18</v>
      </c>
      <c r="G14" s="16">
        <f t="shared" si="5"/>
        <v>236.70784759507501</v>
      </c>
      <c r="H14" s="16">
        <f t="shared" si="6"/>
        <v>0.70654603077717748</v>
      </c>
      <c r="I14" s="16">
        <f t="shared" si="12"/>
        <v>-0.70654603077717748</v>
      </c>
      <c r="J14" s="16">
        <f t="shared" si="7"/>
        <v>1.530392613611165</v>
      </c>
      <c r="K14" s="16">
        <f t="shared" si="8"/>
        <v>-1.530392613611165</v>
      </c>
      <c r="L14" s="16">
        <f t="shared" si="9"/>
        <v>0.36391921052863646</v>
      </c>
      <c r="M14" s="16">
        <f t="shared" si="10"/>
        <v>-0.36391921052863646</v>
      </c>
      <c r="N14" s="16">
        <f t="shared" si="11"/>
        <v>2.6456452948204983</v>
      </c>
      <c r="O14" s="16">
        <f t="shared" si="13"/>
        <v>-2.6456452948204983</v>
      </c>
    </row>
    <row r="15" spans="1:21" x14ac:dyDescent="0.25">
      <c r="A15" s="15">
        <f t="shared" si="15"/>
        <v>1.6094019E+17</v>
      </c>
      <c r="B15" s="17">
        <f t="shared" si="0"/>
        <v>5.0999999999999996</v>
      </c>
      <c r="C15" s="15">
        <f t="shared" si="1"/>
        <v>2.0157659418907787</v>
      </c>
      <c r="D15" s="15">
        <f t="shared" si="2"/>
        <v>0.33159071999235967</v>
      </c>
      <c r="E15" s="15">
        <f t="shared" si="3"/>
        <v>2.0411359683507668E-18</v>
      </c>
      <c r="F15" s="15">
        <f t="shared" si="4"/>
        <v>6.1555883361204964E-18</v>
      </c>
      <c r="G15" s="16">
        <f t="shared" si="5"/>
        <v>189.94160920476517</v>
      </c>
      <c r="H15" s="16">
        <f t="shared" si="6"/>
        <v>1.0892498508677368</v>
      </c>
      <c r="I15" s="16">
        <f t="shared" si="12"/>
        <v>-1.0892498508677368</v>
      </c>
      <c r="J15" s="16">
        <f t="shared" si="7"/>
        <v>1.6489096226214253</v>
      </c>
      <c r="K15" s="16">
        <f t="shared" si="8"/>
        <v>-1.6489096226214253</v>
      </c>
      <c r="L15" s="16">
        <f t="shared" si="9"/>
        <v>0.56511609792278339</v>
      </c>
      <c r="M15" s="16">
        <f t="shared" si="10"/>
        <v>-0.56511609792278339</v>
      </c>
      <c r="N15" s="16">
        <f t="shared" si="11"/>
        <v>3.2849226024565303</v>
      </c>
      <c r="O15" s="16">
        <f t="shared" si="13"/>
        <v>-3.2849226024565303</v>
      </c>
    </row>
    <row r="16" spans="1:21" x14ac:dyDescent="0.25">
      <c r="A16" s="15">
        <f t="shared" si="15"/>
        <v>1.9249709E+17</v>
      </c>
      <c r="B16" s="17">
        <f t="shared" si="0"/>
        <v>6.1</v>
      </c>
      <c r="C16" s="15">
        <f t="shared" si="1"/>
        <v>1.5259934408920639</v>
      </c>
      <c r="D16" s="15">
        <f t="shared" si="2"/>
        <v>0.39588384665276338</v>
      </c>
      <c r="E16" s="15">
        <f t="shared" si="3"/>
        <v>2.0336069031228994E-18</v>
      </c>
      <c r="F16" s="15">
        <f t="shared" si="4"/>
        <v>5.1368776986412667E-18</v>
      </c>
      <c r="G16" s="16">
        <f t="shared" si="5"/>
        <v>158.50748345899353</v>
      </c>
      <c r="H16" s="16">
        <f t="shared" si="6"/>
        <v>1.5525955484853204</v>
      </c>
      <c r="I16" s="16">
        <f t="shared" si="12"/>
        <v>-1.5525955484853204</v>
      </c>
      <c r="J16" s="16">
        <f t="shared" si="7"/>
        <v>1.69731215747508</v>
      </c>
      <c r="K16" s="16">
        <f t="shared" si="8"/>
        <v>-1.69731215747508</v>
      </c>
      <c r="L16" s="16">
        <f t="shared" si="9"/>
        <v>0.81136183610656309</v>
      </c>
      <c r="M16" s="16">
        <f t="shared" si="10"/>
        <v>-0.81136183610656309</v>
      </c>
      <c r="N16" s="16">
        <f t="shared" si="11"/>
        <v>3.921846171832136</v>
      </c>
      <c r="O16" s="16">
        <f t="shared" si="13"/>
        <v>-3.921846171832136</v>
      </c>
    </row>
    <row r="17" spans="1:15" x14ac:dyDescent="0.25">
      <c r="A17" s="15">
        <f t="shared" si="15"/>
        <v>2.2405399E+17</v>
      </c>
      <c r="B17" s="17">
        <f t="shared" si="0"/>
        <v>7.1</v>
      </c>
      <c r="C17" s="15">
        <f t="shared" si="1"/>
        <v>1.1741995682193149</v>
      </c>
      <c r="D17" s="15">
        <f t="shared" si="2"/>
        <v>0.45993937935467777</v>
      </c>
      <c r="E17" s="15">
        <f t="shared" si="3"/>
        <v>2.0260778378950315E-18</v>
      </c>
      <c r="F17" s="15">
        <f t="shared" si="4"/>
        <v>4.4050975603301016E-18</v>
      </c>
      <c r="G17" s="16">
        <f t="shared" si="5"/>
        <v>135.92710779623292</v>
      </c>
      <c r="H17" s="16">
        <f t="shared" si="6"/>
        <v>2.0956751484773086</v>
      </c>
      <c r="I17" s="16">
        <f t="shared" si="12"/>
        <v>-2.0956751484773086</v>
      </c>
      <c r="J17" s="16">
        <f t="shared" si="7"/>
        <v>1.6855089254169584</v>
      </c>
      <c r="K17" s="16">
        <f t="shared" si="8"/>
        <v>-1.6855089254169584</v>
      </c>
      <c r="L17" s="16">
        <f t="shared" si="9"/>
        <v>1.1031302039781252</v>
      </c>
      <c r="M17" s="16">
        <f t="shared" si="10"/>
        <v>-1.1031302039781252</v>
      </c>
      <c r="N17" s="16">
        <f t="shared" si="11"/>
        <v>4.556416002947314</v>
      </c>
      <c r="O17" s="16">
        <f t="shared" si="13"/>
        <v>-4.556416002947314</v>
      </c>
    </row>
    <row r="18" spans="1:15" x14ac:dyDescent="0.25">
      <c r="A18" s="15">
        <f t="shared" si="15"/>
        <v>2.5561089E+17</v>
      </c>
      <c r="B18" s="17">
        <f t="shared" si="0"/>
        <v>8.1</v>
      </c>
      <c r="C18" s="15">
        <f t="shared" si="1"/>
        <v>0.90928119845896638</v>
      </c>
      <c r="D18" s="15">
        <f t="shared" si="2"/>
        <v>0.52375731809810289</v>
      </c>
      <c r="E18" s="15">
        <f t="shared" si="3"/>
        <v>2.0185487726671641E-18</v>
      </c>
      <c r="F18" s="15">
        <f t="shared" si="4"/>
        <v>3.8539772198258396E-18</v>
      </c>
      <c r="G18" s="16">
        <f t="shared" si="5"/>
        <v>118.92131101047325</v>
      </c>
      <c r="H18" s="16">
        <f t="shared" si="6"/>
        <v>2.7175840310950274</v>
      </c>
      <c r="I18" s="16">
        <f t="shared" si="12"/>
        <v>-2.7175840310950274</v>
      </c>
      <c r="J18" s="16">
        <f t="shared" si="7"/>
        <v>1.6216808512469072</v>
      </c>
      <c r="K18" s="16">
        <f t="shared" si="8"/>
        <v>-1.6216808512469072</v>
      </c>
      <c r="L18" s="16">
        <f t="shared" si="9"/>
        <v>1.4408970547945228</v>
      </c>
      <c r="M18" s="16">
        <f t="shared" si="10"/>
        <v>-1.4408970547945228</v>
      </c>
      <c r="N18" s="16">
        <f t="shared" si="11"/>
        <v>5.1886320958020651</v>
      </c>
      <c r="O18" s="16">
        <f t="shared" si="13"/>
        <v>-5.1886320958020651</v>
      </c>
    </row>
    <row r="19" spans="1:15" x14ac:dyDescent="0.25">
      <c r="A19" s="15">
        <f t="shared" si="15"/>
        <v>2.8716779E+17</v>
      </c>
      <c r="B19" s="17">
        <f t="shared" si="0"/>
        <v>9.1</v>
      </c>
      <c r="C19" s="15">
        <f t="shared" si="1"/>
        <v>0.70259811892760959</v>
      </c>
      <c r="D19" s="15">
        <f t="shared" si="2"/>
        <v>0.58733766288303857</v>
      </c>
      <c r="E19" s="15">
        <f t="shared" si="3"/>
        <v>2.0110197074392966E-18</v>
      </c>
      <c r="F19" s="15">
        <f t="shared" si="4"/>
        <v>3.4239583710124982E-18</v>
      </c>
      <c r="G19" s="16">
        <f t="shared" si="5"/>
        <v>105.65231580286587</v>
      </c>
      <c r="H19" s="16">
        <f t="shared" si="6"/>
        <v>3.4174209319937447</v>
      </c>
      <c r="I19" s="16">
        <f t="shared" si="12"/>
        <v>-3.4174209319937447</v>
      </c>
      <c r="J19" s="16">
        <f t="shared" si="7"/>
        <v>1.5126419378480809</v>
      </c>
      <c r="K19" s="16">
        <f t="shared" si="8"/>
        <v>-1.5126419378480809</v>
      </c>
      <c r="L19" s="16">
        <f t="shared" si="9"/>
        <v>1.8251403864084914</v>
      </c>
      <c r="M19" s="16">
        <f t="shared" si="10"/>
        <v>-1.8251403864084914</v>
      </c>
      <c r="N19" s="16">
        <f t="shared" si="11"/>
        <v>5.818494450396388</v>
      </c>
      <c r="O19" s="16">
        <f t="shared" si="13"/>
        <v>-5.818494450396388</v>
      </c>
    </row>
    <row r="20" spans="1:15" x14ac:dyDescent="0.25">
      <c r="A20" s="15">
        <f t="shared" ref="A20:A29" si="16">A19+2000000000*SecondsPerYear</f>
        <v>3.5028159E+17</v>
      </c>
      <c r="B20" s="17">
        <f t="shared" si="0"/>
        <v>11.1</v>
      </c>
      <c r="C20" s="15">
        <f t="shared" si="1"/>
        <v>0.40098096854355614</v>
      </c>
      <c r="D20" s="15">
        <f t="shared" si="2"/>
        <v>0.7137855705774423</v>
      </c>
      <c r="E20" s="15">
        <f t="shared" si="3"/>
        <v>1.9959615769835613E-18</v>
      </c>
      <c r="F20" s="15">
        <f t="shared" si="4"/>
        <v>2.7963041832981533E-18</v>
      </c>
      <c r="G20" s="16">
        <f t="shared" si="5"/>
        <v>86.2849312526332</v>
      </c>
      <c r="H20" s="16">
        <f t="shared" si="6"/>
        <v>5.047290508274962</v>
      </c>
      <c r="I20" s="16">
        <f t="shared" si="12"/>
        <v>-5.047290508274962</v>
      </c>
      <c r="J20" s="16">
        <f t="shared" si="7"/>
        <v>1.1809338760197816</v>
      </c>
      <c r="K20" s="16">
        <f t="shared" si="8"/>
        <v>-1.1809338760197816</v>
      </c>
      <c r="L20" s="16">
        <f t="shared" si="9"/>
        <v>2.7349796389668461</v>
      </c>
      <c r="M20" s="16">
        <f t="shared" si="10"/>
        <v>-2.7349796389668461</v>
      </c>
      <c r="N20" s="16">
        <f t="shared" si="11"/>
        <v>7.0711579448037538</v>
      </c>
      <c r="O20" s="16">
        <f t="shared" si="13"/>
        <v>-7.0711579448037538</v>
      </c>
    </row>
    <row r="21" spans="1:15" x14ac:dyDescent="0.25">
      <c r="A21" s="15">
        <f t="shared" si="16"/>
        <v>4.1339539E+17</v>
      </c>
      <c r="B21" s="17">
        <f t="shared" si="0"/>
        <v>13.1</v>
      </c>
      <c r="C21" s="15">
        <f t="shared" si="1"/>
        <v>0.19149306961533319</v>
      </c>
      <c r="D21" s="15">
        <f t="shared" si="2"/>
        <v>0.83928310243788862</v>
      </c>
      <c r="E21" s="15">
        <f t="shared" si="3"/>
        <v>1.9809034465278264E-18</v>
      </c>
      <c r="F21" s="15">
        <f t="shared" si="4"/>
        <v>2.3602327281150323E-18</v>
      </c>
      <c r="G21" s="16">
        <f t="shared" si="5"/>
        <v>72.829172127267896</v>
      </c>
      <c r="H21" s="16">
        <f t="shared" si="6"/>
        <v>6.9781408706419681</v>
      </c>
      <c r="I21" s="16">
        <f t="shared" si="12"/>
        <v>-6.9781408706419681</v>
      </c>
      <c r="J21" s="16">
        <f t="shared" si="7"/>
        <v>0.72651437603938318</v>
      </c>
      <c r="K21" s="16">
        <f t="shared" si="8"/>
        <v>-0.72651437603938318</v>
      </c>
      <c r="L21" s="16">
        <f t="shared" si="9"/>
        <v>3.8365176065502955</v>
      </c>
      <c r="M21" s="16">
        <f t="shared" si="10"/>
        <v>-3.8365176065502955</v>
      </c>
      <c r="N21" s="16">
        <f t="shared" si="11"/>
        <v>8.3144064861694105</v>
      </c>
      <c r="O21" s="16">
        <f t="shared" si="13"/>
        <v>-8.3144064861694105</v>
      </c>
    </row>
    <row r="22" spans="1:15" x14ac:dyDescent="0.25">
      <c r="A22" s="15">
        <f>A21+2000000000*SecondsPerYear</f>
        <v>4.7650919E+17</v>
      </c>
      <c r="B22" s="17">
        <f t="shared" si="0"/>
        <v>15.1</v>
      </c>
      <c r="C22" s="15">
        <f t="shared" si="1"/>
        <v>3.7527086556972566E-2</v>
      </c>
      <c r="D22" s="15">
        <f t="shared" si="2"/>
        <v>0.96383025846437809</v>
      </c>
      <c r="E22" s="15">
        <f t="shared" si="3"/>
        <v>1.9658453160720911E-18</v>
      </c>
      <c r="F22" s="15">
        <f t="shared" si="4"/>
        <v>2.0396177634059474E-18</v>
      </c>
      <c r="G22" s="16">
        <f t="shared" si="5"/>
        <v>62.93602804311476</v>
      </c>
      <c r="H22" s="16">
        <f t="shared" si="6"/>
        <v>9.2028826988788666</v>
      </c>
      <c r="I22" s="16">
        <f t="shared" si="12"/>
        <v>-9.2028826988788666</v>
      </c>
      <c r="J22" s="16">
        <f t="shared" si="7"/>
        <v>0.1758590764787103</v>
      </c>
      <c r="K22" s="16">
        <f t="shared" si="8"/>
        <v>-0.1758590764787103</v>
      </c>
      <c r="L22" s="16">
        <f t="shared" si="9"/>
        <v>5.1336630169951709</v>
      </c>
      <c r="M22" s="16">
        <f t="shared" si="10"/>
        <v>-5.1336630169951709</v>
      </c>
      <c r="N22" s="16">
        <f t="shared" si="11"/>
        <v>9.5482400744933589</v>
      </c>
      <c r="O22" s="16">
        <f t="shared" si="13"/>
        <v>-9.5482400744933589</v>
      </c>
    </row>
    <row r="23" spans="1:15" x14ac:dyDescent="0.25">
      <c r="A23" s="72">
        <f>Age</f>
        <v>4.9492885691181101E+17</v>
      </c>
      <c r="B23" s="73">
        <f>A23/Gyr</f>
        <v>15.68369696997522</v>
      </c>
      <c r="C23" s="15">
        <f t="shared" si="1"/>
        <v>0</v>
      </c>
      <c r="D23" s="74">
        <f t="shared" si="2"/>
        <v>1</v>
      </c>
      <c r="E23" s="74">
        <f t="shared" si="3"/>
        <v>1.9614506235118389E-18</v>
      </c>
      <c r="F23" s="74">
        <f t="shared" si="4"/>
        <v>1.9614506235118389E-18</v>
      </c>
      <c r="G23" s="75">
        <f>F23*Mpc/1000</f>
        <v>60.524042132475017</v>
      </c>
      <c r="H23" s="76">
        <f t="shared" si="6"/>
        <v>9.9065577062356258</v>
      </c>
      <c r="I23" s="76">
        <f>-H23</f>
        <v>-9.9065577062356258</v>
      </c>
      <c r="J23" s="16">
        <f t="shared" si="7"/>
        <v>0</v>
      </c>
      <c r="K23" s="75">
        <f t="shared" si="8"/>
        <v>0</v>
      </c>
      <c r="L23" s="76">
        <f t="shared" si="9"/>
        <v>5.5496750920292355</v>
      </c>
      <c r="M23" s="75">
        <f t="shared" si="10"/>
        <v>-5.5496750920292355</v>
      </c>
      <c r="N23" s="75">
        <f t="shared" si="11"/>
        <v>9.9065577062356258</v>
      </c>
      <c r="O23" s="75">
        <f>-N23</f>
        <v>-9.9065577062356258</v>
      </c>
    </row>
    <row r="24" spans="1:15" x14ac:dyDescent="0.25">
      <c r="A24" s="15">
        <f>A22+2000000000*SecondsPerYear</f>
        <v>5.3962299E+17</v>
      </c>
      <c r="B24" s="17">
        <f t="shared" si="0"/>
        <v>17.100000000000001</v>
      </c>
      <c r="C24" s="15">
        <f t="shared" si="1"/>
        <v>-8.0398073203046261E-2</v>
      </c>
      <c r="D24" s="15">
        <f t="shared" si="2"/>
        <v>1.08742703865691</v>
      </c>
      <c r="E24" s="15">
        <f t="shared" si="3"/>
        <v>1.9507871856163558E-18</v>
      </c>
      <c r="F24" s="15">
        <f t="shared" si="4"/>
        <v>1.7939476546636073E-18</v>
      </c>
      <c r="G24" s="16">
        <f t="shared" si="5"/>
        <v>55.35544057689075</v>
      </c>
      <c r="H24" s="16">
        <f t="shared" si="6"/>
        <v>11.714480359232851</v>
      </c>
      <c r="I24" s="16">
        <f t="shared" si="12"/>
        <v>-11.714480359232851</v>
      </c>
      <c r="J24" s="16">
        <f t="shared" si="7"/>
        <v>-0.45118781735395941</v>
      </c>
      <c r="K24" s="16">
        <f t="shared" si="8"/>
        <v>0.45118781735395941</v>
      </c>
      <c r="L24" s="16">
        <f t="shared" si="9"/>
        <v>6.63036622549828</v>
      </c>
      <c r="M24" s="16">
        <f t="shared" si="10"/>
        <v>-6.63036622549828</v>
      </c>
      <c r="N24" s="16">
        <f t="shared" si="11"/>
        <v>10.772658709775598</v>
      </c>
      <c r="O24" s="16">
        <f t="shared" si="13"/>
        <v>-10.772658709775598</v>
      </c>
    </row>
    <row r="25" spans="1:15" x14ac:dyDescent="0.25">
      <c r="A25" s="15">
        <f>A24+2000000000*SecondsPerYear</f>
        <v>6.0273679E+17</v>
      </c>
      <c r="B25" s="17">
        <f t="shared" si="0"/>
        <v>19.100000000000001</v>
      </c>
      <c r="C25" s="15">
        <f t="shared" si="1"/>
        <v>-0.17360387853152548</v>
      </c>
      <c r="D25" s="15">
        <f t="shared" si="2"/>
        <v>1.2100734430154851</v>
      </c>
      <c r="E25" s="15">
        <f t="shared" si="3"/>
        <v>1.9357290551606209E-18</v>
      </c>
      <c r="F25" s="15">
        <f t="shared" si="4"/>
        <v>1.5996789833985716E-18</v>
      </c>
      <c r="G25" s="16">
        <f t="shared" si="5"/>
        <v>49.360935742701642</v>
      </c>
      <c r="H25" s="16">
        <f t="shared" si="6"/>
        <v>14.505951904414207</v>
      </c>
      <c r="I25" s="16">
        <f t="shared" si="12"/>
        <v>-14.505951904414207</v>
      </c>
      <c r="J25" s="16">
        <f t="shared" si="7"/>
        <v>-1.1394596502467589</v>
      </c>
      <c r="K25" s="16">
        <f t="shared" si="8"/>
        <v>1.1394596502467589</v>
      </c>
      <c r="L25" s="16">
        <f t="shared" si="9"/>
        <v>8.3306218777972525</v>
      </c>
      <c r="M25" s="16">
        <f t="shared" si="10"/>
        <v>-8.3306218777972525</v>
      </c>
      <c r="N25" s="16">
        <f t="shared" si="11"/>
        <v>11.98766239201613</v>
      </c>
      <c r="O25" s="16">
        <f t="shared" si="13"/>
        <v>-11.98766239201613</v>
      </c>
    </row>
    <row r="26" spans="1:15" x14ac:dyDescent="0.25">
      <c r="A26" s="15">
        <f t="shared" si="16"/>
        <v>6.6585059E+17</v>
      </c>
      <c r="B26" s="17">
        <f t="shared" si="0"/>
        <v>21.1</v>
      </c>
      <c r="C26" s="15">
        <f t="shared" si="1"/>
        <v>-0.24911929476535721</v>
      </c>
      <c r="D26" s="15">
        <f t="shared" si="2"/>
        <v>1.3317694715401029</v>
      </c>
      <c r="E26" s="15">
        <f t="shared" si="3"/>
        <v>1.9206709247048856E-18</v>
      </c>
      <c r="F26" s="15">
        <f t="shared" si="4"/>
        <v>1.4421947384660778E-18</v>
      </c>
      <c r="G26" s="16">
        <f t="shared" si="5"/>
        <v>44.501479704787393</v>
      </c>
      <c r="H26" s="16">
        <f t="shared" si="6"/>
        <v>17.570369073596311</v>
      </c>
      <c r="I26" s="16">
        <f t="shared" si="12"/>
        <v>-17.570369073596311</v>
      </c>
      <c r="J26" s="16">
        <f t="shared" si="7"/>
        <v>-1.8771658201230015</v>
      </c>
      <c r="K26" s="16">
        <f t="shared" si="8"/>
        <v>1.8771658201230015</v>
      </c>
      <c r="L26" s="16">
        <f t="shared" si="9"/>
        <v>10.23847169862743</v>
      </c>
      <c r="M26" s="16">
        <f t="shared" si="10"/>
        <v>-10.23847169862743</v>
      </c>
      <c r="N26" s="16">
        <f t="shared" si="11"/>
        <v>13.193251121214955</v>
      </c>
      <c r="O26" s="16">
        <f t="shared" si="13"/>
        <v>-13.193251121214955</v>
      </c>
    </row>
    <row r="27" spans="1:15" x14ac:dyDescent="0.25">
      <c r="A27" s="15">
        <f t="shared" si="16"/>
        <v>7.2896439E+17</v>
      </c>
      <c r="B27" s="17">
        <f t="shared" si="0"/>
        <v>23.1</v>
      </c>
      <c r="C27" s="15">
        <f t="shared" si="1"/>
        <v>-0.31153901028769715</v>
      </c>
      <c r="D27" s="15">
        <f t="shared" si="2"/>
        <v>1.4525151242307635</v>
      </c>
      <c r="E27" s="15">
        <f t="shared" si="3"/>
        <v>1.9056127942491503E-18</v>
      </c>
      <c r="F27" s="15">
        <f t="shared" si="4"/>
        <v>1.3119400703371967E-18</v>
      </c>
      <c r="G27" s="16">
        <f t="shared" si="5"/>
        <v>40.482240613431102</v>
      </c>
      <c r="H27" s="16">
        <f t="shared" si="6"/>
        <v>20.900857292415633</v>
      </c>
      <c r="I27" s="16">
        <f t="shared" si="12"/>
        <v>-20.900857292415633</v>
      </c>
      <c r="J27" s="16">
        <f t="shared" si="7"/>
        <v>-2.6550019327957814</v>
      </c>
      <c r="K27" s="16">
        <f t="shared" si="8"/>
        <v>2.6550019327957814</v>
      </c>
      <c r="L27" s="16">
        <f t="shared" si="9"/>
        <v>12.358007412384939</v>
      </c>
      <c r="M27" s="16">
        <f t="shared" si="10"/>
        <v>-12.358007412384939</v>
      </c>
      <c r="N27" s="16">
        <f t="shared" si="11"/>
        <v>14.389424897372066</v>
      </c>
      <c r="O27" s="16">
        <f t="shared" si="13"/>
        <v>-14.389424897372066</v>
      </c>
    </row>
    <row r="28" spans="1:15" x14ac:dyDescent="0.25">
      <c r="A28" s="15">
        <f t="shared" si="16"/>
        <v>7.9207819E+17</v>
      </c>
      <c r="B28" s="17">
        <f t="shared" si="0"/>
        <v>25.1</v>
      </c>
      <c r="C28" s="15">
        <f t="shared" si="1"/>
        <v>-0.36399326792701769</v>
      </c>
      <c r="D28" s="15">
        <f t="shared" si="2"/>
        <v>1.5723104010874671</v>
      </c>
      <c r="E28" s="15">
        <f t="shared" si="3"/>
        <v>1.890554663793415E-18</v>
      </c>
      <c r="F28" s="15">
        <f t="shared" si="4"/>
        <v>1.2024054935245856E-18</v>
      </c>
      <c r="G28" s="16">
        <f t="shared" si="5"/>
        <v>37.102356734376485</v>
      </c>
      <c r="H28" s="16">
        <f t="shared" si="6"/>
        <v>24.49059567297174</v>
      </c>
      <c r="I28" s="16">
        <f t="shared" si="12"/>
        <v>-24.49059567297174</v>
      </c>
      <c r="J28" s="16">
        <f t="shared" si="7"/>
        <v>-3.4655273130006456</v>
      </c>
      <c r="K28" s="16">
        <f t="shared" si="8"/>
        <v>3.4655273130006456</v>
      </c>
      <c r="L28" s="16">
        <f t="shared" si="9"/>
        <v>14.693373803366903</v>
      </c>
      <c r="M28" s="16">
        <f t="shared" si="10"/>
        <v>-14.693373803366903</v>
      </c>
      <c r="N28" s="16">
        <f t="shared" si="11"/>
        <v>15.576183720487474</v>
      </c>
      <c r="O28" s="16">
        <f t="shared" si="13"/>
        <v>-15.576183720487474</v>
      </c>
    </row>
    <row r="29" spans="1:15" x14ac:dyDescent="0.25">
      <c r="A29" s="15">
        <f t="shared" si="16"/>
        <v>8.5519199E+17</v>
      </c>
      <c r="B29" s="17">
        <f t="shared" si="0"/>
        <v>27.1</v>
      </c>
      <c r="C29" s="15">
        <f t="shared" si="1"/>
        <v>-0.40868825071700621</v>
      </c>
      <c r="D29" s="15">
        <f t="shared" si="2"/>
        <v>1.6911553021102133</v>
      </c>
      <c r="E29" s="15">
        <f t="shared" si="3"/>
        <v>1.8754965333376801E-18</v>
      </c>
      <c r="F29" s="15">
        <f t="shared" si="4"/>
        <v>1.1090031359020942E-18</v>
      </c>
      <c r="G29" s="16">
        <f t="shared" si="5"/>
        <v>34.22026112602785</v>
      </c>
      <c r="H29" s="16">
        <f t="shared" si="6"/>
        <v>28.332817013827274</v>
      </c>
      <c r="I29" s="16">
        <f t="shared" si="12"/>
        <v>-28.332817013827274</v>
      </c>
      <c r="J29" s="16">
        <f t="shared" si="7"/>
        <v>-4.3027206249250796</v>
      </c>
      <c r="K29" s="16">
        <f t="shared" si="8"/>
        <v>4.3027206249250796</v>
      </c>
      <c r="L29" s="16">
        <f t="shared" si="9"/>
        <v>17.248771923433488</v>
      </c>
      <c r="M29" s="16">
        <f t="shared" si="10"/>
        <v>-17.248771923433488</v>
      </c>
      <c r="N29" s="16">
        <f t="shared" si="11"/>
        <v>16.75352759056117</v>
      </c>
      <c r="O29" s="16">
        <f t="shared" si="13"/>
        <v>-16.75352759056117</v>
      </c>
    </row>
    <row r="30" spans="1:15" x14ac:dyDescent="0.25">
      <c r="A30" s="15">
        <f>A29+2000000000*SecondsPerYear</f>
        <v>9.1830579E+17</v>
      </c>
      <c r="B30" s="17">
        <f t="shared" si="0"/>
        <v>29.1</v>
      </c>
      <c r="C30" s="15">
        <f t="shared" si="1"/>
        <v>-0.44722362816670025</v>
      </c>
      <c r="D30" s="15">
        <f t="shared" si="2"/>
        <v>1.8090498272990023</v>
      </c>
      <c r="E30" s="15">
        <f t="shared" si="3"/>
        <v>1.8604384028819448E-18</v>
      </c>
      <c r="F30" s="15">
        <f t="shared" si="4"/>
        <v>1.0284063903644201E-18</v>
      </c>
      <c r="G30" s="16">
        <f t="shared" si="5"/>
        <v>31.733305418762189</v>
      </c>
      <c r="H30" s="16">
        <f t="shared" si="6"/>
        <v>32.420807800007985</v>
      </c>
      <c r="I30" s="16">
        <f t="shared" si="12"/>
        <v>-32.420807800007985</v>
      </c>
      <c r="J30" s="16">
        <f t="shared" si="7"/>
        <v>-5.1616568533269662</v>
      </c>
      <c r="K30" s="16">
        <f t="shared" si="8"/>
        <v>5.1616568533269662</v>
      </c>
      <c r="L30" s="16">
        <f t="shared" si="9"/>
        <v>20.028462455444121</v>
      </c>
      <c r="M30" s="16">
        <f t="shared" si="10"/>
        <v>-20.028462455444121</v>
      </c>
      <c r="N30" s="16">
        <f t="shared" si="11"/>
        <v>17.92145650759316</v>
      </c>
      <c r="O30" s="16">
        <f t="shared" si="13"/>
        <v>-17.92145650759316</v>
      </c>
    </row>
    <row r="31" spans="1:15" x14ac:dyDescent="0.25">
      <c r="A31" s="15">
        <f t="shared" ref="A31:A39" si="17">A30+2000000000*SecondsPerYear</f>
        <v>9.8141959E+17</v>
      </c>
      <c r="B31" s="17">
        <f t="shared" si="0"/>
        <v>31.1</v>
      </c>
      <c r="C31" s="15">
        <f t="shared" si="1"/>
        <v>-0.48078757663750804</v>
      </c>
      <c r="D31" s="15">
        <f t="shared" si="2"/>
        <v>1.9259939766538343</v>
      </c>
      <c r="E31" s="15">
        <f t="shared" si="3"/>
        <v>1.8453802724262095E-18</v>
      </c>
      <c r="F31" s="15">
        <f t="shared" si="4"/>
        <v>9.5814436327174784E-19</v>
      </c>
      <c r="G31" s="16">
        <f t="shared" si="5"/>
        <v>29.565245801510073</v>
      </c>
      <c r="H31" s="16">
        <f t="shared" si="6"/>
        <v>36.747908203002723</v>
      </c>
      <c r="I31" s="16">
        <f t="shared" si="12"/>
        <v>-36.747908203002723</v>
      </c>
      <c r="J31" s="16">
        <f t="shared" si="7"/>
        <v>-6.0382686609711786</v>
      </c>
      <c r="K31" s="16">
        <f t="shared" si="8"/>
        <v>6.0382686609711786</v>
      </c>
      <c r="L31" s="16">
        <f t="shared" si="9"/>
        <v>23.036769241365665</v>
      </c>
      <c r="M31" s="16">
        <f t="shared" si="10"/>
        <v>-23.036769241365665</v>
      </c>
      <c r="N31" s="16">
        <f t="shared" si="11"/>
        <v>19.07997047158344</v>
      </c>
      <c r="O31" s="16">
        <f t="shared" si="13"/>
        <v>-19.07997047158344</v>
      </c>
    </row>
    <row r="32" spans="1:15" x14ac:dyDescent="0.25">
      <c r="A32" s="15">
        <f t="shared" si="17"/>
        <v>1.04453339E+18</v>
      </c>
      <c r="B32" s="17">
        <f t="shared" si="0"/>
        <v>33.1</v>
      </c>
      <c r="C32" s="15">
        <f t="shared" si="1"/>
        <v>-0.5102810974676798</v>
      </c>
      <c r="D32" s="15">
        <f t="shared" si="2"/>
        <v>2.0419877501747088</v>
      </c>
      <c r="E32" s="15">
        <f t="shared" si="3"/>
        <v>1.8303221419704746E-18</v>
      </c>
      <c r="F32" s="15">
        <f t="shared" si="4"/>
        <v>8.9634335064638629E-19</v>
      </c>
      <c r="G32" s="16">
        <f t="shared" si="5"/>
        <v>27.658265810716326</v>
      </c>
      <c r="H32" s="16">
        <f t="shared" si="6"/>
        <v>41.307512080763402</v>
      </c>
      <c r="I32" s="16">
        <f t="shared" si="12"/>
        <v>-41.307512080763402</v>
      </c>
      <c r="J32" s="16">
        <f t="shared" si="7"/>
        <v>-6.9291674816970579</v>
      </c>
      <c r="K32" s="16">
        <f t="shared" si="8"/>
        <v>6.9291674816970579</v>
      </c>
      <c r="L32" s="16">
        <f t="shared" si="9"/>
        <v>26.278082984535896</v>
      </c>
      <c r="M32" s="16">
        <f t="shared" si="10"/>
        <v>-26.278082984535896</v>
      </c>
      <c r="N32" s="16">
        <f t="shared" si="11"/>
        <v>20.229069482532008</v>
      </c>
      <c r="O32" s="16">
        <f t="shared" si="13"/>
        <v>-20.229069482532008</v>
      </c>
    </row>
    <row r="33" spans="1:21" x14ac:dyDescent="0.25">
      <c r="A33" s="15">
        <f t="shared" si="17"/>
        <v>1.10764719E+18</v>
      </c>
      <c r="B33" s="17">
        <f t="shared" si="0"/>
        <v>35.1</v>
      </c>
      <c r="C33" s="15">
        <f t="shared" si="1"/>
        <v>-0.53639983317285422</v>
      </c>
      <c r="D33" s="15">
        <f t="shared" si="2"/>
        <v>2.1570311478616269</v>
      </c>
      <c r="E33" s="15">
        <f t="shared" si="3"/>
        <v>1.8152640115147393E-18</v>
      </c>
      <c r="F33" s="15">
        <f t="shared" si="4"/>
        <v>8.4155669857354711E-19</v>
      </c>
      <c r="G33" s="16">
        <f t="shared" si="5"/>
        <v>25.967726370872121</v>
      </c>
      <c r="H33" s="16">
        <f t="shared" si="6"/>
        <v>46.093066977705071</v>
      </c>
      <c r="I33" s="16">
        <f t="shared" si="12"/>
        <v>-46.093066977705071</v>
      </c>
      <c r="J33" s="16">
        <f t="shared" si="7"/>
        <v>-7.8315076029620041</v>
      </c>
      <c r="K33" s="16">
        <f t="shared" si="8"/>
        <v>7.8315076029620041</v>
      </c>
      <c r="L33" s="16">
        <f t="shared" si="9"/>
        <v>29.756865136194971</v>
      </c>
      <c r="M33" s="16">
        <f t="shared" si="10"/>
        <v>-29.756865136194971</v>
      </c>
      <c r="N33" s="16">
        <f t="shared" si="11"/>
        <v>21.368753540438878</v>
      </c>
      <c r="O33" s="16">
        <f t="shared" si="13"/>
        <v>-21.368753540438878</v>
      </c>
    </row>
    <row r="34" spans="1:21" x14ac:dyDescent="0.25">
      <c r="A34" s="15">
        <f t="shared" si="17"/>
        <v>1.17076099E+18</v>
      </c>
      <c r="B34" s="17">
        <f t="shared" si="0"/>
        <v>37.1</v>
      </c>
      <c r="C34" s="15">
        <f t="shared" si="1"/>
        <v>-0.5596894201845114</v>
      </c>
      <c r="D34" s="15">
        <f t="shared" si="2"/>
        <v>2.2711241697145872</v>
      </c>
      <c r="E34" s="15">
        <f t="shared" si="3"/>
        <v>1.8002058810590044E-18</v>
      </c>
      <c r="F34" s="15">
        <f t="shared" si="4"/>
        <v>7.9264969527634268E-19</v>
      </c>
      <c r="G34" s="16">
        <f t="shared" si="5"/>
        <v>24.458613935080422</v>
      </c>
      <c r="H34" s="16">
        <f t="shared" si="6"/>
        <v>51.098074124705811</v>
      </c>
      <c r="I34" s="16">
        <f t="shared" si="12"/>
        <v>-51.098074124705811</v>
      </c>
      <c r="J34" s="16">
        <f t="shared" si="7"/>
        <v>-8.7428816503462503</v>
      </c>
      <c r="K34" s="16">
        <f t="shared" si="8"/>
        <v>8.7428816503462503</v>
      </c>
      <c r="L34" s="16">
        <f t="shared" si="9"/>
        <v>33.477651977074125</v>
      </c>
      <c r="M34" s="16">
        <f t="shared" si="10"/>
        <v>-33.477651977074125</v>
      </c>
      <c r="N34" s="16">
        <f t="shared" si="11"/>
        <v>22.499022645304031</v>
      </c>
      <c r="O34" s="16">
        <f t="shared" si="13"/>
        <v>-22.499022645304031</v>
      </c>
    </row>
    <row r="35" spans="1:21" x14ac:dyDescent="0.25">
      <c r="A35" s="15">
        <f t="shared" si="17"/>
        <v>1.23387479E+18</v>
      </c>
      <c r="B35" s="17">
        <f t="shared" si="0"/>
        <v>39.1</v>
      </c>
      <c r="C35" s="15">
        <f t="shared" si="1"/>
        <v>-0.58058385353473096</v>
      </c>
      <c r="D35" s="15">
        <f t="shared" si="2"/>
        <v>2.3842668157335902</v>
      </c>
      <c r="E35" s="15">
        <f t="shared" si="3"/>
        <v>1.7851477506032691E-18</v>
      </c>
      <c r="F35" s="15">
        <f t="shared" si="4"/>
        <v>7.4871979042916627E-19</v>
      </c>
      <c r="G35" s="16">
        <f t="shared" si="5"/>
        <v>23.103078710295769</v>
      </c>
      <c r="H35" s="16">
        <f t="shared" si="6"/>
        <v>56.316088439106828</v>
      </c>
      <c r="I35" s="16">
        <f t="shared" si="12"/>
        <v>-56.316088439106828</v>
      </c>
      <c r="J35" s="16">
        <f t="shared" si="7"/>
        <v>-9.6612393236766607</v>
      </c>
      <c r="K35" s="16">
        <f t="shared" si="8"/>
        <v>9.6612393236766607</v>
      </c>
      <c r="L35" s="16">
        <f t="shared" si="9"/>
        <v>37.445058905559357</v>
      </c>
      <c r="M35" s="16">
        <f t="shared" si="10"/>
        <v>-37.445058905559357</v>
      </c>
      <c r="N35" s="16">
        <f t="shared" si="11"/>
        <v>23.619876797127475</v>
      </c>
      <c r="O35" s="16">
        <f t="shared" si="13"/>
        <v>-23.619876797127475</v>
      </c>
    </row>
    <row r="36" spans="1:21" x14ac:dyDescent="0.25">
      <c r="A36" s="15">
        <f t="shared" si="17"/>
        <v>1.29698859E+18</v>
      </c>
      <c r="B36" s="17">
        <f t="shared" si="0"/>
        <v>41.1</v>
      </c>
      <c r="C36" s="15">
        <f t="shared" si="1"/>
        <v>-0.59943265017218406</v>
      </c>
      <c r="D36" s="15">
        <f t="shared" si="2"/>
        <v>2.4964590859186364</v>
      </c>
      <c r="E36" s="15">
        <f t="shared" si="3"/>
        <v>1.7700896201475338E-18</v>
      </c>
      <c r="F36" s="15">
        <f t="shared" si="4"/>
        <v>7.090401081002231E-19</v>
      </c>
      <c r="G36" s="16">
        <f t="shared" si="5"/>
        <v>21.878691648856346</v>
      </c>
      <c r="H36" s="16">
        <f t="shared" si="6"/>
        <v>61.740718524712463</v>
      </c>
      <c r="I36" s="16">
        <f t="shared" si="12"/>
        <v>-61.740718524712463</v>
      </c>
      <c r="J36" s="16">
        <f t="shared" si="7"/>
        <v>-10.584823565604415</v>
      </c>
      <c r="K36" s="16">
        <f t="shared" si="8"/>
        <v>10.584823565604415</v>
      </c>
      <c r="L36" s="16">
        <f t="shared" si="9"/>
        <v>41.663784944731155</v>
      </c>
      <c r="M36" s="16">
        <f t="shared" si="10"/>
        <v>-41.663784944731155</v>
      </c>
      <c r="N36" s="16">
        <f t="shared" si="11"/>
        <v>24.731315995909213</v>
      </c>
      <c r="O36" s="16">
        <f t="shared" si="13"/>
        <v>-24.731315995909213</v>
      </c>
    </row>
    <row r="37" spans="1:21" x14ac:dyDescent="0.25">
      <c r="A37" s="15">
        <f t="shared" si="17"/>
        <v>1.36010239E+18</v>
      </c>
      <c r="B37" s="17">
        <f t="shared" si="0"/>
        <v>43.1</v>
      </c>
      <c r="C37" s="15">
        <f t="shared" si="1"/>
        <v>-0.61652044940499051</v>
      </c>
      <c r="D37" s="15">
        <f t="shared" si="2"/>
        <v>2.6077009802697249</v>
      </c>
      <c r="E37" s="15">
        <f t="shared" si="3"/>
        <v>1.7550314896917989E-18</v>
      </c>
      <c r="F37" s="15">
        <f t="shared" si="4"/>
        <v>6.7301868694710117E-19</v>
      </c>
      <c r="G37" s="16">
        <f t="shared" si="5"/>
        <v>20.767186732337088</v>
      </c>
      <c r="H37" s="16">
        <f t="shared" si="6"/>
        <v>67.365626671790054</v>
      </c>
      <c r="I37" s="16">
        <f t="shared" si="12"/>
        <v>-67.365626671790054</v>
      </c>
      <c r="J37" s="16">
        <f t="shared" si="7"/>
        <v>-11.51211995042774</v>
      </c>
      <c r="K37" s="16">
        <f t="shared" si="8"/>
        <v>11.51211995042774</v>
      </c>
      <c r="L37" s="16">
        <f t="shared" si="9"/>
        <v>46.138617481425932</v>
      </c>
      <c r="M37" s="16">
        <f t="shared" si="10"/>
        <v>-46.138617481425932</v>
      </c>
      <c r="N37" s="16">
        <f t="shared" si="11"/>
        <v>25.833340241649239</v>
      </c>
      <c r="O37" s="16">
        <f t="shared" si="13"/>
        <v>-25.833340241649239</v>
      </c>
    </row>
    <row r="38" spans="1:21" x14ac:dyDescent="0.25">
      <c r="A38" s="15">
        <f t="shared" si="17"/>
        <v>1.42321619E+18</v>
      </c>
      <c r="B38" s="17">
        <f t="shared" si="0"/>
        <v>45.1</v>
      </c>
      <c r="C38" s="15">
        <f t="shared" si="1"/>
        <v>-0.63208139814722153</v>
      </c>
      <c r="D38" s="15">
        <f t="shared" si="2"/>
        <v>2.7179924987868569</v>
      </c>
      <c r="E38" s="15">
        <f t="shared" si="3"/>
        <v>1.7399733592360636E-18</v>
      </c>
      <c r="F38" s="15">
        <f t="shared" si="4"/>
        <v>6.4016856559121483E-19</v>
      </c>
      <c r="G38" s="16">
        <f t="shared" si="5"/>
        <v>19.753537902655708</v>
      </c>
      <c r="H38" s="16">
        <f t="shared" si="6"/>
        <v>73.18452885707012</v>
      </c>
      <c r="I38" s="16">
        <f t="shared" si="12"/>
        <v>-73.18452885707012</v>
      </c>
      <c r="J38" s="16">
        <f t="shared" si="7"/>
        <v>-12.441816205335613</v>
      </c>
      <c r="K38" s="16">
        <f t="shared" si="8"/>
        <v>12.441816205335613</v>
      </c>
      <c r="L38" s="16">
        <f t="shared" si="9"/>
        <v>50.874437251375262</v>
      </c>
      <c r="M38" s="16">
        <f t="shared" si="10"/>
        <v>-50.874437251375262</v>
      </c>
      <c r="N38" s="16">
        <f t="shared" si="11"/>
        <v>26.925949534347563</v>
      </c>
      <c r="O38" s="16">
        <f t="shared" si="13"/>
        <v>-26.925949534347563</v>
      </c>
    </row>
    <row r="39" spans="1:21" x14ac:dyDescent="0.25">
      <c r="A39" s="15">
        <f t="shared" si="17"/>
        <v>1.48632999E+18</v>
      </c>
      <c r="B39" s="17">
        <f t="shared" si="0"/>
        <v>47.1</v>
      </c>
      <c r="C39" s="15">
        <f t="shared" si="1"/>
        <v>-0.64630987113354466</v>
      </c>
      <c r="D39" s="15">
        <f t="shared" si="2"/>
        <v>2.8273336414700312</v>
      </c>
      <c r="E39" s="15">
        <f t="shared" si="3"/>
        <v>1.7249152287803283E-18</v>
      </c>
      <c r="F39" s="15">
        <f t="shared" si="4"/>
        <v>6.1008548955102586E-19</v>
      </c>
      <c r="G39" s="16">
        <f t="shared" si="5"/>
        <v>18.825271169909247</v>
      </c>
      <c r="H39" s="16">
        <f t="shared" si="6"/>
        <v>79.191194743746223</v>
      </c>
      <c r="I39" s="16">
        <f t="shared" si="12"/>
        <v>-79.191194743746223</v>
      </c>
      <c r="J39" s="16">
        <f t="shared" si="7"/>
        <v>-13.37276957388112</v>
      </c>
      <c r="K39" s="16">
        <f t="shared" si="8"/>
        <v>13.37276957388112</v>
      </c>
      <c r="L39" s="16">
        <f t="shared" si="9"/>
        <v>55.876223585459883</v>
      </c>
      <c r="M39" s="16">
        <f t="shared" si="10"/>
        <v>-55.876223585459883</v>
      </c>
      <c r="N39" s="16">
        <f t="shared" si="11"/>
        <v>28.00914387400417</v>
      </c>
      <c r="O39" s="16">
        <f t="shared" si="13"/>
        <v>-28.00914387400417</v>
      </c>
    </row>
    <row r="42" spans="1:21" ht="60" x14ac:dyDescent="0.25">
      <c r="A42" s="4" t="s">
        <v>640</v>
      </c>
      <c r="B42" s="5" t="s">
        <v>641</v>
      </c>
      <c r="C42" s="4" t="s">
        <v>642</v>
      </c>
      <c r="D42" s="4" t="s">
        <v>643</v>
      </c>
      <c r="E42" s="4" t="s">
        <v>644</v>
      </c>
      <c r="F42" s="4" t="s">
        <v>645</v>
      </c>
      <c r="G42" s="7" t="s">
        <v>646</v>
      </c>
      <c r="H42" s="7" t="s">
        <v>649</v>
      </c>
      <c r="I42" s="7" t="s">
        <v>650</v>
      </c>
      <c r="J42" s="7" t="s">
        <v>651</v>
      </c>
      <c r="K42" s="7" t="s">
        <v>652</v>
      </c>
      <c r="L42" s="7" t="s">
        <v>647</v>
      </c>
      <c r="M42" s="7" t="s">
        <v>648</v>
      </c>
      <c r="N42" s="7" t="s">
        <v>653</v>
      </c>
      <c r="O42" s="7" t="s">
        <v>654</v>
      </c>
    </row>
    <row r="43" spans="1:21" x14ac:dyDescent="0.25">
      <c r="A43" s="15">
        <f>100000000*SecondsPerYear</f>
        <v>3155690000000000</v>
      </c>
      <c r="B43" s="17">
        <f t="shared" ref="B43:B65" si="18">A43/Gyr</f>
        <v>0.1</v>
      </c>
      <c r="C43" s="15">
        <f>Age^2/time^2-1</f>
        <v>24596.835064600989</v>
      </c>
      <c r="D43" s="15">
        <f t="shared" ref="D43:D80" si="19">time*(-2*InitialTangentVelocity+UniverseAcceleration*time)/(Age*(-2*InitialTangentVelocity+UniverseAcceleration*Age))</f>
        <v>6.5611773130019252E-3</v>
      </c>
      <c r="E43" s="15">
        <f t="shared" ref="E43:E80" si="20">(2*InitialTangentVelocity-2*UniverseAcceleration*time)/(2*InitialTangentVelocity*Age-UniverseAcceleration*Age^2)</f>
        <v>2.0787812944901045E-18</v>
      </c>
      <c r="F43" s="15">
        <f t="shared" ref="F43:F80" si="21">(2*InitialTangentVelocity-2*UniverseAcceleration*time)/(2*InitialTangentVelocity*time-UniverseAcceleration*time^2)</f>
        <v>3.1683053136983474E-16</v>
      </c>
      <c r="G43" s="16">
        <f t="shared" ref="G43:G65" si="22">F43*Mpc/1000</f>
        <v>9776.3686730738555</v>
      </c>
      <c r="H43" s="16">
        <f t="shared" ref="H43:H80" si="23">(2*InitialTangentVelocity*time-UniverseAcceleration*time^2)*(1/Gpc)</f>
        <v>6.4998681672097589E-2</v>
      </c>
      <c r="I43" s="16">
        <f>-H43</f>
        <v>-6.4998681672097589E-2</v>
      </c>
      <c r="J43" s="16">
        <f t="shared" ref="J43:J80" si="24">(RedShift*Age*(2*InitialTangentVelocity-UniverseAcceleration*Age))/(2+RedShift)*(1/Gpc)</f>
        <v>9.9057522568978662</v>
      </c>
      <c r="K43" s="16">
        <f t="shared" ref="K43:K80" si="25">-J43</f>
        <v>-9.9057522568978662</v>
      </c>
      <c r="L43" s="16">
        <f t="shared" ref="L43:L80" si="26">((InitialTangentVelocity+UniverseAcceleration*time)/HubbleFunction)*(1/Gpc)</f>
        <v>3.2522882481114193E-2</v>
      </c>
      <c r="M43" s="16">
        <f t="shared" ref="M43:M80" si="27">-L43</f>
        <v>-3.2522882481114193E-2</v>
      </c>
      <c r="N43" s="16">
        <f t="shared" ref="N43:N80" si="28">$H$64</f>
        <v>9.9065577062356258</v>
      </c>
      <c r="O43" s="16">
        <f>-N43</f>
        <v>-9.9065577062356258</v>
      </c>
      <c r="Q43" s="17">
        <v>-100</v>
      </c>
      <c r="R43" s="17">
        <f>Age/Gyr</f>
        <v>15.68369696997522</v>
      </c>
      <c r="S43" s="42"/>
      <c r="T43" s="42">
        <v>0</v>
      </c>
      <c r="U43" s="42">
        <v>100</v>
      </c>
    </row>
    <row r="44" spans="1:21" x14ac:dyDescent="0.25">
      <c r="A44" s="15">
        <f>A43+200000000*SecondsPerYear</f>
        <v>9467070000000000</v>
      </c>
      <c r="B44" s="17">
        <f t="shared" si="18"/>
        <v>0.3</v>
      </c>
      <c r="C44" s="15">
        <f t="shared" ref="C44:C80" si="29">Age^2/time^2-1</f>
        <v>2732.0927849556651</v>
      </c>
      <c r="D44" s="15">
        <f t="shared" si="19"/>
        <v>1.9676404120251099E-2</v>
      </c>
      <c r="E44" s="15">
        <f t="shared" si="20"/>
        <v>2.0772754814445314E-18</v>
      </c>
      <c r="F44" s="15">
        <f t="shared" si="21"/>
        <v>1.0557190575825714E-16</v>
      </c>
      <c r="G44" s="16">
        <f t="shared" si="22"/>
        <v>3257.6086267612691</v>
      </c>
      <c r="H44" s="16">
        <f t="shared" si="23"/>
        <v>0.19492543286847991</v>
      </c>
      <c r="I44" s="16">
        <f t="shared" ref="I44:I80" si="30">-H44</f>
        <v>-0.19492543286847991</v>
      </c>
      <c r="J44" s="16">
        <f t="shared" si="24"/>
        <v>9.8993110189536555</v>
      </c>
      <c r="K44" s="16">
        <f t="shared" si="25"/>
        <v>-9.8993110189536555</v>
      </c>
      <c r="L44" s="16">
        <f t="shared" si="26"/>
        <v>9.7674668047554619E-2</v>
      </c>
      <c r="M44" s="16">
        <f t="shared" si="27"/>
        <v>-9.7674668047554619E-2</v>
      </c>
      <c r="N44" s="16">
        <f t="shared" si="28"/>
        <v>9.9065577062356258</v>
      </c>
      <c r="O44" s="16">
        <f t="shared" ref="O44:O65" si="31">-N44</f>
        <v>-9.9065577062356258</v>
      </c>
      <c r="Q44" s="17">
        <v>100</v>
      </c>
      <c r="R44" s="17">
        <f>Age/Gyr</f>
        <v>15.68369696997522</v>
      </c>
      <c r="S44" s="42"/>
      <c r="T44" s="42">
        <v>0</v>
      </c>
      <c r="U44" s="42">
        <v>0</v>
      </c>
    </row>
    <row r="45" spans="1:21" x14ac:dyDescent="0.25">
      <c r="A45" s="15">
        <f t="shared" ref="A45:A52" si="32">A44+100000000*SecondsPerYear</f>
        <v>1.262276E+16</v>
      </c>
      <c r="B45" s="17">
        <f t="shared" si="18"/>
        <v>0.4</v>
      </c>
      <c r="C45" s="15">
        <f t="shared" si="29"/>
        <v>1536.3646915375618</v>
      </c>
      <c r="D45" s="15">
        <f t="shared" si="19"/>
        <v>2.6230453614498345E-2</v>
      </c>
      <c r="E45" s="15">
        <f t="shared" si="20"/>
        <v>2.0765225749217447E-18</v>
      </c>
      <c r="F45" s="15">
        <f t="shared" si="21"/>
        <v>7.9164569756963311E-17</v>
      </c>
      <c r="G45" s="16">
        <f t="shared" si="22"/>
        <v>2442.7633802940773</v>
      </c>
      <c r="H45" s="16">
        <f t="shared" si="23"/>
        <v>0.25985350239276472</v>
      </c>
      <c r="I45" s="16">
        <f t="shared" si="30"/>
        <v>-0.25985350239276472</v>
      </c>
      <c r="J45" s="16">
        <f t="shared" si="24"/>
        <v>9.893678370456886</v>
      </c>
      <c r="K45" s="16">
        <f t="shared" si="25"/>
        <v>-9.893678370456886</v>
      </c>
      <c r="L45" s="16">
        <f t="shared" si="26"/>
        <v>0.13030362241229557</v>
      </c>
      <c r="M45" s="16">
        <f t="shared" si="27"/>
        <v>-0.13030362241229557</v>
      </c>
      <c r="N45" s="16">
        <f t="shared" si="28"/>
        <v>9.9065577062356258</v>
      </c>
      <c r="O45" s="16">
        <f t="shared" si="31"/>
        <v>-9.9065577062356258</v>
      </c>
    </row>
    <row r="46" spans="1:21" x14ac:dyDescent="0.25">
      <c r="A46" s="15">
        <f t="shared" si="32"/>
        <v>1.577845E+16</v>
      </c>
      <c r="B46" s="17">
        <f t="shared" si="18"/>
        <v>0.5</v>
      </c>
      <c r="C46" s="15">
        <f t="shared" si="29"/>
        <v>982.91340258403955</v>
      </c>
      <c r="D46" s="15">
        <f t="shared" si="19"/>
        <v>3.2782127169160694E-2</v>
      </c>
      <c r="E46" s="15">
        <f t="shared" si="20"/>
        <v>2.0757696683989579E-18</v>
      </c>
      <c r="F46" s="15">
        <f t="shared" si="21"/>
        <v>6.3320163993253845E-17</v>
      </c>
      <c r="G46" s="16">
        <f t="shared" si="22"/>
        <v>1953.8561039590666</v>
      </c>
      <c r="H46" s="16">
        <f t="shared" si="23"/>
        <v>0.32475803453444524</v>
      </c>
      <c r="I46" s="16">
        <f t="shared" si="30"/>
        <v>-0.32475803453444524</v>
      </c>
      <c r="J46" s="16">
        <f t="shared" si="24"/>
        <v>9.886441099678656</v>
      </c>
      <c r="K46" s="16">
        <f t="shared" si="25"/>
        <v>-9.886441099678656</v>
      </c>
      <c r="L46" s="16">
        <f t="shared" si="26"/>
        <v>0.16296798541299232</v>
      </c>
      <c r="M46" s="16">
        <f t="shared" si="27"/>
        <v>-0.16296798541299232</v>
      </c>
      <c r="N46" s="16">
        <f t="shared" si="28"/>
        <v>9.9065577062356258</v>
      </c>
      <c r="O46" s="16">
        <f t="shared" si="31"/>
        <v>-9.9065577062356258</v>
      </c>
    </row>
    <row r="47" spans="1:21" x14ac:dyDescent="0.25">
      <c r="A47" s="15">
        <f t="shared" si="32"/>
        <v>1.893414E+16</v>
      </c>
      <c r="B47" s="17">
        <f t="shared" si="18"/>
        <v>0.6</v>
      </c>
      <c r="C47" s="15">
        <f t="shared" si="29"/>
        <v>682.27319623891628</v>
      </c>
      <c r="D47" s="15">
        <f t="shared" si="19"/>
        <v>3.9331424784238157E-2</v>
      </c>
      <c r="E47" s="15">
        <f t="shared" si="20"/>
        <v>2.0750167618761708E-18</v>
      </c>
      <c r="F47" s="15">
        <f t="shared" si="21"/>
        <v>5.2757223346450501E-17</v>
      </c>
      <c r="G47" s="16">
        <f t="shared" si="22"/>
        <v>1627.9178126319487</v>
      </c>
      <c r="H47" s="16">
        <f t="shared" si="23"/>
        <v>0.38963902929352134</v>
      </c>
      <c r="I47" s="16">
        <f t="shared" si="30"/>
        <v>-0.38963902929352134</v>
      </c>
      <c r="J47" s="16">
        <f t="shared" si="24"/>
        <v>9.877602728134228</v>
      </c>
      <c r="K47" s="16">
        <f t="shared" si="25"/>
        <v>-9.877602728134228</v>
      </c>
      <c r="L47" s="16">
        <f t="shared" si="26"/>
        <v>0.19566778278245175</v>
      </c>
      <c r="M47" s="16">
        <f t="shared" si="27"/>
        <v>-0.19566778278245175</v>
      </c>
      <c r="N47" s="16">
        <f t="shared" si="28"/>
        <v>9.9065577062356258</v>
      </c>
      <c r="O47" s="16">
        <f t="shared" si="31"/>
        <v>-9.9065577062356258</v>
      </c>
    </row>
    <row r="48" spans="1:21" x14ac:dyDescent="0.25">
      <c r="A48" s="15">
        <f t="shared" si="32"/>
        <v>2.208983E+16</v>
      </c>
      <c r="B48" s="17">
        <f t="shared" si="18"/>
        <v>0.7</v>
      </c>
      <c r="C48" s="15">
        <f t="shared" si="29"/>
        <v>500.99663397144877</v>
      </c>
      <c r="D48" s="15">
        <f t="shared" si="19"/>
        <v>4.5878346459730726E-2</v>
      </c>
      <c r="E48" s="15">
        <f t="shared" si="20"/>
        <v>2.0742638553533844E-18</v>
      </c>
      <c r="F48" s="15">
        <f t="shared" si="21"/>
        <v>4.5212262764832844E-17</v>
      </c>
      <c r="G48" s="16">
        <f t="shared" si="22"/>
        <v>1395.1046555451351</v>
      </c>
      <c r="H48" s="16">
        <f t="shared" si="23"/>
        <v>0.45449648666999343</v>
      </c>
      <c r="I48" s="16">
        <f t="shared" si="30"/>
        <v>-0.45449648666999343</v>
      </c>
      <c r="J48" s="16">
        <f t="shared" si="24"/>
        <v>9.8671675511643393</v>
      </c>
      <c r="K48" s="16">
        <f t="shared" si="25"/>
        <v>-9.8671675511643393</v>
      </c>
      <c r="L48" s="16">
        <f t="shared" si="26"/>
        <v>0.22840304029084224</v>
      </c>
      <c r="M48" s="16">
        <f t="shared" si="27"/>
        <v>-0.22840304029084224</v>
      </c>
      <c r="N48" s="16">
        <f t="shared" si="28"/>
        <v>9.9065577062356258</v>
      </c>
      <c r="O48" s="16">
        <f t="shared" si="31"/>
        <v>-9.9065577062356258</v>
      </c>
    </row>
    <row r="49" spans="1:15" x14ac:dyDescent="0.25">
      <c r="A49" s="15">
        <f t="shared" si="32"/>
        <v>2.524552E+16</v>
      </c>
      <c r="B49" s="17">
        <f t="shared" si="18"/>
        <v>0.8</v>
      </c>
      <c r="C49" s="15">
        <f t="shared" si="29"/>
        <v>383.34117288439046</v>
      </c>
      <c r="D49" s="15">
        <f t="shared" si="19"/>
        <v>5.2422892195638407E-2</v>
      </c>
      <c r="E49" s="15">
        <f t="shared" si="20"/>
        <v>2.0735109488305973E-18</v>
      </c>
      <c r="F49" s="15">
        <f t="shared" si="21"/>
        <v>3.9553539722539649E-17</v>
      </c>
      <c r="G49" s="16">
        <f t="shared" si="22"/>
        <v>1220.4947073148001</v>
      </c>
      <c r="H49" s="16">
        <f t="shared" si="23"/>
        <v>0.5193304066638611</v>
      </c>
      <c r="I49" s="16">
        <f t="shared" si="30"/>
        <v>-0.5193304066638611</v>
      </c>
      <c r="J49" s="16">
        <f t="shared" si="24"/>
        <v>9.8551406327260285</v>
      </c>
      <c r="K49" s="16">
        <f t="shared" si="25"/>
        <v>-9.8551406327260285</v>
      </c>
      <c r="L49" s="16">
        <f t="shared" si="26"/>
        <v>0.2611737837457615</v>
      </c>
      <c r="M49" s="16">
        <f t="shared" si="27"/>
        <v>-0.2611737837457615</v>
      </c>
      <c r="N49" s="16">
        <f t="shared" si="28"/>
        <v>9.9065577062356258</v>
      </c>
      <c r="O49" s="16">
        <f t="shared" si="31"/>
        <v>-9.9065577062356258</v>
      </c>
    </row>
    <row r="50" spans="1:15" x14ac:dyDescent="0.25">
      <c r="A50" s="15">
        <f t="shared" si="32"/>
        <v>2.840121E+16</v>
      </c>
      <c r="B50" s="17">
        <f t="shared" si="18"/>
        <v>0.9</v>
      </c>
      <c r="C50" s="15">
        <f t="shared" si="29"/>
        <v>302.67697610618507</v>
      </c>
      <c r="D50" s="15">
        <f t="shared" si="19"/>
        <v>5.8965061991961179E-2</v>
      </c>
      <c r="E50" s="15">
        <f t="shared" si="20"/>
        <v>2.0727580423078109E-18</v>
      </c>
      <c r="F50" s="15">
        <f t="shared" si="21"/>
        <v>3.5152308371869329E-17</v>
      </c>
      <c r="G50" s="16">
        <f t="shared" si="22"/>
        <v>1084.6868982832348</v>
      </c>
      <c r="H50" s="16">
        <f t="shared" si="23"/>
        <v>0.58414078927512447</v>
      </c>
      <c r="I50" s="16">
        <f t="shared" si="30"/>
        <v>-0.58414078927512447</v>
      </c>
      <c r="J50" s="16">
        <f t="shared" si="24"/>
        <v>9.8415277992643624</v>
      </c>
      <c r="K50" s="16">
        <f t="shared" si="25"/>
        <v>-9.8415277992643624</v>
      </c>
      <c r="L50" s="16">
        <f t="shared" si="26"/>
        <v>0.29398003899230429</v>
      </c>
      <c r="M50" s="16">
        <f t="shared" si="27"/>
        <v>-0.29398003899230429</v>
      </c>
      <c r="N50" s="16">
        <f t="shared" si="28"/>
        <v>9.9065577062356258</v>
      </c>
      <c r="O50" s="16">
        <f t="shared" si="31"/>
        <v>-9.9065577062356258</v>
      </c>
    </row>
    <row r="51" spans="1:15" x14ac:dyDescent="0.25">
      <c r="A51" s="15">
        <f t="shared" si="32"/>
        <v>3.15569E+16</v>
      </c>
      <c r="B51" s="17">
        <f t="shared" si="18"/>
        <v>1</v>
      </c>
      <c r="C51" s="15">
        <f t="shared" si="29"/>
        <v>244.97835064600989</v>
      </c>
      <c r="D51" s="15">
        <f t="shared" si="19"/>
        <v>6.550485584869907E-2</v>
      </c>
      <c r="E51" s="15">
        <f t="shared" si="20"/>
        <v>2.0720051357850242E-18</v>
      </c>
      <c r="F51" s="15">
        <f t="shared" si="21"/>
        <v>3.1631321204200065E-17</v>
      </c>
      <c r="G51" s="16">
        <f t="shared" si="22"/>
        <v>976.04058665578748</v>
      </c>
      <c r="H51" s="16">
        <f t="shared" si="23"/>
        <v>0.64892763450378366</v>
      </c>
      <c r="I51" s="16">
        <f t="shared" si="30"/>
        <v>-0.64892763450378366</v>
      </c>
      <c r="J51" s="16">
        <f t="shared" si="24"/>
        <v>9.8263356326787861</v>
      </c>
      <c r="K51" s="16">
        <f t="shared" si="25"/>
        <v>-9.8263356326787861</v>
      </c>
      <c r="L51" s="16">
        <f t="shared" si="26"/>
        <v>0.32682183191313147</v>
      </c>
      <c r="M51" s="16">
        <f t="shared" si="27"/>
        <v>-0.32682183191313147</v>
      </c>
      <c r="N51" s="16">
        <f t="shared" si="28"/>
        <v>9.9065577062356258</v>
      </c>
      <c r="O51" s="16">
        <f t="shared" si="31"/>
        <v>-9.9065577062356258</v>
      </c>
    </row>
    <row r="52" spans="1:15" x14ac:dyDescent="0.25">
      <c r="A52" s="15">
        <f t="shared" si="32"/>
        <v>3.471259E+16</v>
      </c>
      <c r="B52" s="17">
        <f t="shared" si="18"/>
        <v>1.1000000000000001</v>
      </c>
      <c r="C52" s="15">
        <f t="shared" si="29"/>
        <v>202.28789309587594</v>
      </c>
      <c r="D52" s="15">
        <f t="shared" si="19"/>
        <v>7.204227376585208E-2</v>
      </c>
      <c r="E52" s="15">
        <f t="shared" si="20"/>
        <v>2.071252229262237E-18</v>
      </c>
      <c r="F52" s="15">
        <f t="shared" si="21"/>
        <v>2.8750511623135466E-17</v>
      </c>
      <c r="G52" s="16">
        <f t="shared" si="22"/>
        <v>887.14809129038508</v>
      </c>
      <c r="H52" s="16">
        <f t="shared" si="23"/>
        <v>0.71369094234983843</v>
      </c>
      <c r="I52" s="16">
        <f t="shared" si="30"/>
        <v>-0.71369094234983843</v>
      </c>
      <c r="J52" s="16">
        <f t="shared" si="24"/>
        <v>9.8095714623999601</v>
      </c>
      <c r="K52" s="16">
        <f t="shared" si="25"/>
        <v>-9.8095714623999601</v>
      </c>
      <c r="L52" s="16">
        <f t="shared" si="26"/>
        <v>0.35969918842853671</v>
      </c>
      <c r="M52" s="16">
        <f t="shared" si="27"/>
        <v>-0.35969918842853671</v>
      </c>
      <c r="N52" s="16">
        <f t="shared" si="28"/>
        <v>9.9065577062356258</v>
      </c>
      <c r="O52" s="16">
        <f t="shared" si="31"/>
        <v>-9.9065577062356258</v>
      </c>
    </row>
    <row r="53" spans="1:15" x14ac:dyDescent="0.25">
      <c r="A53" s="15">
        <f t="shared" ref="A53:A60" si="33">A52+1000000000*SecondsPerYear</f>
        <v>6.626949E+16</v>
      </c>
      <c r="B53" s="17">
        <f t="shared" si="18"/>
        <v>2.1</v>
      </c>
      <c r="C53" s="15">
        <f t="shared" si="29"/>
        <v>54.777403774605425</v>
      </c>
      <c r="D53" s="15">
        <f t="shared" si="19"/>
        <v>0.13728577626021291</v>
      </c>
      <c r="E53" s="15">
        <f t="shared" si="20"/>
        <v>2.0637231640343696E-18</v>
      </c>
      <c r="F53" s="15">
        <f t="shared" si="21"/>
        <v>1.503231594890622E-17</v>
      </c>
      <c r="G53" s="16">
        <f t="shared" si="22"/>
        <v>463.84880299016345</v>
      </c>
      <c r="H53" s="16">
        <f t="shared" si="23"/>
        <v>1.3600294647671523</v>
      </c>
      <c r="I53" s="16">
        <f t="shared" si="30"/>
        <v>-1.3600294647671523</v>
      </c>
      <c r="J53" s="16">
        <f t="shared" si="24"/>
        <v>9.557596427711422</v>
      </c>
      <c r="K53" s="16">
        <f t="shared" si="25"/>
        <v>-9.557596427711422</v>
      </c>
      <c r="L53" s="16">
        <f t="shared" si="26"/>
        <v>0.69043448079463521</v>
      </c>
      <c r="M53" s="16">
        <f t="shared" si="27"/>
        <v>-0.69043448079463521</v>
      </c>
      <c r="N53" s="16">
        <f t="shared" si="28"/>
        <v>9.9065577062356258</v>
      </c>
      <c r="O53" s="16">
        <f t="shared" si="31"/>
        <v>-9.9065577062356258</v>
      </c>
    </row>
    <row r="54" spans="1:15" x14ac:dyDescent="0.25">
      <c r="A54" s="15">
        <f t="shared" si="33"/>
        <v>9.782639E+16</v>
      </c>
      <c r="B54" s="17">
        <f t="shared" si="18"/>
        <v>3.1</v>
      </c>
      <c r="C54" s="15">
        <f t="shared" si="29"/>
        <v>24.596082273258055</v>
      </c>
      <c r="D54" s="15">
        <f t="shared" si="19"/>
        <v>0.2022916847960845</v>
      </c>
      <c r="E54" s="15">
        <f t="shared" si="20"/>
        <v>2.0561940988065021E-18</v>
      </c>
      <c r="F54" s="15">
        <f t="shared" si="21"/>
        <v>1.0164501328263699E-17</v>
      </c>
      <c r="G54" s="16">
        <f t="shared" si="22"/>
        <v>313.64373860503514</v>
      </c>
      <c r="H54" s="16">
        <f t="shared" si="23"/>
        <v>2.0040142489240389</v>
      </c>
      <c r="I54" s="16">
        <f t="shared" si="30"/>
        <v>-2.0040142489240389</v>
      </c>
      <c r="J54" s="16">
        <f t="shared" si="24"/>
        <v>9.161594022904227</v>
      </c>
      <c r="K54" s="16">
        <f t="shared" si="25"/>
        <v>-9.161594022904227</v>
      </c>
      <c r="L54" s="16">
        <f t="shared" si="26"/>
        <v>1.0247549270260368</v>
      </c>
      <c r="M54" s="16">
        <f t="shared" si="27"/>
        <v>-1.0247549270260368</v>
      </c>
      <c r="N54" s="16">
        <f t="shared" si="28"/>
        <v>9.9065577062356258</v>
      </c>
      <c r="O54" s="16">
        <f t="shared" si="31"/>
        <v>-9.9065577062356258</v>
      </c>
    </row>
    <row r="55" spans="1:15" x14ac:dyDescent="0.25">
      <c r="A55" s="15">
        <f t="shared" si="33"/>
        <v>1.2938329E+17</v>
      </c>
      <c r="B55" s="17">
        <f t="shared" si="18"/>
        <v>4.0999999999999996</v>
      </c>
      <c r="C55" s="15">
        <f t="shared" si="29"/>
        <v>13.63285845603866</v>
      </c>
      <c r="D55" s="15">
        <f t="shared" si="19"/>
        <v>0.26705999937346675</v>
      </c>
      <c r="E55" s="15">
        <f t="shared" si="20"/>
        <v>2.0486650335786343E-18</v>
      </c>
      <c r="F55" s="15">
        <f t="shared" si="21"/>
        <v>7.6711789050583505E-18</v>
      </c>
      <c r="G55" s="16">
        <f t="shared" si="22"/>
        <v>236.70784759507501</v>
      </c>
      <c r="H55" s="16">
        <f t="shared" si="23"/>
        <v>2.6456452948204983</v>
      </c>
      <c r="I55" s="16">
        <f t="shared" si="30"/>
        <v>-2.6456452948204983</v>
      </c>
      <c r="J55" s="16">
        <f t="shared" si="24"/>
        <v>8.6391557484818371</v>
      </c>
      <c r="K55" s="16">
        <f t="shared" si="25"/>
        <v>-8.6391557484818371</v>
      </c>
      <c r="L55" s="16">
        <f t="shared" si="26"/>
        <v>1.3626870792421375</v>
      </c>
      <c r="M55" s="16">
        <f t="shared" si="27"/>
        <v>-1.3626870792421375</v>
      </c>
      <c r="N55" s="16">
        <f t="shared" si="28"/>
        <v>9.9065577062356258</v>
      </c>
      <c r="O55" s="16">
        <f t="shared" si="31"/>
        <v>-9.9065577062356258</v>
      </c>
    </row>
    <row r="56" spans="1:15" x14ac:dyDescent="0.25">
      <c r="A56" s="15">
        <f t="shared" si="33"/>
        <v>1.6094019E+17</v>
      </c>
      <c r="B56" s="17">
        <f t="shared" si="18"/>
        <v>5.0999999999999996</v>
      </c>
      <c r="C56" s="15">
        <f t="shared" si="29"/>
        <v>8.4570684600542059</v>
      </c>
      <c r="D56" s="15">
        <f t="shared" si="19"/>
        <v>0.33159071999235967</v>
      </c>
      <c r="E56" s="15">
        <f t="shared" si="20"/>
        <v>2.0411359683507668E-18</v>
      </c>
      <c r="F56" s="15">
        <f t="shared" si="21"/>
        <v>6.1555883361204964E-18</v>
      </c>
      <c r="G56" s="16">
        <f t="shared" si="22"/>
        <v>189.94160920476517</v>
      </c>
      <c r="H56" s="16">
        <f t="shared" si="23"/>
        <v>3.2849226024565308</v>
      </c>
      <c r="I56" s="16">
        <f t="shared" si="30"/>
        <v>-3.2849226024565308</v>
      </c>
      <c r="J56" s="16">
        <f t="shared" si="24"/>
        <v>8.0118473973037343</v>
      </c>
      <c r="K56" s="16">
        <f t="shared" si="25"/>
        <v>-8.0118473973037343</v>
      </c>
      <c r="L56" s="16">
        <f t="shared" si="26"/>
        <v>1.7042578813297442</v>
      </c>
      <c r="M56" s="16">
        <f t="shared" si="27"/>
        <v>-1.7042578813297442</v>
      </c>
      <c r="N56" s="16">
        <f t="shared" si="28"/>
        <v>9.9065577062356258</v>
      </c>
      <c r="O56" s="16">
        <f t="shared" si="31"/>
        <v>-9.9065577062356258</v>
      </c>
    </row>
    <row r="57" spans="1:15" x14ac:dyDescent="0.25">
      <c r="A57" s="15">
        <f t="shared" si="33"/>
        <v>1.9249709E+17</v>
      </c>
      <c r="B57" s="17">
        <f t="shared" si="18"/>
        <v>6.1</v>
      </c>
      <c r="C57" s="15">
        <f t="shared" si="29"/>
        <v>5.6105442259072804</v>
      </c>
      <c r="D57" s="15">
        <f t="shared" si="19"/>
        <v>0.39588384665276338</v>
      </c>
      <c r="E57" s="15">
        <f t="shared" si="20"/>
        <v>2.0336069031228994E-18</v>
      </c>
      <c r="F57" s="15">
        <f t="shared" si="21"/>
        <v>5.1368776986412667E-18</v>
      </c>
      <c r="G57" s="16">
        <f t="shared" si="22"/>
        <v>158.50748345899353</v>
      </c>
      <c r="H57" s="16">
        <f t="shared" si="23"/>
        <v>3.921846171832136</v>
      </c>
      <c r="I57" s="16">
        <f t="shared" si="30"/>
        <v>-3.921846171832136</v>
      </c>
      <c r="J57" s="16">
        <f t="shared" si="24"/>
        <v>7.3031807565261904</v>
      </c>
      <c r="K57" s="16">
        <f t="shared" si="25"/>
        <v>-7.3031807565261904</v>
      </c>
      <c r="L57" s="16">
        <f t="shared" si="26"/>
        <v>2.0494946761953203</v>
      </c>
      <c r="M57" s="16">
        <f t="shared" si="27"/>
        <v>-2.0494946761953203</v>
      </c>
      <c r="N57" s="16">
        <f t="shared" si="28"/>
        <v>9.9065577062356258</v>
      </c>
      <c r="O57" s="16">
        <f t="shared" si="31"/>
        <v>-9.9065577062356258</v>
      </c>
    </row>
    <row r="58" spans="1:15" x14ac:dyDescent="0.25">
      <c r="A58" s="15">
        <f t="shared" si="33"/>
        <v>2.2405399E+17</v>
      </c>
      <c r="B58" s="17">
        <f t="shared" si="18"/>
        <v>7.1</v>
      </c>
      <c r="C58" s="15">
        <f t="shared" si="29"/>
        <v>3.8795546646699046</v>
      </c>
      <c r="D58" s="15">
        <f t="shared" si="19"/>
        <v>0.45993937935467777</v>
      </c>
      <c r="E58" s="15">
        <f t="shared" si="20"/>
        <v>2.0260778378950315E-18</v>
      </c>
      <c r="F58" s="15">
        <f t="shared" si="21"/>
        <v>4.4050975603301016E-18</v>
      </c>
      <c r="G58" s="16">
        <f t="shared" si="22"/>
        <v>135.92710779623292</v>
      </c>
      <c r="H58" s="16">
        <f t="shared" si="23"/>
        <v>4.5564160029473131</v>
      </c>
      <c r="I58" s="16">
        <f t="shared" si="30"/>
        <v>-4.5564160029473131</v>
      </c>
      <c r="J58" s="16">
        <f t="shared" si="24"/>
        <v>6.5367250331034645</v>
      </c>
      <c r="K58" s="16">
        <f t="shared" si="25"/>
        <v>-6.5367250331034645</v>
      </c>
      <c r="L58" s="16">
        <f t="shared" si="26"/>
        <v>2.3984252131789248</v>
      </c>
      <c r="M58" s="16">
        <f t="shared" si="27"/>
        <v>-2.3984252131789248</v>
      </c>
      <c r="N58" s="16">
        <f t="shared" si="28"/>
        <v>9.9065577062356258</v>
      </c>
      <c r="O58" s="16">
        <f t="shared" si="31"/>
        <v>-9.9065577062356258</v>
      </c>
    </row>
    <row r="59" spans="1:15" x14ac:dyDescent="0.25">
      <c r="A59" s="15">
        <f t="shared" si="33"/>
        <v>2.5561089E+17</v>
      </c>
      <c r="B59" s="17">
        <f t="shared" si="18"/>
        <v>8.1</v>
      </c>
      <c r="C59" s="15">
        <f t="shared" si="29"/>
        <v>2.7490984704467292</v>
      </c>
      <c r="D59" s="15">
        <f t="shared" si="19"/>
        <v>0.52375731809810289</v>
      </c>
      <c r="E59" s="15">
        <f t="shared" si="20"/>
        <v>2.0185487726671641E-18</v>
      </c>
      <c r="F59" s="15">
        <f t="shared" si="21"/>
        <v>3.8539772198258396E-18</v>
      </c>
      <c r="G59" s="16">
        <f t="shared" si="22"/>
        <v>118.92131101047325</v>
      </c>
      <c r="H59" s="16">
        <f t="shared" si="23"/>
        <v>5.1886320958020642</v>
      </c>
      <c r="I59" s="16">
        <f t="shared" si="30"/>
        <v>-5.1886320958020642</v>
      </c>
      <c r="J59" s="16">
        <f t="shared" si="24"/>
        <v>5.7345836914269777</v>
      </c>
      <c r="K59" s="16">
        <f t="shared" si="25"/>
        <v>-5.7345836914269777</v>
      </c>
      <c r="L59" s="16">
        <f t="shared" si="26"/>
        <v>2.7510776556340821</v>
      </c>
      <c r="M59" s="16">
        <f t="shared" si="27"/>
        <v>-2.7510776556340821</v>
      </c>
      <c r="N59" s="16">
        <f t="shared" si="28"/>
        <v>9.9065577062356258</v>
      </c>
      <c r="O59" s="16">
        <f t="shared" si="31"/>
        <v>-9.9065577062356258</v>
      </c>
    </row>
    <row r="60" spans="1:15" x14ac:dyDescent="0.25">
      <c r="A60" s="15">
        <f t="shared" si="33"/>
        <v>2.8716779E+17</v>
      </c>
      <c r="B60" s="17">
        <f t="shared" si="18"/>
        <v>9.1</v>
      </c>
      <c r="C60" s="15">
        <f t="shared" si="29"/>
        <v>1.9703942838547266</v>
      </c>
      <c r="D60" s="15">
        <f t="shared" si="19"/>
        <v>0.58733766288303857</v>
      </c>
      <c r="E60" s="15">
        <f t="shared" si="20"/>
        <v>2.0110197074392966E-18</v>
      </c>
      <c r="F60" s="15">
        <f t="shared" si="21"/>
        <v>3.4239583710124982E-18</v>
      </c>
      <c r="G60" s="16">
        <f t="shared" si="22"/>
        <v>105.65231580286587</v>
      </c>
      <c r="H60" s="16">
        <f t="shared" si="23"/>
        <v>5.818494450396388</v>
      </c>
      <c r="I60" s="16">
        <f t="shared" si="30"/>
        <v>-5.818494450396388</v>
      </c>
      <c r="J60" s="16">
        <f t="shared" si="24"/>
        <v>4.9163441415426643</v>
      </c>
      <c r="K60" s="16">
        <f t="shared" si="25"/>
        <v>-4.9163441415426643</v>
      </c>
      <c r="L60" s="16">
        <f t="shared" si="26"/>
        <v>3.107480588677908</v>
      </c>
      <c r="M60" s="16">
        <f t="shared" si="27"/>
        <v>-3.107480588677908</v>
      </c>
      <c r="N60" s="16">
        <f t="shared" si="28"/>
        <v>9.9065577062356258</v>
      </c>
      <c r="O60" s="16">
        <f t="shared" si="31"/>
        <v>-9.9065577062356258</v>
      </c>
    </row>
    <row r="61" spans="1:15" x14ac:dyDescent="0.25">
      <c r="A61" s="15">
        <f t="shared" ref="A61:A70" si="34">A60+2000000000*SecondsPerYear</f>
        <v>3.5028159E+17</v>
      </c>
      <c r="B61" s="17">
        <f t="shared" si="18"/>
        <v>11.1</v>
      </c>
      <c r="C61" s="15">
        <f t="shared" si="29"/>
        <v>0.99641547476673886</v>
      </c>
      <c r="D61" s="15">
        <f t="shared" si="19"/>
        <v>0.7137855705774423</v>
      </c>
      <c r="E61" s="15">
        <f t="shared" si="20"/>
        <v>1.9959615769835613E-18</v>
      </c>
      <c r="F61" s="15">
        <f t="shared" si="21"/>
        <v>2.7963041832981533E-18</v>
      </c>
      <c r="G61" s="16">
        <f t="shared" si="22"/>
        <v>86.2849312526332</v>
      </c>
      <c r="H61" s="16">
        <f t="shared" si="23"/>
        <v>7.0711579448037556</v>
      </c>
      <c r="I61" s="16">
        <f t="shared" si="30"/>
        <v>-7.0711579448037556</v>
      </c>
      <c r="J61" s="16">
        <f t="shared" si="24"/>
        <v>3.2942852829617348</v>
      </c>
      <c r="K61" s="16">
        <f t="shared" si="25"/>
        <v>-3.2942852829617348</v>
      </c>
      <c r="L61" s="16">
        <f t="shared" si="26"/>
        <v>3.8316544235466781</v>
      </c>
      <c r="M61" s="16">
        <f t="shared" si="27"/>
        <v>-3.8316544235466781</v>
      </c>
      <c r="N61" s="16">
        <f t="shared" si="28"/>
        <v>9.9065577062356258</v>
      </c>
      <c r="O61" s="16">
        <f t="shared" si="31"/>
        <v>-9.9065577062356258</v>
      </c>
    </row>
    <row r="62" spans="1:15" x14ac:dyDescent="0.25">
      <c r="A62" s="15">
        <f t="shared" si="34"/>
        <v>4.1339539E+17</v>
      </c>
      <c r="B62" s="17">
        <f t="shared" si="18"/>
        <v>13.1</v>
      </c>
      <c r="C62" s="15">
        <f t="shared" si="29"/>
        <v>0.4333567428821743</v>
      </c>
      <c r="D62" s="15">
        <f t="shared" si="19"/>
        <v>0.83928310243788862</v>
      </c>
      <c r="E62" s="15">
        <f t="shared" si="20"/>
        <v>1.9809034465278264E-18</v>
      </c>
      <c r="F62" s="15">
        <f t="shared" si="21"/>
        <v>2.3602327281150323E-18</v>
      </c>
      <c r="G62" s="16">
        <f t="shared" si="22"/>
        <v>72.829172127267896</v>
      </c>
      <c r="H62" s="16">
        <f t="shared" si="23"/>
        <v>8.3144064861694122</v>
      </c>
      <c r="I62" s="16">
        <f t="shared" si="30"/>
        <v>-8.3144064861694122</v>
      </c>
      <c r="J62" s="16">
        <f t="shared" si="24"/>
        <v>1.7642598411869814</v>
      </c>
      <c r="K62" s="16">
        <f t="shared" si="25"/>
        <v>-1.7642598411869814</v>
      </c>
      <c r="L62" s="16">
        <f t="shared" si="26"/>
        <v>4.5711841396618826</v>
      </c>
      <c r="M62" s="16">
        <f t="shared" si="27"/>
        <v>-4.5711841396618826</v>
      </c>
      <c r="N62" s="16">
        <f t="shared" si="28"/>
        <v>9.9065577062356258</v>
      </c>
      <c r="O62" s="16">
        <f t="shared" si="31"/>
        <v>-9.9065577062356258</v>
      </c>
    </row>
    <row r="63" spans="1:15" x14ac:dyDescent="0.25">
      <c r="A63" s="15">
        <f t="shared" si="34"/>
        <v>4.7650919E+17</v>
      </c>
      <c r="B63" s="17">
        <f t="shared" si="18"/>
        <v>15.1</v>
      </c>
      <c r="C63" s="15">
        <f t="shared" si="29"/>
        <v>7.8805099100959897E-2</v>
      </c>
      <c r="D63" s="15">
        <f t="shared" si="19"/>
        <v>0.96383025846437809</v>
      </c>
      <c r="E63" s="15">
        <f t="shared" si="20"/>
        <v>1.9658453160720911E-18</v>
      </c>
      <c r="F63" s="15">
        <f t="shared" si="21"/>
        <v>2.0396177634059474E-18</v>
      </c>
      <c r="G63" s="16">
        <f t="shared" si="22"/>
        <v>62.93602804311476</v>
      </c>
      <c r="H63" s="16">
        <f t="shared" si="23"/>
        <v>9.5482400744933607</v>
      </c>
      <c r="I63" s="16">
        <f t="shared" si="30"/>
        <v>-9.5482400744933607</v>
      </c>
      <c r="J63" s="16">
        <f t="shared" si="24"/>
        <v>0.37554615491702786</v>
      </c>
      <c r="K63" s="16">
        <f t="shared" si="25"/>
        <v>-0.37554615491702786</v>
      </c>
      <c r="L63" s="16">
        <f t="shared" si="26"/>
        <v>5.3263144333882781</v>
      </c>
      <c r="M63" s="16">
        <f t="shared" si="27"/>
        <v>-5.3263144333882781</v>
      </c>
      <c r="N63" s="16">
        <f t="shared" si="28"/>
        <v>9.9065577062356258</v>
      </c>
      <c r="O63" s="16">
        <f t="shared" si="31"/>
        <v>-9.9065577062356258</v>
      </c>
    </row>
    <row r="64" spans="1:15" x14ac:dyDescent="0.25">
      <c r="A64" s="72">
        <f>Age</f>
        <v>4.9492885691181101E+17</v>
      </c>
      <c r="B64" s="73">
        <f>A64/Gyr</f>
        <v>15.68369696997522</v>
      </c>
      <c r="C64" s="72">
        <f t="shared" si="29"/>
        <v>0</v>
      </c>
      <c r="D64" s="74">
        <f t="shared" si="19"/>
        <v>1</v>
      </c>
      <c r="E64" s="74">
        <f t="shared" si="20"/>
        <v>1.9614506235118389E-18</v>
      </c>
      <c r="F64" s="74">
        <f t="shared" si="21"/>
        <v>1.9614506235118389E-18</v>
      </c>
      <c r="G64" s="75">
        <f>F64*Mpc/1000</f>
        <v>60.524042132475017</v>
      </c>
      <c r="H64" s="76">
        <f t="shared" si="23"/>
        <v>9.9065577062356258</v>
      </c>
      <c r="I64" s="76">
        <f>-H64</f>
        <v>-9.9065577062356258</v>
      </c>
      <c r="J64" s="16">
        <f t="shared" si="24"/>
        <v>0</v>
      </c>
      <c r="K64" s="75">
        <f>-J64</f>
        <v>0</v>
      </c>
      <c r="L64" s="76">
        <f t="shared" si="26"/>
        <v>5.5496750920292355</v>
      </c>
      <c r="M64" s="75">
        <f>-L64</f>
        <v>-5.5496750920292355</v>
      </c>
      <c r="N64" s="76">
        <f t="shared" si="28"/>
        <v>9.9065577062356258</v>
      </c>
      <c r="O64" s="75">
        <f>-N64</f>
        <v>-9.9065577062356258</v>
      </c>
    </row>
    <row r="65" spans="1:15" x14ac:dyDescent="0.25">
      <c r="A65" s="15">
        <f>A63+2000000000*SecondsPerYear</f>
        <v>5.3962299E+17</v>
      </c>
      <c r="B65" s="17">
        <f t="shared" si="18"/>
        <v>17.100000000000001</v>
      </c>
      <c r="C65" s="15">
        <f t="shared" si="29"/>
        <v>-0.15878953987206357</v>
      </c>
      <c r="D65" s="15">
        <f t="shared" si="19"/>
        <v>1.08742703865691</v>
      </c>
      <c r="E65" s="15">
        <f t="shared" si="20"/>
        <v>1.9507871856163558E-18</v>
      </c>
      <c r="F65" s="15">
        <f t="shared" si="21"/>
        <v>1.7939476546636073E-18</v>
      </c>
      <c r="G65" s="16">
        <f t="shared" si="22"/>
        <v>55.35544057689075</v>
      </c>
      <c r="H65" s="16">
        <f t="shared" si="23"/>
        <v>10.772658709775602</v>
      </c>
      <c r="I65" s="16">
        <f t="shared" si="30"/>
        <v>-10.772658709775602</v>
      </c>
      <c r="J65" s="16">
        <f t="shared" si="24"/>
        <v>-0.85436063608931301</v>
      </c>
      <c r="K65" s="16">
        <f t="shared" si="25"/>
        <v>0.85436063608931301</v>
      </c>
      <c r="L65" s="16">
        <f t="shared" si="26"/>
        <v>6.097297556337665</v>
      </c>
      <c r="M65" s="16">
        <f t="shared" si="27"/>
        <v>-6.097297556337665</v>
      </c>
      <c r="N65" s="16">
        <f t="shared" si="28"/>
        <v>9.9065577062356258</v>
      </c>
      <c r="O65" s="16">
        <f t="shared" si="31"/>
        <v>-9.9065577062356258</v>
      </c>
    </row>
    <row r="66" spans="1:15" x14ac:dyDescent="0.25">
      <c r="A66" s="15">
        <f>A65+2000000000*SecondsPerYear</f>
        <v>6.0273679E+17</v>
      </c>
      <c r="B66" s="17">
        <f t="shared" ref="B66:B80" si="35">A66/Gyr</f>
        <v>19.100000000000001</v>
      </c>
      <c r="C66" s="15">
        <f t="shared" si="29"/>
        <v>-0.32573572367531078</v>
      </c>
      <c r="D66" s="15">
        <f t="shared" si="19"/>
        <v>1.2100734430154851</v>
      </c>
      <c r="E66" s="15">
        <f t="shared" si="20"/>
        <v>1.9357290551606209E-18</v>
      </c>
      <c r="F66" s="15">
        <f t="shared" si="21"/>
        <v>1.5996789833985716E-18</v>
      </c>
      <c r="G66" s="16">
        <f t="shared" ref="G66:G80" si="36">F66*Mpc/1000</f>
        <v>49.360935742701642</v>
      </c>
      <c r="H66" s="16">
        <f t="shared" si="23"/>
        <v>11.987662392016134</v>
      </c>
      <c r="I66" s="16">
        <f t="shared" si="30"/>
        <v>-11.987662392016134</v>
      </c>
      <c r="J66" s="16">
        <f t="shared" si="24"/>
        <v>-1.9273658222318144</v>
      </c>
      <c r="K66" s="16">
        <f t="shared" si="25"/>
        <v>1.9273658222318144</v>
      </c>
      <c r="L66" s="16">
        <f t="shared" si="26"/>
        <v>6.8843936092320694</v>
      </c>
      <c r="M66" s="16">
        <f t="shared" si="27"/>
        <v>-6.8843936092320694</v>
      </c>
      <c r="N66" s="16">
        <f t="shared" si="28"/>
        <v>9.9065577062356258</v>
      </c>
      <c r="O66" s="16">
        <f t="shared" ref="O66:O80" si="37">-N66</f>
        <v>-9.9065577062356258</v>
      </c>
    </row>
    <row r="67" spans="1:15" x14ac:dyDescent="0.25">
      <c r="A67" s="15">
        <f t="shared" si="34"/>
        <v>6.6585059E+17</v>
      </c>
      <c r="B67" s="17">
        <f t="shared" si="35"/>
        <v>21.1</v>
      </c>
      <c r="C67" s="15">
        <f t="shared" si="29"/>
        <v>-0.44750039162190902</v>
      </c>
      <c r="D67" s="15">
        <f t="shared" si="19"/>
        <v>1.3317694715401029</v>
      </c>
      <c r="E67" s="15">
        <f t="shared" si="20"/>
        <v>1.9206709247048856E-18</v>
      </c>
      <c r="F67" s="15">
        <f t="shared" si="21"/>
        <v>1.4421947384660778E-18</v>
      </c>
      <c r="G67" s="16">
        <f t="shared" si="36"/>
        <v>44.501479704787393</v>
      </c>
      <c r="H67" s="16">
        <f t="shared" si="23"/>
        <v>13.193251121214956</v>
      </c>
      <c r="I67" s="16">
        <f t="shared" si="30"/>
        <v>-13.193251121214956</v>
      </c>
      <c r="J67" s="16">
        <f t="shared" si="24"/>
        <v>-2.8555166321728551</v>
      </c>
      <c r="K67" s="16">
        <f t="shared" si="25"/>
        <v>2.8555166321728551</v>
      </c>
      <c r="L67" s="16">
        <f t="shared" si="26"/>
        <v>7.687870849590297</v>
      </c>
      <c r="M67" s="16">
        <f t="shared" si="27"/>
        <v>-7.687870849590297</v>
      </c>
      <c r="N67" s="16">
        <f t="shared" si="28"/>
        <v>9.9065577062356258</v>
      </c>
      <c r="O67" s="16">
        <f t="shared" si="37"/>
        <v>-9.9065577062356258</v>
      </c>
    </row>
    <row r="68" spans="1:15" x14ac:dyDescent="0.25">
      <c r="A68" s="15">
        <f t="shared" si="34"/>
        <v>7.2896439E+17</v>
      </c>
      <c r="B68" s="17">
        <f t="shared" si="35"/>
        <v>23.1</v>
      </c>
      <c r="C68" s="15">
        <f t="shared" si="29"/>
        <v>-0.53902972087102952</v>
      </c>
      <c r="D68" s="15">
        <f t="shared" si="19"/>
        <v>1.4525151242307635</v>
      </c>
      <c r="E68" s="15">
        <f t="shared" si="20"/>
        <v>1.9056127942491503E-18</v>
      </c>
      <c r="F68" s="15">
        <f t="shared" si="21"/>
        <v>1.3119400703371967E-18</v>
      </c>
      <c r="G68" s="16">
        <f t="shared" si="36"/>
        <v>40.482240613431102</v>
      </c>
      <c r="H68" s="16">
        <f t="shared" si="23"/>
        <v>14.389424897372072</v>
      </c>
      <c r="I68" s="16">
        <f t="shared" si="30"/>
        <v>-14.389424897372072</v>
      </c>
      <c r="J68" s="16">
        <f t="shared" si="24"/>
        <v>-3.6550565822383452</v>
      </c>
      <c r="K68" s="16">
        <f t="shared" si="25"/>
        <v>3.6550565822383452</v>
      </c>
      <c r="L68" s="16">
        <f t="shared" si="26"/>
        <v>8.5080060140025111</v>
      </c>
      <c r="M68" s="16">
        <f t="shared" si="27"/>
        <v>-8.5080060140025111</v>
      </c>
      <c r="N68" s="16">
        <f t="shared" si="28"/>
        <v>9.9065577062356258</v>
      </c>
      <c r="O68" s="16">
        <f t="shared" si="37"/>
        <v>-9.9065577062356258</v>
      </c>
    </row>
    <row r="69" spans="1:15" x14ac:dyDescent="0.25">
      <c r="A69" s="15">
        <f t="shared" si="34"/>
        <v>7.9207819E+17</v>
      </c>
      <c r="B69" s="17">
        <f t="shared" si="35"/>
        <v>25.1</v>
      </c>
      <c r="C69" s="15">
        <f t="shared" si="29"/>
        <v>-0.60956437096869909</v>
      </c>
      <c r="D69" s="15">
        <f t="shared" si="19"/>
        <v>1.5723104010874671</v>
      </c>
      <c r="E69" s="15">
        <f t="shared" si="20"/>
        <v>1.890554663793415E-18</v>
      </c>
      <c r="F69" s="15">
        <f t="shared" si="21"/>
        <v>1.2024054935245856E-18</v>
      </c>
      <c r="G69" s="16">
        <f t="shared" si="36"/>
        <v>37.102356734376485</v>
      </c>
      <c r="H69" s="16">
        <f t="shared" si="23"/>
        <v>15.576183720487476</v>
      </c>
      <c r="I69" s="16">
        <f t="shared" si="30"/>
        <v>-15.576183720487476</v>
      </c>
      <c r="J69" s="16">
        <f t="shared" si="24"/>
        <v>-4.3430163112791584</v>
      </c>
      <c r="K69" s="16">
        <f t="shared" si="25"/>
        <v>4.3430163112791584</v>
      </c>
      <c r="L69" s="16">
        <f t="shared" si="26"/>
        <v>9.3450846558061507</v>
      </c>
      <c r="M69" s="16">
        <f t="shared" si="27"/>
        <v>-9.3450846558061507</v>
      </c>
      <c r="N69" s="16">
        <f t="shared" si="28"/>
        <v>9.9065577062356258</v>
      </c>
      <c r="O69" s="16">
        <f t="shared" si="37"/>
        <v>-9.9065577062356258</v>
      </c>
    </row>
    <row r="70" spans="1:15" x14ac:dyDescent="0.25">
      <c r="A70" s="15">
        <f t="shared" si="34"/>
        <v>8.5519199E+17</v>
      </c>
      <c r="B70" s="17">
        <f t="shared" si="35"/>
        <v>27.1</v>
      </c>
      <c r="C70" s="15">
        <f t="shared" si="29"/>
        <v>-0.66506671934476669</v>
      </c>
      <c r="D70" s="15">
        <f t="shared" si="19"/>
        <v>1.6911553021102133</v>
      </c>
      <c r="E70" s="15">
        <f t="shared" si="20"/>
        <v>1.8754965333376801E-18</v>
      </c>
      <c r="F70" s="15">
        <f t="shared" si="21"/>
        <v>1.1090031359020942E-18</v>
      </c>
      <c r="G70" s="16">
        <f t="shared" si="36"/>
        <v>34.22026112602785</v>
      </c>
      <c r="H70" s="16">
        <f t="shared" si="23"/>
        <v>16.753527590561173</v>
      </c>
      <c r="I70" s="16">
        <f t="shared" si="30"/>
        <v>-16.753527590561173</v>
      </c>
      <c r="J70" s="16">
        <f t="shared" si="24"/>
        <v>-4.9354690074487184</v>
      </c>
      <c r="K70" s="16">
        <f t="shared" si="25"/>
        <v>4.9354690074487184</v>
      </c>
      <c r="L70" s="16">
        <f t="shared" si="26"/>
        <v>10.199401499028845</v>
      </c>
      <c r="M70" s="16">
        <f t="shared" si="27"/>
        <v>-10.199401499028845</v>
      </c>
      <c r="N70" s="16">
        <f t="shared" si="28"/>
        <v>9.9065577062356258</v>
      </c>
      <c r="O70" s="16">
        <f t="shared" si="37"/>
        <v>-9.9065577062356258</v>
      </c>
    </row>
    <row r="71" spans="1:15" x14ac:dyDescent="0.25">
      <c r="A71" s="15">
        <f>A70+2000000000*SecondsPerYear</f>
        <v>9.1830579E+17</v>
      </c>
      <c r="B71" s="17">
        <f t="shared" si="35"/>
        <v>29.1</v>
      </c>
      <c r="C71" s="15">
        <f t="shared" si="29"/>
        <v>-0.70952356414542828</v>
      </c>
      <c r="D71" s="15">
        <f t="shared" si="19"/>
        <v>1.8090498272990023</v>
      </c>
      <c r="E71" s="15">
        <f t="shared" si="20"/>
        <v>1.8604384028819448E-18</v>
      </c>
      <c r="F71" s="15">
        <f t="shared" si="21"/>
        <v>1.0284063903644201E-18</v>
      </c>
      <c r="G71" s="16">
        <f t="shared" si="36"/>
        <v>31.733305418762189</v>
      </c>
      <c r="H71" s="16">
        <f t="shared" si="23"/>
        <v>17.921456507593163</v>
      </c>
      <c r="I71" s="16">
        <f t="shared" si="30"/>
        <v>-17.921456507593163</v>
      </c>
      <c r="J71" s="16">
        <f t="shared" si="24"/>
        <v>-5.4467760408860153</v>
      </c>
      <c r="K71" s="16">
        <f t="shared" si="25"/>
        <v>5.4467760408860153</v>
      </c>
      <c r="L71" s="16">
        <f t="shared" si="26"/>
        <v>11.071260809519865</v>
      </c>
      <c r="M71" s="16">
        <f t="shared" si="27"/>
        <v>-11.071260809519865</v>
      </c>
      <c r="N71" s="16">
        <f t="shared" si="28"/>
        <v>9.9065577062356258</v>
      </c>
      <c r="O71" s="16">
        <f t="shared" si="37"/>
        <v>-9.9065577062356258</v>
      </c>
    </row>
    <row r="72" spans="1:15" x14ac:dyDescent="0.25">
      <c r="A72" s="15">
        <f t="shared" ref="A72:A80" si="38">A71+2000000000*SecondsPerYear</f>
        <v>9.8141959E+17</v>
      </c>
      <c r="B72" s="17">
        <f t="shared" si="35"/>
        <v>31.1</v>
      </c>
      <c r="C72" s="15">
        <f t="shared" si="29"/>
        <v>-0.7456825811912513</v>
      </c>
      <c r="D72" s="15">
        <f t="shared" si="19"/>
        <v>1.9259939766538343</v>
      </c>
      <c r="E72" s="15">
        <f t="shared" si="20"/>
        <v>1.8453802724262095E-18</v>
      </c>
      <c r="F72" s="15">
        <f t="shared" si="21"/>
        <v>9.5814436327174784E-19</v>
      </c>
      <c r="G72" s="16">
        <f t="shared" si="36"/>
        <v>29.565245801510073</v>
      </c>
      <c r="H72" s="16">
        <f t="shared" si="23"/>
        <v>19.079970471583444</v>
      </c>
      <c r="I72" s="16">
        <f t="shared" si="30"/>
        <v>-19.079970471583444</v>
      </c>
      <c r="J72" s="16">
        <f t="shared" si="24"/>
        <v>-5.8893764930105101</v>
      </c>
      <c r="K72" s="16">
        <f t="shared" si="25"/>
        <v>5.8893764930105101</v>
      </c>
      <c r="L72" s="16">
        <f t="shared" si="26"/>
        <v>11.960976784251981</v>
      </c>
      <c r="M72" s="16">
        <f t="shared" si="27"/>
        <v>-11.960976784251981</v>
      </c>
      <c r="N72" s="16">
        <f t="shared" si="28"/>
        <v>9.9065577062356258</v>
      </c>
      <c r="O72" s="16">
        <f t="shared" si="37"/>
        <v>-9.9065577062356258</v>
      </c>
    </row>
    <row r="73" spans="1:15" x14ac:dyDescent="0.25">
      <c r="A73" s="15">
        <f t="shared" si="38"/>
        <v>1.04453339E+18</v>
      </c>
      <c r="B73" s="17">
        <f t="shared" si="35"/>
        <v>33.1</v>
      </c>
      <c r="C73" s="15">
        <f t="shared" si="29"/>
        <v>-0.7754873078504122</v>
      </c>
      <c r="D73" s="15">
        <f t="shared" si="19"/>
        <v>2.0419877501747088</v>
      </c>
      <c r="E73" s="15">
        <f t="shared" si="20"/>
        <v>1.8303221419704746E-18</v>
      </c>
      <c r="F73" s="15">
        <f t="shared" si="21"/>
        <v>8.9634335064638629E-19</v>
      </c>
      <c r="G73" s="16">
        <f t="shared" si="36"/>
        <v>27.658265810716326</v>
      </c>
      <c r="H73" s="16">
        <f t="shared" si="23"/>
        <v>20.229069482532012</v>
      </c>
      <c r="I73" s="16">
        <f t="shared" si="30"/>
        <v>-20.229069482532012</v>
      </c>
      <c r="J73" s="16">
        <f t="shared" si="24"/>
        <v>-6.27385066314603</v>
      </c>
      <c r="K73" s="16">
        <f t="shared" si="25"/>
        <v>6.27385066314603</v>
      </c>
      <c r="L73" s="16">
        <f t="shared" si="26"/>
        <v>12.868873959840156</v>
      </c>
      <c r="M73" s="16">
        <f t="shared" si="27"/>
        <v>-12.868873959840156</v>
      </c>
      <c r="N73" s="16">
        <f t="shared" si="28"/>
        <v>9.9065577062356258</v>
      </c>
      <c r="O73" s="16">
        <f t="shared" si="37"/>
        <v>-9.9065577062356258</v>
      </c>
    </row>
    <row r="74" spans="1:15" x14ac:dyDescent="0.25">
      <c r="A74" s="15">
        <f t="shared" si="38"/>
        <v>1.10764719E+18</v>
      </c>
      <c r="B74" s="17">
        <f t="shared" si="35"/>
        <v>35.1</v>
      </c>
      <c r="C74" s="15">
        <f t="shared" si="29"/>
        <v>-0.80034386843774818</v>
      </c>
      <c r="D74" s="15">
        <f t="shared" si="19"/>
        <v>2.1570311478616269</v>
      </c>
      <c r="E74" s="15">
        <f t="shared" si="20"/>
        <v>1.8152640115147393E-18</v>
      </c>
      <c r="F74" s="15">
        <f t="shared" si="21"/>
        <v>8.4155669857354711E-19</v>
      </c>
      <c r="G74" s="16">
        <f t="shared" si="36"/>
        <v>25.967726370872121</v>
      </c>
      <c r="H74" s="16">
        <f t="shared" si="23"/>
        <v>21.368753540438878</v>
      </c>
      <c r="I74" s="16">
        <f t="shared" si="30"/>
        <v>-21.368753540438878</v>
      </c>
      <c r="J74" s="16">
        <f t="shared" si="24"/>
        <v>-6.6091044832866581</v>
      </c>
      <c r="K74" s="16">
        <f t="shared" si="25"/>
        <v>6.6091044832866581</v>
      </c>
      <c r="L74" s="16">
        <f t="shared" si="26"/>
        <v>13.795287641392868</v>
      </c>
      <c r="M74" s="16">
        <f t="shared" si="27"/>
        <v>-13.795287641392868</v>
      </c>
      <c r="N74" s="16">
        <f t="shared" si="28"/>
        <v>9.9065577062356258</v>
      </c>
      <c r="O74" s="16">
        <f t="shared" si="37"/>
        <v>-9.9065577062356258</v>
      </c>
    </row>
    <row r="75" spans="1:15" x14ac:dyDescent="0.25">
      <c r="A75" s="15">
        <f t="shared" si="38"/>
        <v>1.17076099E+18</v>
      </c>
      <c r="B75" s="17">
        <f t="shared" si="35"/>
        <v>37.1</v>
      </c>
      <c r="C75" s="15">
        <f t="shared" si="29"/>
        <v>-0.82128991314651167</v>
      </c>
      <c r="D75" s="15">
        <f t="shared" si="19"/>
        <v>2.2711241697145872</v>
      </c>
      <c r="E75" s="15">
        <f t="shared" si="20"/>
        <v>1.8002058810590044E-18</v>
      </c>
      <c r="F75" s="15">
        <f t="shared" si="21"/>
        <v>7.9264969527634268E-19</v>
      </c>
      <c r="G75" s="16">
        <f t="shared" si="36"/>
        <v>24.458613935080422</v>
      </c>
      <c r="H75" s="16">
        <f t="shared" si="23"/>
        <v>22.499022645304031</v>
      </c>
      <c r="I75" s="16">
        <f t="shared" si="30"/>
        <v>-22.499022645304031</v>
      </c>
      <c r="J75" s="16">
        <f t="shared" si="24"/>
        <v>-6.9025929351756492</v>
      </c>
      <c r="K75" s="16">
        <f t="shared" si="25"/>
        <v>6.9025929351756492</v>
      </c>
      <c r="L75" s="16">
        <f t="shared" si="26"/>
        <v>14.740564352886647</v>
      </c>
      <c r="M75" s="16">
        <f t="shared" si="27"/>
        <v>-14.740564352886647</v>
      </c>
      <c r="N75" s="16">
        <f t="shared" si="28"/>
        <v>9.9065577062356258</v>
      </c>
      <c r="O75" s="16">
        <f t="shared" si="37"/>
        <v>-9.9065577062356258</v>
      </c>
    </row>
    <row r="76" spans="1:15" x14ac:dyDescent="0.25">
      <c r="A76" s="15">
        <f t="shared" si="38"/>
        <v>1.23387479E+18</v>
      </c>
      <c r="B76" s="17">
        <f t="shared" si="35"/>
        <v>39.1</v>
      </c>
      <c r="C76" s="15">
        <f t="shared" si="29"/>
        <v>-0.83910469538660148</v>
      </c>
      <c r="D76" s="15">
        <f t="shared" si="19"/>
        <v>2.3842668157335902</v>
      </c>
      <c r="E76" s="15">
        <f t="shared" si="20"/>
        <v>1.7851477506032691E-18</v>
      </c>
      <c r="F76" s="15">
        <f t="shared" si="21"/>
        <v>7.4871979042916627E-19</v>
      </c>
      <c r="G76" s="16">
        <f t="shared" si="36"/>
        <v>23.103078710295769</v>
      </c>
      <c r="H76" s="16">
        <f t="shared" si="23"/>
        <v>23.619876797127475</v>
      </c>
      <c r="I76" s="16">
        <f t="shared" si="30"/>
        <v>-23.619876797127475</v>
      </c>
      <c r="J76" s="16">
        <f t="shared" si="24"/>
        <v>-7.1605415694130237</v>
      </c>
      <c r="K76" s="16">
        <f t="shared" si="25"/>
        <v>7.1605415694130237</v>
      </c>
      <c r="L76" s="16">
        <f t="shared" si="26"/>
        <v>15.705062310334711</v>
      </c>
      <c r="M76" s="16">
        <f t="shared" si="27"/>
        <v>-15.705062310334711</v>
      </c>
      <c r="N76" s="16">
        <f t="shared" si="28"/>
        <v>9.9065577062356258</v>
      </c>
      <c r="O76" s="16">
        <f t="shared" si="37"/>
        <v>-9.9065577062356258</v>
      </c>
    </row>
    <row r="77" spans="1:15" x14ac:dyDescent="0.25">
      <c r="A77" s="15">
        <f t="shared" si="38"/>
        <v>1.29698859E+18</v>
      </c>
      <c r="B77" s="17">
        <f t="shared" si="35"/>
        <v>41.1</v>
      </c>
      <c r="C77" s="15">
        <f t="shared" si="29"/>
        <v>-0.8543826104238017</v>
      </c>
      <c r="D77" s="15">
        <f t="shared" si="19"/>
        <v>2.4964590859186364</v>
      </c>
      <c r="E77" s="15">
        <f t="shared" si="20"/>
        <v>1.7700896201475338E-18</v>
      </c>
      <c r="F77" s="15">
        <f t="shared" si="21"/>
        <v>7.090401081002231E-19</v>
      </c>
      <c r="G77" s="16">
        <f t="shared" si="36"/>
        <v>21.878691648856346</v>
      </c>
      <c r="H77" s="16">
        <f t="shared" si="23"/>
        <v>24.731315995909213</v>
      </c>
      <c r="I77" s="16">
        <f t="shared" si="30"/>
        <v>-24.731315995909213</v>
      </c>
      <c r="J77" s="16">
        <f t="shared" si="24"/>
        <v>-7.3881478322345764</v>
      </c>
      <c r="K77" s="16">
        <f t="shared" si="25"/>
        <v>7.3881478322345764</v>
      </c>
      <c r="L77" s="16">
        <f t="shared" si="26"/>
        <v>16.689151919107015</v>
      </c>
      <c r="M77" s="16">
        <f t="shared" si="27"/>
        <v>-16.689151919107015</v>
      </c>
      <c r="N77" s="16">
        <f t="shared" si="28"/>
        <v>9.9065577062356258</v>
      </c>
      <c r="O77" s="16">
        <f t="shared" si="37"/>
        <v>-9.9065577062356258</v>
      </c>
    </row>
    <row r="78" spans="1:15" x14ac:dyDescent="0.25">
      <c r="A78" s="15">
        <f t="shared" si="38"/>
        <v>1.36010239E+18</v>
      </c>
      <c r="B78" s="17">
        <f t="shared" si="35"/>
        <v>43.1</v>
      </c>
      <c r="C78" s="15">
        <f t="shared" si="29"/>
        <v>-0.86758342674403677</v>
      </c>
      <c r="D78" s="15">
        <f t="shared" si="19"/>
        <v>2.6077009802697249</v>
      </c>
      <c r="E78" s="15">
        <f t="shared" si="20"/>
        <v>1.7550314896917989E-18</v>
      </c>
      <c r="F78" s="15">
        <f t="shared" si="21"/>
        <v>6.7301868694710117E-19</v>
      </c>
      <c r="G78" s="16">
        <f t="shared" si="36"/>
        <v>20.767186732337088</v>
      </c>
      <c r="H78" s="16">
        <f t="shared" si="23"/>
        <v>25.833340241649243</v>
      </c>
      <c r="I78" s="16">
        <f t="shared" si="30"/>
        <v>-25.833340241649243</v>
      </c>
      <c r="J78" s="16">
        <f t="shared" si="24"/>
        <v>-7.5897558239557403</v>
      </c>
      <c r="K78" s="16">
        <f t="shared" si="25"/>
        <v>7.5897558239557403</v>
      </c>
      <c r="L78" s="16">
        <f t="shared" si="26"/>
        <v>17.69321629685227</v>
      </c>
      <c r="M78" s="16">
        <f t="shared" si="27"/>
        <v>-17.69321629685227</v>
      </c>
      <c r="N78" s="16">
        <f t="shared" si="28"/>
        <v>9.9065577062356258</v>
      </c>
      <c r="O78" s="16">
        <f t="shared" si="37"/>
        <v>-9.9065577062356258</v>
      </c>
    </row>
    <row r="79" spans="1:15" x14ac:dyDescent="0.25">
      <c r="A79" s="15">
        <f t="shared" si="38"/>
        <v>1.42321619E+18</v>
      </c>
      <c r="B79" s="17">
        <f t="shared" si="35"/>
        <v>45.1</v>
      </c>
      <c r="C79" s="15">
        <f t="shared" si="29"/>
        <v>-0.87906728548728374</v>
      </c>
      <c r="D79" s="15">
        <f t="shared" si="19"/>
        <v>2.7179924987868569</v>
      </c>
      <c r="E79" s="15">
        <f t="shared" si="20"/>
        <v>1.7399733592360636E-18</v>
      </c>
      <c r="F79" s="15">
        <f t="shared" si="21"/>
        <v>6.4016856559121483E-19</v>
      </c>
      <c r="G79" s="16">
        <f t="shared" si="36"/>
        <v>19.753537902655708</v>
      </c>
      <c r="H79" s="16">
        <f t="shared" si="23"/>
        <v>26.925949534347559</v>
      </c>
      <c r="I79" s="16">
        <f t="shared" si="30"/>
        <v>-26.925949534347559</v>
      </c>
      <c r="J79" s="16">
        <f t="shared" si="24"/>
        <v>-7.7690040433242169</v>
      </c>
      <c r="K79" s="16">
        <f t="shared" si="25"/>
        <v>7.7690040433242169</v>
      </c>
      <c r="L79" s="16">
        <f t="shared" si="26"/>
        <v>18.717651823572897</v>
      </c>
      <c r="M79" s="16">
        <f t="shared" si="27"/>
        <v>-18.717651823572897</v>
      </c>
      <c r="N79" s="16">
        <f t="shared" si="28"/>
        <v>9.9065577062356258</v>
      </c>
      <c r="O79" s="16">
        <f t="shared" si="37"/>
        <v>-9.9065577062356258</v>
      </c>
    </row>
    <row r="80" spans="1:15" x14ac:dyDescent="0.25">
      <c r="A80" s="15">
        <f t="shared" si="38"/>
        <v>1.48632999E+18</v>
      </c>
      <c r="B80" s="17">
        <f t="shared" si="35"/>
        <v>47.1</v>
      </c>
      <c r="C80" s="15">
        <f t="shared" si="29"/>
        <v>-0.88911952675744799</v>
      </c>
      <c r="D80" s="15">
        <f t="shared" si="19"/>
        <v>2.8273336414700312</v>
      </c>
      <c r="E80" s="15">
        <f t="shared" si="20"/>
        <v>1.7249152287803283E-18</v>
      </c>
      <c r="F80" s="15">
        <f t="shared" si="21"/>
        <v>6.1008548955102586E-19</v>
      </c>
      <c r="G80" s="16">
        <f t="shared" si="36"/>
        <v>18.825271169909247</v>
      </c>
      <c r="H80" s="16">
        <f t="shared" si="23"/>
        <v>28.00914387400417</v>
      </c>
      <c r="I80" s="16">
        <f t="shared" si="30"/>
        <v>-28.00914387400417</v>
      </c>
      <c r="J80" s="16">
        <f t="shared" si="24"/>
        <v>-7.92894835378062</v>
      </c>
      <c r="K80" s="16">
        <f t="shared" si="25"/>
        <v>7.92894835378062</v>
      </c>
      <c r="L80" s="16">
        <f t="shared" si="26"/>
        <v>19.762868720512184</v>
      </c>
      <c r="M80" s="16">
        <f t="shared" si="27"/>
        <v>-19.762868720512184</v>
      </c>
      <c r="N80" s="16">
        <f t="shared" si="28"/>
        <v>9.9065577062356258</v>
      </c>
      <c r="O80" s="16">
        <f t="shared" si="37"/>
        <v>-9.9065577062356258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0108154DBF84A9957198D40B40155" ma:contentTypeVersion="13" ma:contentTypeDescription="Create a new document." ma:contentTypeScope="" ma:versionID="4ba335fbef822dadca206cd1b92086de">
  <xsd:schema xmlns:xsd="http://www.w3.org/2001/XMLSchema" xmlns:xs="http://www.w3.org/2001/XMLSchema" xmlns:p="http://schemas.microsoft.com/office/2006/metadata/properties" xmlns:ns3="88f8ed94-7fb0-4b4c-b18c-6b35aef8c71e" xmlns:ns4="5affea6d-392a-4ef4-ac0b-e5e9669ff228" targetNamespace="http://schemas.microsoft.com/office/2006/metadata/properties" ma:root="true" ma:fieldsID="0cd7294525b2789f7824071f0f49b1a4" ns3:_="" ns4:_="">
    <xsd:import namespace="88f8ed94-7fb0-4b4c-b18c-6b35aef8c71e"/>
    <xsd:import namespace="5affea6d-392a-4ef4-ac0b-e5e9669ff2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8ed94-7fb0-4b4c-b18c-6b35aef8c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ea6d-392a-4ef4-ac0b-e5e9669ff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A5CD0B-ECC6-49BB-9DCC-1D9CA05E7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8ed94-7fb0-4b4c-b18c-6b35aef8c71e"/>
    <ds:schemaRef ds:uri="5affea6d-392a-4ef4-ac0b-e5e9669ff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5622C8-AC5E-48B4-99BA-46BD9ED38445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5affea6d-392a-4ef4-ac0b-e5e9669ff228"/>
    <ds:schemaRef ds:uri="http://schemas.microsoft.com/office/infopath/2007/PartnerControls"/>
    <ds:schemaRef ds:uri="88f8ed94-7fb0-4b4c-b18c-6b35aef8c71e"/>
  </ds:schemaRefs>
</ds:datastoreItem>
</file>

<file path=customXml/itemProps3.xml><?xml version="1.0" encoding="utf-8"?>
<ds:datastoreItem xmlns:ds="http://schemas.openxmlformats.org/officeDocument/2006/customXml" ds:itemID="{4338CBE2-BAB7-4297-A6E5-6FE63A01E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109</vt:i4>
      </vt:variant>
    </vt:vector>
  </HeadingPairs>
  <TitlesOfParts>
    <vt:vector size="118" baseType="lpstr">
      <vt:lpstr>Constants</vt:lpstr>
      <vt:lpstr>SNe Ia Data</vt:lpstr>
      <vt:lpstr>SNe Ia Model</vt:lpstr>
      <vt:lpstr>Tau</vt:lpstr>
      <vt:lpstr>Geometry</vt:lpstr>
      <vt:lpstr>Rotation Curve</vt:lpstr>
      <vt:lpstr>BTFR Data</vt:lpstr>
      <vt:lpstr>Recombination</vt:lpstr>
      <vt:lpstr>Scale Factor</vt:lpstr>
      <vt:lpstr>accel</vt:lpstr>
      <vt:lpstr>Age</vt:lpstr>
      <vt:lpstr>Geometry!AgeOfCMB</vt:lpstr>
      <vt:lpstr>Geometry!AngularScale</vt:lpstr>
      <vt:lpstr>BaryonDensity</vt:lpstr>
      <vt:lpstr>BoltzmannConstant</vt:lpstr>
      <vt:lpstr>'Rotation Curve'!BulgeMass</vt:lpstr>
      <vt:lpstr>CMBTemperature</vt:lpstr>
      <vt:lpstr>'SNe Ia Data'!Color</vt:lpstr>
      <vt:lpstr>'SNe Ia Data'!ColorError</vt:lpstr>
      <vt:lpstr>'Rotation Curve'!CoreMass</vt:lpstr>
      <vt:lpstr>'Rotation Curve'!CoreRadius</vt:lpstr>
      <vt:lpstr>Geometry!Curvature</vt:lpstr>
      <vt:lpstr>'Rotation Curve'!Density</vt:lpstr>
      <vt:lpstr>'Rotation Curve'!DiskScaleLengthPc</vt:lpstr>
      <vt:lpstr>Geometry!DistanceSurfaceLastScattering</vt:lpstr>
      <vt:lpstr>ElectronMass</vt:lpstr>
      <vt:lpstr>errorMass</vt:lpstr>
      <vt:lpstr>Gpc</vt:lpstr>
      <vt:lpstr>GravitationalConstant</vt:lpstr>
      <vt:lpstr>Gyr</vt:lpstr>
      <vt:lpstr>HeliumAbundance</vt:lpstr>
      <vt:lpstr>HeliumMass</vt:lpstr>
      <vt:lpstr>HubbleConstant</vt:lpstr>
      <vt:lpstr>HubbleConstantCMB</vt:lpstr>
      <vt:lpstr>HubbleConstantSNe</vt:lpstr>
      <vt:lpstr>'Scale Factor'!HubbleFunction</vt:lpstr>
      <vt:lpstr>HydrogenAbundance</vt:lpstr>
      <vt:lpstr>HydrogenMass</vt:lpstr>
      <vt:lpstr>InitialTangentVelocity</vt:lpstr>
      <vt:lpstr>km</vt:lpstr>
      <vt:lpstr>kpc</vt:lpstr>
      <vt:lpstr>kyr</vt:lpstr>
      <vt:lpstr>LCDMAge</vt:lpstr>
      <vt:lpstr>'Rotation Curve'!LCDMBulgeEffectiveRadius</vt:lpstr>
      <vt:lpstr>'Rotation Curve'!LCDMDiskSurfaceDensity</vt:lpstr>
      <vt:lpstr>'Rotation Curve'!LCDMHaloRepresentativeDensity</vt:lpstr>
      <vt:lpstr>'Rotation Curve'!LCDMHaloScaleLengthPc</vt:lpstr>
      <vt:lpstr>'Rotation Curve'!LCDMModelBER</vt:lpstr>
      <vt:lpstr>'Rotation Curve'!LCDMModelBTM</vt:lpstr>
      <vt:lpstr>'Rotation Curve'!LCDMModelChiSquare</vt:lpstr>
      <vt:lpstr>'Rotation Curve'!LCDMModelDSR</vt:lpstr>
      <vt:lpstr>'Rotation Curve'!LCDMModelDTM</vt:lpstr>
      <vt:lpstr>'Rotation Curve'!LCDMModelHSR</vt:lpstr>
      <vt:lpstr>'Rotation Curve'!LCDMModelHTM</vt:lpstr>
      <vt:lpstr>LCDMRedshift</vt:lpstr>
      <vt:lpstr>'Rotation Curve'!LCDMScaleLength</vt:lpstr>
      <vt:lpstr>'Rotation Curve'!LCDMTotalBulgeMass</vt:lpstr>
      <vt:lpstr>Geometry!LightTravelDistance</vt:lpstr>
      <vt:lpstr>LightYear</vt:lpstr>
      <vt:lpstr>Mag</vt:lpstr>
      <vt:lpstr>'SNe Ia Data'!Mb</vt:lpstr>
      <vt:lpstr>'SNe Ia Data'!MeanObservedDistanceModuli</vt:lpstr>
      <vt:lpstr>MeanObservedLuminousDistance</vt:lpstr>
      <vt:lpstr>'Rotation Curve'!ModelVelocity</vt:lpstr>
      <vt:lpstr>Mpc</vt:lpstr>
      <vt:lpstr>Myr</vt:lpstr>
      <vt:lpstr>ObservedDistanceModuli</vt:lpstr>
      <vt:lpstr>ObservedLuminousDistance</vt:lpstr>
      <vt:lpstr>observedMass</vt:lpstr>
      <vt:lpstr>'Rotation Curve'!ObservedVelocity</vt:lpstr>
      <vt:lpstr>pc</vt:lpstr>
      <vt:lpstr>'SNe Ia Data'!PeakMagnitude</vt:lpstr>
      <vt:lpstr>'SNe Ia Data'!PeakMagnitudeError</vt:lpstr>
      <vt:lpstr>PlanckAngularScale</vt:lpstr>
      <vt:lpstr>PlanckConstant</vt:lpstr>
      <vt:lpstr>predictedMass</vt:lpstr>
      <vt:lpstr>ProtonMass</vt:lpstr>
      <vt:lpstr>'Rotation Curve'!QEHModelChiSquare</vt:lpstr>
      <vt:lpstr>'Rotation Curve'!QESDiskSurfaceDensity</vt:lpstr>
      <vt:lpstr>QESLuminousDistance</vt:lpstr>
      <vt:lpstr>Geometry!QESRedShift</vt:lpstr>
      <vt:lpstr>RadiationDensityConstant</vt:lpstr>
      <vt:lpstr>'Rotation Curve'!RadiusKm</vt:lpstr>
      <vt:lpstr>'Rotation Curve'!RadiusKpc</vt:lpstr>
      <vt:lpstr>Geometry!RadiusOfCurvature</vt:lpstr>
      <vt:lpstr>'SNe Ia Data'!RedShift</vt:lpstr>
      <vt:lpstr>RedShift</vt:lpstr>
      <vt:lpstr>ReducedPlanckConstant</vt:lpstr>
      <vt:lpstr>'Scale Factor'!ScaleFactor</vt:lpstr>
      <vt:lpstr>'SNe Ia Data'!ScatterError</vt:lpstr>
      <vt:lpstr>second</vt:lpstr>
      <vt:lpstr>SecondsPerYear</vt:lpstr>
      <vt:lpstr>SolarLuminosity</vt:lpstr>
      <vt:lpstr>SolarMass</vt:lpstr>
      <vt:lpstr>SoundHorizon</vt:lpstr>
      <vt:lpstr>StefanBoltzmannConstant</vt:lpstr>
      <vt:lpstr>'SNe Ia Data'!Stretch</vt:lpstr>
      <vt:lpstr>'SNe Ia Data'!StretchError</vt:lpstr>
      <vt:lpstr>StretchParameter</vt:lpstr>
      <vt:lpstr>'SNe Ia Data'!T2DistanceModuli</vt:lpstr>
      <vt:lpstr>T2LuminousDistance</vt:lpstr>
      <vt:lpstr>tau</vt:lpstr>
      <vt:lpstr>'Scale Factor'!time</vt:lpstr>
      <vt:lpstr>Tau!time</vt:lpstr>
      <vt:lpstr>'SNe Ia Data'!TotalError</vt:lpstr>
      <vt:lpstr>'Rotation Curve'!TotalMass</vt:lpstr>
      <vt:lpstr>UniverseAcceleration</vt:lpstr>
      <vt:lpstr>UniverseSize</vt:lpstr>
      <vt:lpstr>veloc</vt:lpstr>
      <vt:lpstr>velocity</vt:lpstr>
      <vt:lpstr>'Rotation Curve'!VelocityError</vt:lpstr>
      <vt:lpstr>VelocityOfLight</vt:lpstr>
      <vt:lpstr>ZError</vt:lpstr>
      <vt:lpstr>Zeta3</vt:lpstr>
      <vt:lpstr>'SNe Ia Data'!α</vt:lpstr>
      <vt:lpstr>'SNe Ia Data'!β</vt:lpstr>
      <vt:lpstr>'SNe Ia Data'!ΛCDMDistanceModuli</vt:lpstr>
      <vt:lpstr>'SNe Ia Data'!ΛCDMLuminousDistance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Roy Airey</dc:creator>
  <cp:lastModifiedBy>Donald Airey</cp:lastModifiedBy>
  <cp:lastPrinted>2015-12-21T16:04:41Z</cp:lastPrinted>
  <dcterms:created xsi:type="dcterms:W3CDTF">2013-09-02T02:29:31Z</dcterms:created>
  <dcterms:modified xsi:type="dcterms:W3CDTF">2022-09-03T17:51:21Z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0x0101009D00108154DBF84A9957198D40B40155</vt:lpwstr>
  </property>
</Properties>
</file>